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ac26e45e5db01fe0/Documents/Néosylva - Aurélien/3. Projets/2KERO/Kerougas 2/LBC/Dépot de dossier - Nov. 21/"/>
    </mc:Choice>
  </mc:AlternateContent>
  <xr:revisionPtr revIDLastSave="11" documentId="8_{B8A671A2-CE98-4588-984D-622407F3724F}" xr6:coauthVersionLast="47" xr6:coauthVersionMax="47" xr10:uidLastSave="{CE3877D1-E633-4253-9C09-79CAD1524B5D}"/>
  <bookViews>
    <workbookView xWindow="-120" yWindow="-16320" windowWidth="29040" windowHeight="15840" tabRatio="601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Paramètres!$A$2:$A$88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12" i="6" l="1"/>
  <c r="E111" i="6"/>
  <c r="E81" i="6"/>
  <c r="E80" i="6"/>
  <c r="E49" i="6"/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FR4" i="2" s="1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FQ4" i="2" s="1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EA4" i="2"/>
  <c r="EX4" i="2"/>
  <c r="HI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R5" i="2" s="1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HI5" i="2" s="1"/>
  <c r="GK5" i="2"/>
  <c r="FW5" i="2"/>
  <c r="FM5" i="2"/>
  <c r="FP5" i="2"/>
  <c r="FB5" i="2"/>
  <c r="GS5" i="2"/>
  <c r="GG5" i="2"/>
  <c r="FX5" i="2"/>
  <c r="EQ5" i="2"/>
  <c r="EH5" i="2"/>
  <c r="CJ5" i="2"/>
  <c r="ER5" i="2"/>
  <c r="EX5" i="2" s="1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A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HH6" i="2" s="1"/>
  <c r="GI6" i="2"/>
  <c r="GJ6" i="2"/>
  <c r="ET6" i="2"/>
  <c r="FO6" i="2"/>
  <c r="FR6" i="2" s="1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EC6" i="2" s="1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HI6" i="2" l="1"/>
  <c r="EV6" i="2"/>
  <c r="EA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X7" i="2" l="1"/>
  <c r="HI7" i="2"/>
  <c r="EA7" i="2"/>
  <c r="EW7" i="2"/>
  <c r="FS7" i="2"/>
  <c r="EB7" i="2"/>
  <c r="EV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HG8" i="2" s="1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FS8" i="2" l="1"/>
  <c r="EX8" i="2"/>
  <c r="HI8" i="2"/>
  <c r="EC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HG9" i="2" s="1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HI9" i="2" s="1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EV9" i="2" l="1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EB10" i="2" s="1"/>
  <c r="DD10" i="2"/>
  <c r="CI10" i="2"/>
  <c r="AR10" i="2"/>
  <c r="HC10" i="2"/>
  <c r="HI10" i="2" s="1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G10" i="2" l="1"/>
  <c r="EA10" i="2"/>
  <c r="HH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FS11" i="2" l="1"/>
  <c r="EW11" i="2"/>
  <c r="EX11" i="2"/>
  <c r="HG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HI12" i="2" s="1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FS12" i="2" l="1"/>
  <c r="EV12" i="2"/>
  <c r="HH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S13" i="2" s="1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EC13" i="2" s="1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I13" i="2" l="1"/>
  <c r="HG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B14" i="2" s="1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I14" i="2" s="1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EX14" i="2" s="1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HG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I15" i="2" s="1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HH16" i="2" s="1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FS16" i="2" s="1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X16" i="2" l="1"/>
  <c r="HI16" i="2"/>
  <c r="EC16" i="2"/>
  <c r="EA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HI17" i="2" s="1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EC17" i="2" s="1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EX17" i="2" l="1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DC18" i="2"/>
  <c r="W18" i="2"/>
  <c r="X18" i="2"/>
  <c r="BM18" i="2"/>
  <c r="AR18" i="2"/>
  <c r="CI18" i="2"/>
  <c r="HC18" i="2"/>
  <c r="HI18" i="2" s="1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EX18" i="2" s="1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C18" i="2" l="1"/>
  <c r="HG18" i="2"/>
  <c r="EA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EC19" i="2" s="1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EW20" i="2" s="1"/>
  <c r="DC20" i="2"/>
  <c r="CH20" i="2"/>
  <c r="BN20" i="2"/>
  <c r="AS20" i="2"/>
  <c r="AR20" i="2"/>
  <c r="FN20" i="2"/>
  <c r="HE20" i="2"/>
  <c r="DD20" i="2"/>
  <c r="X20" i="2"/>
  <c r="W20" i="2"/>
  <c r="HB20" i="2"/>
  <c r="HC20" i="2"/>
  <c r="HI20" i="2" s="1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C20" i="2" l="1"/>
  <c r="FS20" i="2"/>
  <c r="HH20" i="2"/>
  <c r="EV20" i="2"/>
  <c r="HG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EX21" i="2" s="1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H21" i="2" l="1"/>
  <c r="EW21" i="2"/>
  <c r="EV21" i="2"/>
  <c r="EB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I22" i="2" s="1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C22" i="2" l="1"/>
  <c r="EA22" i="2"/>
  <c r="HH22" i="2"/>
  <c r="EW22" i="2"/>
  <c r="HG22" i="2"/>
  <c r="EB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C23" i="2" l="1"/>
  <c r="HI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H24" i="2" s="1"/>
  <c r="HB24" i="2"/>
  <c r="HC24" i="2"/>
  <c r="HI24" i="2" s="1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EC24" i="2" s="1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EW24" i="2"/>
  <c r="HG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FS25" i="2" l="1"/>
  <c r="EC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HH26" i="2" s="1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C26" i="2" s="1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FS26" i="2" l="1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EC27" i="2" s="1"/>
  <c r="DB27" i="2"/>
  <c r="GH27" i="2"/>
  <c r="DZ27" i="2"/>
  <c r="DL27" i="2"/>
  <c r="DE27" i="2"/>
  <c r="EQ27" i="2"/>
  <c r="EH27" i="2"/>
  <c r="CJ27" i="2"/>
  <c r="CR27" i="2"/>
  <c r="FP27" i="2"/>
  <c r="FB27" i="2"/>
  <c r="ER27" i="2"/>
  <c r="EX27" i="2" s="1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HI27" i="2" l="1"/>
  <c r="FS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HI28" i="2" s="1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FS28" i="2" s="1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S29" i="2" s="1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EC29" i="2" l="1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X30" i="2" l="1"/>
  <c r="HI30" i="2"/>
  <c r="EV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FS32" i="2" s="1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HI32" i="2"/>
  <c r="EC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EA33" i="2"/>
  <c r="EV33" i="2"/>
  <c r="EB33" i="2"/>
  <c r="HG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FS35" i="2" s="1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B35" i="2"/>
  <c r="EA35" i="2"/>
  <c r="HI35" i="2"/>
  <c r="FQ35" i="2"/>
  <c r="HH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Q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B37" i="2" s="1"/>
  <c r="ET37" i="2"/>
  <c r="ES37" i="2"/>
  <c r="DD37" i="2"/>
  <c r="CH37" i="2"/>
  <c r="AS37" i="2"/>
  <c r="DX37" i="2"/>
  <c r="EA37" i="2" s="1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HI37" i="2" l="1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FS38" i="2" l="1"/>
  <c r="HH38" i="2"/>
  <c r="EX38" i="2"/>
  <c r="HI38" i="2"/>
  <c r="EW38" i="2"/>
  <c r="HG38" i="2"/>
  <c r="EA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EX39" i="2" s="1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FS39" i="2" l="1"/>
  <c r="HI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I40" i="2" s="1"/>
  <c r="HF40" i="2"/>
  <c r="GR40" i="2"/>
  <c r="GK40" i="2"/>
  <c r="GS40" i="2"/>
  <c r="FP40" i="2"/>
  <c r="GG40" i="2"/>
  <c r="FX40" i="2"/>
  <c r="GH40" i="2"/>
  <c r="FL40" i="2"/>
  <c r="FC40" i="2"/>
  <c r="FB40" i="2"/>
  <c r="ER40" i="2"/>
  <c r="EX40" i="2" s="1"/>
  <c r="DV40" i="2"/>
  <c r="DM40" i="2"/>
  <c r="DA40" i="2"/>
  <c r="FM40" i="2"/>
  <c r="FS40" i="2" s="1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HI41" i="2" s="1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AW41" i="2" l="1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EA42" i="2" s="1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V42" i="2" l="1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EA43" i="2" s="1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FS43" i="2" s="1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EX43" i="2" s="1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I43" i="2" l="1"/>
  <c r="HG43" i="2"/>
  <c r="DG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HI44" i="2" s="1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EW44" i="2"/>
  <c r="HG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X45" i="2" l="1"/>
  <c r="HG45" i="2"/>
  <c r="EC45" i="2"/>
  <c r="EB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FS46" i="2" s="1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C46" i="2" s="1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W46" i="2" l="1"/>
  <c r="HG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S47" i="2" s="1"/>
  <c r="FP47" i="2"/>
  <c r="EU47" i="2"/>
  <c r="EG47" i="2"/>
  <c r="DW47" i="2"/>
  <c r="EC47" i="2" s="1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HH48" i="2" s="1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EX48" i="2" s="1"/>
  <c r="DV48" i="2"/>
  <c r="DM48" i="2"/>
  <c r="DA48" i="2"/>
  <c r="FW48" i="2"/>
  <c r="EU48" i="2"/>
  <c r="EG48" i="2"/>
  <c r="DW48" i="2"/>
  <c r="EC48" i="2" s="1"/>
  <c r="DB48" i="2"/>
  <c r="DZ48" i="2"/>
  <c r="DL48" i="2"/>
  <c r="DE48" i="2"/>
  <c r="FM48" i="2"/>
  <c r="FS48" i="2" s="1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G48" i="2" l="1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EX49" i="2" s="1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I50" i="2" s="1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EW50" i="2"/>
  <c r="HG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EA51" i="2" s="1"/>
  <c r="DC51" i="2"/>
  <c r="DD51" i="2"/>
  <c r="BN51" i="2"/>
  <c r="FN51" i="2"/>
  <c r="CI51" i="2"/>
  <c r="BM51" i="2"/>
  <c r="W51" i="2"/>
  <c r="AS51" i="2"/>
  <c r="CH51" i="2"/>
  <c r="X51" i="2"/>
  <c r="AR51" i="2"/>
  <c r="HC51" i="2"/>
  <c r="HI51" i="2" s="1"/>
  <c r="HF51" i="2"/>
  <c r="GK51" i="2"/>
  <c r="HB51" i="2"/>
  <c r="GS51" i="2"/>
  <c r="GR51" i="2"/>
  <c r="GG51" i="2"/>
  <c r="FX51" i="2"/>
  <c r="GH51" i="2"/>
  <c r="FL51" i="2"/>
  <c r="FC51" i="2"/>
  <c r="FW51" i="2"/>
  <c r="FM51" i="2"/>
  <c r="FS51" i="2" s="1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EX51" i="2" s="1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C52" i="2" l="1"/>
  <c r="HI52" i="2"/>
  <c r="EB52" i="2"/>
  <c r="EX52" i="2"/>
  <c r="EV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EC53" i="2" s="1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I55" i="2" s="1"/>
  <c r="HF55" i="2"/>
  <c r="GK55" i="2"/>
  <c r="HB55" i="2"/>
  <c r="GS55" i="2"/>
  <c r="GG55" i="2"/>
  <c r="FX55" i="2"/>
  <c r="GR55" i="2"/>
  <c r="GH55" i="2"/>
  <c r="FL55" i="2"/>
  <c r="FC55" i="2"/>
  <c r="FW55" i="2"/>
  <c r="FM55" i="2"/>
  <c r="FS55" i="2" s="1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EX55" i="2" s="1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A55" i="2" l="1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FS56" i="2" l="1"/>
  <c r="EC56" i="2"/>
  <c r="HI56" i="2"/>
  <c r="HG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HI57" i="2" s="1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EC57" i="2" s="1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G57" i="2" l="1"/>
  <c r="EB57" i="2"/>
  <c r="EV57" i="2"/>
  <c r="HH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S58" i="2" s="1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C58" i="2" s="1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A58" i="2" l="1"/>
  <c r="EX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EX59" i="2" s="1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FS59" i="2" l="1"/>
  <c r="HI59" i="2"/>
  <c r="EC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HH60" i="2" s="1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EW60" i="2" s="1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EC60" i="2" s="1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G60" i="2" l="1"/>
  <c r="FS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X61" i="2" l="1"/>
  <c r="EA61" i="2"/>
  <c r="HI61" i="2"/>
  <c r="EV61" i="2"/>
  <c r="FS61" i="2"/>
  <c r="EW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I62" i="2" s="1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EX63" i="2" s="1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HI63" i="2" l="1"/>
  <c r="HG63" i="2"/>
  <c r="EC63" i="2"/>
  <c r="EB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EV64" i="2" s="1"/>
  <c r="DX64" i="2"/>
  <c r="EA64" i="2" s="1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HH64" i="2" l="1"/>
  <c r="EC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FS65" i="2" s="1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HH66" i="2" s="1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EW66" i="2" l="1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EV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EX68" i="2" l="1"/>
  <c r="FS68" i="2"/>
  <c r="HI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HI69" i="2" s="1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FS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EB70" i="2" s="1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EC70" i="2" s="1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FS70" i="2" l="1"/>
  <c r="HI70" i="2"/>
  <c r="EW70" i="2"/>
  <c r="HG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X71" i="2" l="1"/>
  <c r="FS71" i="2"/>
  <c r="HI71" i="2"/>
  <c r="EA71" i="2"/>
  <c r="EW71" i="2"/>
  <c r="HH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HI72" i="2"/>
  <c r="EB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EX73" i="2" s="1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EC74" i="2" l="1"/>
  <c r="FS74" i="2"/>
  <c r="FR74" i="2"/>
  <c r="HG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EX75" i="2" s="1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FS75" i="2"/>
  <c r="HI75" i="2"/>
  <c r="HG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FS77" i="2" l="1"/>
  <c r="EX77" i="2"/>
  <c r="EA77" i="2"/>
  <c r="EW77" i="2"/>
  <c r="EB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HI78" i="2" l="1"/>
  <c r="EW78" i="2"/>
  <c r="EV78" i="2"/>
  <c r="EC78" i="2"/>
  <c r="EB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I79" i="2" s="1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EX79" i="2"/>
  <c r="HG79" i="2"/>
  <c r="HH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HH80" i="2" s="1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FS80" i="2" l="1"/>
  <c r="EC80" i="2"/>
  <c r="HG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C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C82" i="2" s="1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G82" i="2" l="1"/>
  <c r="EV82" i="2"/>
  <c r="EX82" i="2"/>
  <c r="HH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C83" i="2" l="1"/>
  <c r="EW83" i="2"/>
  <c r="EX83" i="2"/>
  <c r="HI83" i="2"/>
  <c r="EV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HI84" i="2" s="1"/>
  <c r="GR84" i="2"/>
  <c r="GK84" i="2"/>
  <c r="HB84" i="2"/>
  <c r="GS84" i="2"/>
  <c r="HF84" i="2"/>
  <c r="FP84" i="2"/>
  <c r="GG84" i="2"/>
  <c r="FX84" i="2"/>
  <c r="GH84" i="2"/>
  <c r="FL84" i="2"/>
  <c r="FC84" i="2"/>
  <c r="FM84" i="2"/>
  <c r="FS84" i="2" s="1"/>
  <c r="FB84" i="2"/>
  <c r="ER84" i="2"/>
  <c r="DV84" i="2"/>
  <c r="DM84" i="2"/>
  <c r="DA84" i="2"/>
  <c r="EU84" i="2"/>
  <c r="EG84" i="2"/>
  <c r="DW84" i="2"/>
  <c r="EC84" i="2" s="1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HG84" i="2" l="1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HH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EB86" i="2" s="1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S86" i="2" s="1"/>
  <c r="FP86" i="2"/>
  <c r="DZ86" i="2"/>
  <c r="DL86" i="2"/>
  <c r="DE86" i="2"/>
  <c r="FX86" i="2"/>
  <c r="EQ86" i="2"/>
  <c r="EH86" i="2"/>
  <c r="CJ86" i="2"/>
  <c r="CR86" i="2"/>
  <c r="GG86" i="2"/>
  <c r="FB86" i="2"/>
  <c r="ER86" i="2"/>
  <c r="EX86" i="2" s="1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HI86" i="2" l="1"/>
  <c r="EA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FS87" i="2" l="1"/>
  <c r="HI87" i="2"/>
  <c r="EA87" i="2"/>
  <c r="EB87" i="2"/>
  <c r="HG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FS88" i="2" s="1"/>
  <c r="EU88" i="2"/>
  <c r="EG88" i="2"/>
  <c r="DW88" i="2"/>
  <c r="EC88" i="2" s="1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G88" i="2" l="1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HG89" i="2" s="1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S89" i="2" s="1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EC89" i="2" l="1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EX91" i="2" s="1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HI91" i="2" l="1"/>
  <c r="EA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HI92" i="2" s="1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FS92" i="2" s="1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EC93" i="2" s="1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FS93" i="2" l="1"/>
  <c r="HI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C94" i="2" s="1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S95" i="2" s="1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B95" i="2" l="1"/>
  <c r="FQ95" i="2"/>
  <c r="HI95" i="2"/>
  <c r="HG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EC97" i="2" s="1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S98" i="2" s="1"/>
  <c r="FP98" i="2"/>
  <c r="FX98" i="2"/>
  <c r="DZ98" i="2"/>
  <c r="DL98" i="2"/>
  <c r="DE98" i="2"/>
  <c r="GG98" i="2"/>
  <c r="EQ98" i="2"/>
  <c r="EH98" i="2"/>
  <c r="CJ98" i="2"/>
  <c r="CR98" i="2"/>
  <c r="FB98" i="2"/>
  <c r="ER98" i="2"/>
  <c r="EX98" i="2" s="1"/>
  <c r="DV98" i="2"/>
  <c r="DM98" i="2"/>
  <c r="DA98" i="2"/>
  <c r="GK98" i="2"/>
  <c r="EU98" i="2"/>
  <c r="DW98" i="2"/>
  <c r="EC98" i="2" s="1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W98" i="2" l="1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I99" i="2" s="1"/>
  <c r="HF99" i="2"/>
  <c r="GK99" i="2"/>
  <c r="HB99" i="2"/>
  <c r="GS99" i="2"/>
  <c r="GR99" i="2"/>
  <c r="GG99" i="2"/>
  <c r="FX99" i="2"/>
  <c r="GH99" i="2"/>
  <c r="FL99" i="2"/>
  <c r="FC99" i="2"/>
  <c r="FW99" i="2"/>
  <c r="FM99" i="2"/>
  <c r="FS99" i="2" s="1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EX99" i="2" s="1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X100" i="2" l="1"/>
  <c r="EW100" i="2"/>
  <c r="EV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S102" i="2" s="1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EX102" i="2" s="1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EX103" i="2" s="1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FS103" i="2" l="1"/>
  <c r="HI103" i="2"/>
  <c r="EA103" i="2"/>
  <c r="EC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I104" i="2" s="1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EC104" i="2" s="1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X105" i="2" l="1"/>
  <c r="HH105" i="2"/>
  <c r="EB105" i="2"/>
  <c r="EA105" i="2"/>
  <c r="EV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I106" i="2" l="1"/>
  <c r="HG106" i="2"/>
  <c r="EB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I107" i="2" s="1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C107" i="2" l="1"/>
  <c r="EB107" i="2"/>
  <c r="EX107" i="2"/>
  <c r="EA107" i="2"/>
  <c r="HG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EA108" i="2" s="1"/>
  <c r="CI108" i="2"/>
  <c r="BM108" i="2"/>
  <c r="FN108" i="2"/>
  <c r="DY108" i="2"/>
  <c r="EB108" i="2" s="1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X108" i="2" l="1"/>
  <c r="EW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HI109" i="2" s="1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X109" i="2" l="1"/>
  <c r="EC109" i="2"/>
  <c r="EB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I110" i="2"/>
  <c r="HG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EX111" i="2" s="1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FS112" i="2" s="1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X112" i="2" l="1"/>
  <c r="EB112" i="2"/>
  <c r="HI112" i="2"/>
  <c r="FQ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C113" i="2" l="1"/>
  <c r="EX113" i="2"/>
  <c r="EW113" i="2"/>
  <c r="EB113" i="2"/>
  <c r="HG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C114" i="2" s="1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HG114" i="2"/>
  <c r="EV114" i="2"/>
  <c r="HH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I115" i="2" s="1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FS115" i="2" s="1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C115" i="2" l="1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X116" i="2" l="1"/>
  <c r="EA116" i="2"/>
  <c r="HI116" i="2"/>
  <c r="EV116" i="2"/>
  <c r="HG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HI117" i="2" s="1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C117" i="2" l="1"/>
  <c r="EX117" i="2"/>
  <c r="HG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S118" i="2" s="1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HI118" i="2" l="1"/>
  <c r="FQ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HI119" i="2" l="1"/>
  <c r="HG119" i="2"/>
  <c r="EX119" i="2"/>
  <c r="FR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I120" i="2" s="1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EC120" i="2" s="1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R120" i="2" l="1"/>
  <c r="HH120" i="2"/>
  <c r="FQ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B121" i="2" l="1"/>
  <c r="FR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I122" i="2" s="1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EW122" i="2"/>
  <c r="FS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EC123" i="2" s="1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HH124" i="2" s="1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EC124" i="2" s="1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I124" i="2" l="1"/>
  <c r="HG124" i="2"/>
  <c r="EX124" i="2"/>
  <c r="EW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EC125" i="2" s="1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FS125" i="2" l="1"/>
  <c r="HI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I126" i="2" s="1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I127" i="2" s="1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EC127" i="2" s="1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FS127" i="2" l="1"/>
  <c r="EV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EB128" i="2" s="1"/>
  <c r="CI128" i="2"/>
  <c r="BM128" i="2"/>
  <c r="DC128" i="2"/>
  <c r="AR128" i="2"/>
  <c r="CH128" i="2"/>
  <c r="DD128" i="2"/>
  <c r="BN128" i="2"/>
  <c r="AS128" i="2"/>
  <c r="X128" i="2"/>
  <c r="W128" i="2"/>
  <c r="HC128" i="2"/>
  <c r="HI128" i="2" s="1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EX128" i="2" s="1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V128" i="2" l="1"/>
  <c r="HG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C129" i="2"/>
  <c r="EX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HH130" i="2" s="1"/>
  <c r="GI130" i="2"/>
  <c r="GJ130" i="2"/>
  <c r="ET130" i="2"/>
  <c r="FN130" i="2"/>
  <c r="DD130" i="2"/>
  <c r="BN130" i="2"/>
  <c r="CH130" i="2"/>
  <c r="AS130" i="2"/>
  <c r="DY130" i="2"/>
  <c r="EB130" i="2" s="1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HG130" i="2"/>
  <c r="FS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EC131" i="2" s="1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EX131" i="2" s="1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FS131" i="2" l="1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EC132" i="2" s="1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HI132" i="2" l="1"/>
  <c r="HG132" i="2"/>
  <c r="FS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HI133" i="2" s="1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HH133" i="2"/>
  <c r="EV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EC134" i="2" s="1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W134" i="2" l="1"/>
  <c r="HG134" i="2"/>
  <c r="EV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I135" i="2" s="1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FS135" i="2" l="1"/>
  <c r="EW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I136" i="2" s="1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EX137" i="2" l="1"/>
  <c r="HH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HI138" i="2" l="1"/>
  <c r="EB138" i="2"/>
  <c r="EC138" i="2"/>
  <c r="EV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I139" i="2" s="1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W139" i="2" l="1"/>
  <c r="FS139" i="2"/>
  <c r="HH139" i="2"/>
  <c r="EA139" i="2"/>
  <c r="EB139" i="2"/>
  <c r="EX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HI140" i="2" s="1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EC140" i="2" s="1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G140" i="2"/>
  <c r="HH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HG141" i="2" s="1"/>
  <c r="CH141" i="2"/>
  <c r="CI141" i="2"/>
  <c r="BM141" i="2"/>
  <c r="DY141" i="2"/>
  <c r="EB141" i="2" s="1"/>
  <c r="X141" i="2"/>
  <c r="DD141" i="2"/>
  <c r="DC141" i="2"/>
  <c r="BN141" i="2"/>
  <c r="AR141" i="2"/>
  <c r="DX141" i="2"/>
  <c r="AS141" i="2"/>
  <c r="W141" i="2"/>
  <c r="HF141" i="2"/>
  <c r="HC141" i="2"/>
  <c r="HI141" i="2" s="1"/>
  <c r="GR141" i="2"/>
  <c r="GK141" i="2"/>
  <c r="HB141" i="2"/>
  <c r="GS141" i="2"/>
  <c r="FW141" i="2"/>
  <c r="FM141" i="2"/>
  <c r="FS141" i="2" s="1"/>
  <c r="FP141" i="2"/>
  <c r="GG141" i="2"/>
  <c r="FX141" i="2"/>
  <c r="EQ141" i="2"/>
  <c r="EH141" i="2"/>
  <c r="CJ141" i="2"/>
  <c r="GH141" i="2"/>
  <c r="FL141" i="2"/>
  <c r="FC141" i="2"/>
  <c r="FB141" i="2"/>
  <c r="ER141" i="2"/>
  <c r="EX141" i="2" s="1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EA141" i="2" l="1"/>
  <c r="HH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FS142" i="2" s="1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I142" i="2" l="1"/>
  <c r="HG142" i="2"/>
  <c r="EW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C143" i="2" l="1"/>
  <c r="HI143" i="2"/>
  <c r="FS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HH144" i="2" s="1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HI144" i="2" s="1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HG144" i="2" l="1"/>
  <c r="EA144" i="2"/>
  <c r="FR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HI145" i="2" s="1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HG145" i="2" l="1"/>
  <c r="HH145" i="2"/>
  <c r="EX145" i="2"/>
  <c r="FR145" i="2"/>
  <c r="EB145" i="2"/>
  <c r="EA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I146" i="2" s="1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X146" i="2" l="1"/>
  <c r="FS146" i="2"/>
  <c r="HH146" i="2"/>
  <c r="EA146" i="2"/>
  <c r="FR146" i="2"/>
  <c r="HG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EW147" i="2" s="1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EX148" i="2" s="1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HH149" i="2" s="1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S149" i="2" s="1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EC149" i="2" s="1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EC150" i="2" s="1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HI150" i="2" l="1"/>
  <c r="HG150" i="2"/>
  <c r="EV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I151" i="2" s="1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EC151" i="2" s="1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V151" i="2" l="1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FS152" i="2" l="1"/>
  <c r="EC152" i="2"/>
  <c r="HI152" i="2"/>
  <c r="EB152" i="2"/>
  <c r="EV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FS153" i="2" l="1"/>
  <c r="HI153" i="2"/>
  <c r="EA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X154" i="2" s="1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X155" i="2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HH156" i="2" s="1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HI156" i="2" l="1"/>
  <c r="FS156" i="2"/>
  <c r="AB156" i="2"/>
  <c r="HG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H157" i="2" s="1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EX157" i="2" s="1"/>
  <c r="DM157" i="2"/>
  <c r="ES157" i="2"/>
  <c r="ET157" i="2"/>
  <c r="DW157" i="2"/>
  <c r="CQ157" i="2"/>
  <c r="BW157" i="2"/>
  <c r="FB157" i="2"/>
  <c r="DX157" i="2"/>
  <c r="EA157" i="2" s="1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EB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V158" i="2"/>
  <c r="EW158" i="2"/>
  <c r="HH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FS159" i="2" s="1"/>
  <c r="GS159" i="2"/>
  <c r="GG159" i="2"/>
  <c r="FN159" i="2"/>
  <c r="HB159" i="2"/>
  <c r="GH159" i="2"/>
  <c r="FO159" i="2"/>
  <c r="HC159" i="2"/>
  <c r="GI159" i="2"/>
  <c r="FP159" i="2"/>
  <c r="EG159" i="2"/>
  <c r="ER159" i="2"/>
  <c r="EX159" i="2" s="1"/>
  <c r="FL159" i="2"/>
  <c r="ES159" i="2"/>
  <c r="ET159" i="2"/>
  <c r="DW159" i="2"/>
  <c r="EC159" i="2" s="1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I159" i="2" l="1"/>
  <c r="ED158" i="2"/>
  <c r="EA159" i="2"/>
  <c r="HH159" i="2"/>
  <c r="EV159" i="2"/>
  <c r="EB159" i="2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GJ160" i="2"/>
  <c r="EH160" i="2"/>
  <c r="ET160" i="2"/>
  <c r="DL160" i="2"/>
  <c r="FM160" i="2"/>
  <c r="FS160" i="2" s="1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HG160" i="2" l="1"/>
  <c r="HH160" i="2"/>
  <c r="ED159" i="2"/>
  <c r="EC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HH161" i="2" s="1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B161" i="2" l="1"/>
  <c r="EX161" i="2"/>
  <c r="HG161" i="2"/>
  <c r="FS161" i="2"/>
  <c r="AB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HH162" i="2" s="1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B162" i="2" s="1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W162" i="2" l="1"/>
  <c r="HG162" i="2"/>
  <c r="FS162" i="2"/>
  <c r="EC162" i="2"/>
  <c r="AU162" i="2"/>
  <c r="EX162" i="2"/>
  <c r="EA162" i="2"/>
  <c r="ED162" i="2" s="1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FS163" i="2" s="1"/>
  <c r="GS163" i="2"/>
  <c r="GG163" i="2"/>
  <c r="FN163" i="2"/>
  <c r="HB163" i="2"/>
  <c r="GH163" i="2"/>
  <c r="FO163" i="2"/>
  <c r="HC163" i="2"/>
  <c r="HD163" i="2"/>
  <c r="HG163" i="2" s="1"/>
  <c r="GJ163" i="2"/>
  <c r="HE163" i="2"/>
  <c r="GK163" i="2"/>
  <c r="FB163" i="2"/>
  <c r="HF163" i="2"/>
  <c r="FC163" i="2"/>
  <c r="FW163" i="2"/>
  <c r="FL163" i="2"/>
  <c r="ES163" i="2"/>
  <c r="EV163" i="2" s="1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EA163" i="2" s="1"/>
  <c r="DA163" i="2"/>
  <c r="CG163" i="2"/>
  <c r="DY163" i="2"/>
  <c r="EB163" i="2" s="1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C163" i="2" l="1"/>
  <c r="HI163" i="2"/>
  <c r="HH163" i="2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G164" i="2" s="1"/>
  <c r="HE164" i="2"/>
  <c r="HH164" i="2" s="1"/>
  <c r="GK164" i="2"/>
  <c r="FB164" i="2"/>
  <c r="HF164" i="2"/>
  <c r="FC164" i="2"/>
  <c r="FW164" i="2"/>
  <c r="FL164" i="2"/>
  <c r="GR164" i="2"/>
  <c r="FX164" i="2"/>
  <c r="FM164" i="2"/>
  <c r="FS164" i="2" s="1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EC164" i="2" l="1"/>
  <c r="EA164" i="2"/>
  <c r="HI164" i="2"/>
  <c r="EX164" i="2"/>
  <c r="EV164" i="2"/>
  <c r="FR164" i="2"/>
  <c r="DI163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B165" i="2" l="1"/>
  <c r="HH165" i="2"/>
  <c r="EC165" i="2"/>
  <c r="HG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CN165" i="2" l="1"/>
  <c r="HG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HI167" i="2" s="1"/>
  <c r="GI167" i="2"/>
  <c r="FP167" i="2"/>
  <c r="EG167" i="2"/>
  <c r="FL167" i="2"/>
  <c r="EQ167" i="2"/>
  <c r="FW167" i="2"/>
  <c r="EU167" i="2"/>
  <c r="DW167" i="2"/>
  <c r="EC167" i="2" s="1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DG167" i="2" s="1"/>
  <c r="CJ167" i="2"/>
  <c r="BK167" i="2"/>
  <c r="AR167" i="2"/>
  <c r="DE167" i="2"/>
  <c r="BL167" i="2"/>
  <c r="AS167" i="2"/>
  <c r="BV167" i="2"/>
  <c r="BO167" i="2"/>
  <c r="BB167" i="2"/>
  <c r="ER167" i="2"/>
  <c r="EX167" i="2" s="1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A167" i="2" l="1"/>
  <c r="EB167" i="2"/>
  <c r="FR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EV168" i="2" s="1"/>
  <c r="DL168" i="2"/>
  <c r="FM168" i="2"/>
  <c r="FS168" i="2" s="1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EW168" i="2" s="1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X168" i="2" l="1"/>
  <c r="HH168" i="2"/>
  <c r="EB168" i="2"/>
  <c r="DI167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HH169" i="2" s="1"/>
  <c r="GK169" i="2"/>
  <c r="FB169" i="2"/>
  <c r="EQ169" i="2"/>
  <c r="EU169" i="2"/>
  <c r="DM169" i="2"/>
  <c r="FN169" i="2"/>
  <c r="EH169" i="2"/>
  <c r="DY169" i="2"/>
  <c r="EB169" i="2" s="1"/>
  <c r="GG169" i="2"/>
  <c r="ES169" i="2"/>
  <c r="DC169" i="2"/>
  <c r="CI169" i="2"/>
  <c r="ET169" i="2"/>
  <c r="DL169" i="2"/>
  <c r="DD169" i="2"/>
  <c r="CJ169" i="2"/>
  <c r="DW169" i="2"/>
  <c r="DX169" i="2"/>
  <c r="EA169" i="2" s="1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X169" i="2" l="1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EX170" i="2" l="1"/>
  <c r="HI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I171" i="2" s="1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C171" i="2" l="1"/>
  <c r="FS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W172" i="2" s="1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V172" i="2" l="1"/>
  <c r="HG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H173" i="2" s="1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EB173" i="2" s="1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C173" i="2" l="1"/>
  <c r="HI173" i="2"/>
  <c r="EX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HH174" i="2"/>
  <c r="EA174" i="2"/>
  <c r="ED174" i="2" s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EC175" i="2" s="1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AX172" i="2"/>
  <c r="EW175" i="2" l="1"/>
  <c r="FS175" i="2"/>
  <c r="EA175" i="2"/>
  <c r="HI175" i="2"/>
  <c r="EX175" i="2"/>
  <c r="EB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FS176" i="2" s="1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X176" i="2" l="1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HH177" i="2" s="1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EX177" i="2" s="1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I177" i="2" l="1"/>
  <c r="EC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EA178" i="2" s="1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HG178" i="2"/>
  <c r="FS178" i="2"/>
  <c r="HI178" i="2"/>
  <c r="EX178" i="2"/>
  <c r="FQ178" i="2"/>
  <c r="HH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FS179" i="2" s="1"/>
  <c r="GS179" i="2"/>
  <c r="GG179" i="2"/>
  <c r="FN179" i="2"/>
  <c r="HB179" i="2"/>
  <c r="GH179" i="2"/>
  <c r="FO179" i="2"/>
  <c r="HC179" i="2"/>
  <c r="HD179" i="2"/>
  <c r="HG179" i="2" s="1"/>
  <c r="GJ179" i="2"/>
  <c r="HE179" i="2"/>
  <c r="HH179" i="2" s="1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A179" i="2" s="1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DF179" i="2" s="1"/>
  <c r="CG179" i="2"/>
  <c r="W179" i="2"/>
  <c r="AX176" i="2"/>
  <c r="ED178" i="2"/>
  <c r="EX179" i="2" l="1"/>
  <c r="HI179" i="2"/>
  <c r="EV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EC180" i="2" l="1"/>
  <c r="HG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HI181" i="2" s="1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EC181" i="2" s="1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HG181" i="2" l="1"/>
  <c r="EV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C182" i="2" l="1"/>
  <c r="EX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EX183" i="2" s="1"/>
  <c r="DM183" i="2"/>
  <c r="ET183" i="2"/>
  <c r="DV183" i="2"/>
  <c r="CH183" i="2"/>
  <c r="BK183" i="2"/>
  <c r="DW183" i="2"/>
  <c r="CQ183" i="2"/>
  <c r="CI183" i="2"/>
  <c r="BL183" i="2"/>
  <c r="DX183" i="2"/>
  <c r="EA183" i="2" s="1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B183" i="2" l="1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FS184" i="2" s="1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EX184" i="2" l="1"/>
  <c r="EC184" i="2"/>
  <c r="AW184" i="2"/>
  <c r="EB184" i="2"/>
  <c r="EV184" i="2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HG185" i="2" s="1"/>
  <c r="GJ185" i="2"/>
  <c r="HE185" i="2"/>
  <c r="HH185" i="2" s="1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EW185" i="2" s="1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D184" i="2"/>
  <c r="EA185" i="2" l="1"/>
  <c r="EV185" i="2"/>
  <c r="EB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FR186" i="2" s="1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G186" i="2" l="1"/>
  <c r="EA186" i="2"/>
  <c r="HH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I187" i="2" s="1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EX187" i="2" s="1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H187" i="2" l="1"/>
  <c r="HG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G188" i="2" s="1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FS188" i="2" l="1"/>
  <c r="HI188" i="2"/>
  <c r="EC188" i="2"/>
  <c r="EV188" i="2"/>
  <c r="EY188" i="2" s="1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HI189" i="2" s="1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FS189" i="2" s="1"/>
  <c r="GS189" i="2"/>
  <c r="GG189" i="2"/>
  <c r="FN189" i="2"/>
  <c r="EU189" i="2"/>
  <c r="GK189" i="2"/>
  <c r="ER189" i="2"/>
  <c r="EH189" i="2"/>
  <c r="DW189" i="2"/>
  <c r="EC189" i="2" s="1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A189" i="2" s="1"/>
  <c r="AX186" i="2"/>
  <c r="EB189" i="2" l="1"/>
  <c r="HH189" i="2"/>
  <c r="EX189" i="2"/>
  <c r="EA189" i="2"/>
  <c r="ED189" i="2" s="1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HI190" i="2" s="1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EV190" i="2" s="1"/>
  <c r="DY190" i="2"/>
  <c r="EB190" i="2" s="1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Y189" i="2"/>
  <c r="AX187" i="2"/>
  <c r="EW190" i="2" l="1"/>
  <c r="HG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HG191" i="2" s="1"/>
  <c r="GJ191" i="2"/>
  <c r="HE191" i="2"/>
  <c r="HH191" i="2" s="1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X191" i="2" s="1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EW191" i="2" l="1"/>
  <c r="EC191" i="2"/>
  <c r="HI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EC192" i="2" s="1"/>
  <c r="CQ192" i="2"/>
  <c r="CI192" i="2"/>
  <c r="BN192" i="2"/>
  <c r="EQ192" i="2"/>
  <c r="DX192" i="2"/>
  <c r="CR192" i="2"/>
  <c r="CJ192" i="2"/>
  <c r="BO192" i="2"/>
  <c r="ER192" i="2"/>
  <c r="DY192" i="2"/>
  <c r="ES192" i="2"/>
  <c r="EV192" i="2" s="1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B192" i="2" l="1"/>
  <c r="EW192" i="2"/>
  <c r="HG192" i="2"/>
  <c r="EA192" i="2"/>
  <c r="HH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A193" i="2" l="1"/>
  <c r="EX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HI194" i="2" s="1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FQ194" i="2" l="1"/>
  <c r="HG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EX195" i="2" s="1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B195" i="2"/>
  <c r="HI195" i="2"/>
  <c r="EA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HH196" i="2" s="1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FS196" i="2" l="1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EA197" i="2" s="1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W197" i="2" l="1"/>
  <c r="EC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EV198" i="2" s="1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EW198" i="2" s="1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FS198" i="2" l="1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HG199" i="2" s="1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FS199" i="2" s="1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I199" i="2" l="1"/>
  <c r="HH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HI200" i="2" s="1"/>
  <c r="GI200" i="2"/>
  <c r="HD200" i="2"/>
  <c r="GJ200" i="2"/>
  <c r="FL200" i="2"/>
  <c r="EU200" i="2"/>
  <c r="FX200" i="2"/>
  <c r="FM200" i="2"/>
  <c r="FS200" i="2" s="1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EX200" i="2" s="1"/>
  <c r="DW200" i="2"/>
  <c r="EC200" i="2" s="1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W200" i="2" l="1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ED200" i="2"/>
  <c r="DI200" i="2"/>
  <c r="EA201" i="2" l="1"/>
  <c r="EB201" i="2"/>
  <c r="EX201" i="2"/>
  <c r="HI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R202" i="2" l="1"/>
  <c r="EX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R203" i="2" s="1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BP203" i="2" l="1"/>
  <c r="HI203" i="2"/>
  <c r="EC203" i="2"/>
  <c r="EX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CN203" i="2" s="1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I134" i="2" s="1"/>
  <c r="BE109" i="2"/>
  <c r="BS107" i="2"/>
  <c r="BI18" i="2" l="1"/>
  <c r="BI98" i="2"/>
  <c r="BI162" i="2"/>
  <c r="BI201" i="2"/>
  <c r="BI67" i="2"/>
  <c r="BI123" i="2"/>
  <c r="BI88" i="2"/>
  <c r="BI149" i="2"/>
  <c r="BI188" i="2"/>
  <c r="BI58" i="2"/>
  <c r="BI15" i="2"/>
  <c r="BI174" i="2"/>
  <c r="BI45" i="2"/>
  <c r="BI150" i="2"/>
  <c r="BI159" i="2"/>
  <c r="BI190" i="2"/>
  <c r="BI111" i="2"/>
  <c r="BI86" i="2"/>
  <c r="BI52" i="2"/>
  <c r="BI103" i="2"/>
  <c r="BI22" i="2"/>
  <c r="BI154" i="2"/>
  <c r="BI166" i="2"/>
  <c r="BI49" i="2"/>
  <c r="BI73" i="2"/>
  <c r="BI90" i="2"/>
  <c r="BI70" i="2"/>
  <c r="BI106" i="2"/>
  <c r="BI7" i="2"/>
  <c r="BI139" i="2"/>
  <c r="BI125" i="2"/>
  <c r="BI142" i="2"/>
  <c r="BI55" i="2"/>
  <c r="BI5" i="2"/>
  <c r="BI61" i="2"/>
  <c r="BI196" i="2"/>
  <c r="BI107" i="2"/>
  <c r="BI31" i="2"/>
  <c r="BI23" i="2"/>
  <c r="BI157" i="2"/>
  <c r="BI189" i="2"/>
  <c r="BI192" i="2"/>
  <c r="BI179" i="2"/>
  <c r="BI21" i="2"/>
  <c r="BI119" i="2"/>
  <c r="BI193" i="2"/>
  <c r="BI69" i="2"/>
  <c r="BI117" i="2"/>
  <c r="BI17" i="2"/>
  <c r="BI99" i="2"/>
  <c r="BI121" i="2"/>
  <c r="BI181" i="2"/>
  <c r="BI180" i="2"/>
  <c r="BI37" i="2"/>
  <c r="BI64" i="2"/>
  <c r="BI118" i="2"/>
  <c r="BI78" i="2"/>
  <c r="BI112" i="2"/>
  <c r="BI105" i="2"/>
  <c r="BI140" i="2"/>
  <c r="BI198" i="2"/>
  <c r="BI26" i="2"/>
  <c r="BI8" i="2"/>
  <c r="BI122" i="2"/>
  <c r="BI60" i="2"/>
  <c r="BI20" i="2"/>
  <c r="BI54" i="2"/>
  <c r="BI27" i="2"/>
  <c r="BI63" i="2"/>
  <c r="BI145" i="2"/>
  <c r="BI104" i="2"/>
  <c r="BI62" i="2"/>
  <c r="BI141" i="2"/>
  <c r="BI200" i="2"/>
  <c r="BI131" i="2"/>
  <c r="BI171" i="2"/>
  <c r="BI138" i="2"/>
  <c r="BI128" i="2"/>
  <c r="BI30" i="2"/>
  <c r="BI65" i="2"/>
  <c r="BI172" i="2"/>
  <c r="BI155" i="2"/>
  <c r="BI33" i="2"/>
  <c r="BI184" i="2"/>
  <c r="BI137" i="2"/>
  <c r="BI186" i="2"/>
  <c r="BI197" i="2"/>
  <c r="BI4" i="2"/>
  <c r="BI3" i="2"/>
  <c r="C8" i="4" s="1"/>
  <c r="E8" i="4" s="1"/>
  <c r="F8" i="4" s="1"/>
  <c r="G8" i="4" s="1"/>
  <c r="L8" i="4" s="1"/>
  <c r="BI97" i="2"/>
  <c r="BI96" i="2"/>
  <c r="BI46" i="2"/>
  <c r="BI126" i="2"/>
  <c r="BI84" i="2"/>
  <c r="BI35" i="2"/>
  <c r="BI28" i="2"/>
  <c r="BI163" i="2"/>
  <c r="BI44" i="2"/>
  <c r="BI47" i="2"/>
  <c r="BI199" i="2"/>
  <c r="BI36" i="2"/>
  <c r="BI91" i="2"/>
  <c r="BI194" i="2"/>
  <c r="BI109" i="2"/>
  <c r="BI11" i="2"/>
  <c r="BI161" i="2"/>
  <c r="BI82" i="2"/>
  <c r="BI146" i="2"/>
  <c r="BI25" i="2"/>
  <c r="BI185" i="2"/>
  <c r="BI151" i="2"/>
  <c r="BI124" i="2"/>
  <c r="BI43" i="2"/>
  <c r="BI129" i="2"/>
  <c r="BI173" i="2"/>
  <c r="BI165" i="2"/>
  <c r="BI87" i="2"/>
  <c r="BI115" i="2"/>
  <c r="BI169" i="2"/>
  <c r="BI56" i="2"/>
  <c r="BI116" i="2"/>
  <c r="BI195" i="2"/>
  <c r="BI59" i="2"/>
  <c r="BI148" i="2"/>
  <c r="BI203" i="2"/>
  <c r="BI6" i="2"/>
  <c r="BI12" i="2"/>
  <c r="BI85" i="2"/>
  <c r="BI160" i="2"/>
  <c r="BI101" i="2"/>
  <c r="BI66" i="2"/>
  <c r="BI170" i="2"/>
  <c r="BI147" i="2"/>
  <c r="BI130" i="2"/>
  <c r="BI183" i="2"/>
  <c r="BI120" i="2"/>
  <c r="BI41" i="2"/>
  <c r="BI143" i="2"/>
  <c r="BI71" i="2"/>
  <c r="BI19" i="2"/>
  <c r="BI108" i="2"/>
  <c r="BI100" i="2"/>
  <c r="BI38" i="2"/>
  <c r="BI164" i="2"/>
  <c r="BI74" i="2"/>
  <c r="BI113" i="2"/>
  <c r="BI24" i="2"/>
  <c r="BI39" i="2"/>
  <c r="BI50" i="2"/>
  <c r="BI51" i="2"/>
  <c r="BI93" i="2"/>
  <c r="BI177" i="2"/>
  <c r="BI132" i="2"/>
  <c r="BI32" i="2"/>
  <c r="BI94" i="2"/>
  <c r="BI144" i="2"/>
  <c r="BI182" i="2"/>
  <c r="BI176" i="2"/>
  <c r="BI10" i="2"/>
  <c r="BI57" i="2"/>
  <c r="BI42" i="2"/>
  <c r="BI187" i="2"/>
  <c r="BI83" i="2"/>
  <c r="BI40" i="2"/>
  <c r="BI158" i="2"/>
  <c r="BI81" i="2"/>
  <c r="BI75" i="2"/>
  <c r="BI9" i="2"/>
  <c r="BI68" i="2"/>
  <c r="BI127" i="2"/>
  <c r="BI114" i="2"/>
  <c r="BI72" i="2"/>
  <c r="BI133" i="2"/>
  <c r="BI156" i="2"/>
  <c r="BI16" i="2"/>
  <c r="BI48" i="2"/>
  <c r="BI95" i="2"/>
  <c r="BI76" i="2"/>
  <c r="BI102" i="2"/>
  <c r="BI135" i="2"/>
  <c r="BI53" i="2"/>
  <c r="BI136" i="2"/>
  <c r="BI168" i="2"/>
  <c r="BI79" i="2"/>
  <c r="BI175" i="2"/>
  <c r="BI13" i="2"/>
  <c r="BI14" i="2"/>
  <c r="BI202" i="2"/>
  <c r="BI152" i="2"/>
  <c r="BI191" i="2"/>
  <c r="BI153" i="2"/>
  <c r="BI167" i="2"/>
  <c r="BI89" i="2"/>
  <c r="BI110" i="2"/>
  <c r="BI92" i="2"/>
  <c r="BI77" i="2"/>
  <c r="BI34" i="2"/>
  <c r="BI29" i="2"/>
  <c r="BI178" i="2"/>
  <c r="BI80" i="2"/>
  <c r="FE197" i="2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<sst xmlns="http://schemas.openxmlformats.org/spreadsheetml/2006/main" count="1168" uniqueCount="321">
  <si>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</si>
  <si>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</si>
  <si>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</si>
  <si>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</si>
  <si>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</si>
  <si>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</si>
  <si>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</si>
  <si>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</si>
  <si>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</si>
  <si>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</si>
  <si>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</si>
  <si>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</si>
  <si>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</si>
  <si>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</si>
  <si>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</si>
  <si>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</si>
  <si>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</si>
  <si>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</si>
  <si>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</si>
  <si>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</si>
  <si>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</si>
  <si>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</si>
  <si>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</si>
  <si>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</si>
  <si>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</si>
  <si>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</si>
  <si>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</si>
  <si>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</si>
  <si>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</si>
  <si>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</si>
  <si>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</si>
  <si>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</si>
  <si>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</si>
  <si>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</si>
  <si>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</si>
  <si>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</si>
  <si>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</si>
  <si>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</si>
  <si>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</si>
  <si>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</si>
  <si>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</si>
  <si>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</si>
  <si>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</si>
  <si>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</si>
  <si>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</si>
  <si>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</si>
  <si>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</si>
  <si>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</si>
  <si>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</si>
  <si>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</si>
  <si>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</si>
  <si>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</si>
  <si>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</si>
  <si>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</si>
  <si>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</si>
  <si>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</si>
  <si>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</si>
  <si>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</si>
  <si>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</si>
  <si>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</si>
  <si>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</si>
  <si>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</si>
  <si>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</si>
  <si>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</si>
  <si>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</si>
  <si>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</si>
  <si>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</si>
  <si>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</si>
  <si>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</si>
  <si>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</si>
  <si>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</si>
  <si>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</si>
  <si>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</si>
  <si>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</si>
  <si>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</si>
  <si>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</si>
  <si>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</si>
  <si>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</si>
  <si>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</si>
  <si>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</si>
  <si>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</si>
  <si>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</si>
  <si>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</si>
  <si>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</si>
  <si>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</si>
  <si>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</si>
  <si>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</si>
  <si>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</si>
  <si>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</si>
  <si>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</si>
  <si>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</si>
  <si>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</si>
  <si>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</si>
  <si>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</si>
  <si>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</si>
  <si>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</si>
  <si>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</si>
  <si>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</si>
  <si>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</si>
  <si>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</si>
  <si>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</si>
  <si>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</si>
  <si>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</si>
  <si>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</si>
  <si>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</si>
  <si>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</si>
  <si>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</si>
  <si>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</si>
  <si>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</si>
  <si>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</si>
  <si>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</si>
  <si>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</si>
  <si>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</si>
  <si>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</si>
  <si>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</si>
  <si>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</si>
  <si>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</si>
  <si>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</si>
  <si>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</si>
  <si>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</si>
  <si>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</si>
  <si>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</si>
  <si>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</si>
  <si>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</si>
  <si>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</si>
  <si>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</si>
  <si>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</si>
  <si>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</si>
  <si>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</si>
  <si>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</si>
  <si>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</si>
  <si>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</si>
  <si>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</si>
  <si>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</si>
  <si>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</si>
  <si>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</si>
  <si>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</si>
  <si>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</si>
  <si>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</si>
  <si>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</si>
  <si>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</si>
  <si>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</si>
  <si>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</si>
  <si>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</si>
  <si>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</si>
  <si>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</si>
  <si>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</si>
  <si>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</si>
  <si>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</si>
  <si>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</si>
  <si>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</si>
  <si>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</si>
  <si>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</si>
  <si>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</si>
  <si>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</si>
  <si>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</si>
  <si>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</si>
  <si>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</si>
  <si>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</si>
  <si>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</si>
  <si>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</si>
  <si>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</si>
  <si>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</si>
  <si>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</si>
  <si>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</si>
  <si>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</si>
  <si>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</si>
  <si>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</si>
  <si>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</si>
  <si>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</si>
  <si>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</si>
  <si>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</si>
  <si>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</si>
  <si>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</si>
  <si>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</si>
  <si>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</si>
  <si>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</si>
  <si>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</si>
  <si>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</si>
  <si>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</si>
  <si>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</si>
  <si>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</si>
  <si>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</si>
  <si>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</si>
  <si>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</si>
  <si>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</si>
  <si>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</si>
  <si>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</si>
  <si>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</si>
  <si>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</si>
  <si>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</si>
  <si>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</si>
  <si>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</si>
  <si>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</si>
  <si>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</si>
  <si>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</si>
  <si>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</si>
  <si>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</si>
  <si>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</si>
  <si>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</si>
  <si>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</si>
  <si>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</si>
  <si>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</si>
  <si>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</si>
  <si>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</si>
  <si>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</si>
  <si>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</si>
  <si>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</si>
  <si>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</si>
  <si>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</si>
  <si>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</si>
  <si>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</si>
  <si>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</si>
  <si>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</si>
  <si>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</si>
  <si>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</si>
  <si>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</si>
  <si>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</si>
  <si>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</si>
  <si>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</si>
  <si>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</si>
  <si>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</si>
  <si>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</si>
  <si>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</si>
  <si>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</si>
  <si>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</si>
  <si>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</si>
  <si>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</si>
  <si>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</si>
  <si>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</si>
  <si>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</si>
  <si>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</si>
  <si>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</si>
  <si>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</si>
  <si>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</si>
  <si>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</si>
  <si>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</si>
  <si>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</si>
  <si>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</si>
  <si>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</si>
  <si>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</si>
  <si>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</si>
  <si>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</si>
  <si>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</si>
  <si>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</si>
  <si>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</si>
  <si>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</si>
  <si>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</si>
  <si>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</si>
  <si>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</si>
  <si>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</si>
  <si>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</si>
  <si>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</si>
  <si>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</si>
  <si>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</si>
  <si>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</si>
  <si>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</si>
  <si>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</si>
  <si>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</si>
  <si>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</si>
  <si>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</si>
  <si>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</si>
  <si>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</si>
  <si>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</si>
  <si>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</si>
  <si>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</si>
  <si>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</si>
  <si>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</si>
  <si>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</si>
  <si>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</si>
  <si>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</si>
  <si>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</si>
  <si>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</si>
  <si>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</si>
  <si>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</si>
  <si>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</si>
  <si>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</si>
  <si>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</si>
  <si>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</si>
  <si>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</si>
  <si>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</si>
  <si>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</si>
  <si>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</si>
  <si>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</si>
  <si>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</si>
  <si>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</si>
  <si>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</si>
  <si>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Coûts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</si>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</sst>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37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9" fontId="9" fillId="14" borderId="1" xfId="1" applyFont="1" applyFill="1" applyBorder="1" applyAlignment="1" applyProtection="1">
      <alignment horizontal="center"/>
      <protection locked="0"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1.798593949207703</c:v>
                </c:pt>
                <c:pt idx="2">
                  <c:v>2.2256540279235608</c:v>
                </c:pt>
                <c:pt idx="3">
                  <c:v>2.7545128358231423</c:v>
                </c:pt>
                <c:pt idx="4">
                  <c:v>3.4095257388585782</c:v>
                </c:pt>
                <c:pt idx="5">
                  <c:v>4.2208952223887648</c:v>
                </c:pt>
                <c:pt idx="6">
                  <c:v>5.2260791338936876</c:v>
                </c:pt>
                <c:pt idx="7">
                  <c:v>6.4715390940870243</c:v>
                </c:pt>
                <c:pt idx="8">
                  <c:v>8.0149114684794363</c:v>
                </c:pt>
                <c:pt idx="9">
                  <c:v>9.927703296904788</c:v>
                </c:pt>
                <c:pt idx="10">
                  <c:v>12.298640452364912</c:v>
                </c:pt>
                <c:pt idx="11">
                  <c:v>15.237826229911176</c:v>
                </c:pt>
                <c:pt idx="12">
                  <c:v>18.88190702830537</c:v>
                </c:pt>
                <c:pt idx="13">
                  <c:v>23.400489619998314</c:v>
                </c:pt>
                <c:pt idx="14">
                  <c:v>29.004113995961465</c:v>
                </c:pt>
                <c:pt idx="15">
                  <c:v>35.954159767859231</c:v>
                </c:pt>
                <c:pt idx="16">
                  <c:v>44.575156154015268</c:v>
                </c:pt>
                <c:pt idx="17">
                  <c:v>55.270080077532498</c:v>
                </c:pt>
                <c:pt idx="18">
                  <c:v>68.539369353982067</c:v>
                </c:pt>
                <c:pt idx="19">
                  <c:v>85.004555175285915</c:v>
                </c:pt>
                <c:pt idx="20">
                  <c:v>105.43763861202622</c:v>
                </c:pt>
                <c:pt idx="21">
                  <c:v>130.79761024819999</c:v>
                </c:pt>
                <c:pt idx="22">
                  <c:v>162.27585351475153</c:v>
                </c:pt>
                <c:pt idx="23">
                  <c:v>201.35259721650723</c:v>
                </c:pt>
                <c:pt idx="24">
                  <c:v>249.86711159083032</c:v>
                </c:pt>
                <c:pt idx="25">
                  <c:v>310.10500044645312</c:v>
                </c:pt>
                <c:pt idx="26">
                  <c:v>263.02087901561271</c:v>
                </c:pt>
                <c:pt idx="27">
                  <c:v>286.67021485790582</c:v>
                </c:pt>
                <c:pt idx="28">
                  <c:v>310.27590864650665</c:v>
                </c:pt>
                <c:pt idx="29">
                  <c:v>333.84174556627698</c:v>
                </c:pt>
                <c:pt idx="30">
                  <c:v>357.37093282892039</c:v>
                </c:pt>
                <c:pt idx="31">
                  <c:v>380.86622096643327</c:v>
                </c:pt>
                <c:pt idx="32">
                  <c:v>404.32999360363414</c:v>
                </c:pt>
                <c:pt idx="33">
                  <c:v>333.67111403204058</c:v>
                </c:pt>
                <c:pt idx="34">
                  <c:v>357.20055648716988</c:v>
                </c:pt>
                <c:pt idx="35">
                  <c:v>380.69608129889815</c:v>
                </c:pt>
                <c:pt idx="36">
                  <c:v>404.16007448469958</c:v>
                </c:pt>
                <c:pt idx="37">
                  <c:v>427.59462255942753</c:v>
                </c:pt>
                <c:pt idx="38">
                  <c:v>451.00156481987352</c:v>
                </c:pt>
                <c:pt idx="39">
                  <c:v>474.38253420761703</c:v>
                </c:pt>
                <c:pt idx="40">
                  <c:v>401.9509850645498</c:v>
                </c:pt>
                <c:pt idx="41">
                  <c:v>424.53954501187883</c:v>
                </c:pt>
                <c:pt idx="42">
                  <c:v>447.10225323882634</c:v>
                </c:pt>
                <c:pt idx="43">
                  <c:v>469.6405967298063</c:v>
                </c:pt>
                <c:pt idx="44">
                  <c:v>492.15590821168718</c:v>
                </c:pt>
                <c:pt idx="45">
                  <c:v>514.64938862406336</c:v>
                </c:pt>
                <c:pt idx="46">
                  <c:v>537.1221254578071</c:v>
                </c:pt>
                <c:pt idx="47">
                  <c:v>456.25601907533405</c:v>
                </c:pt>
                <c:pt idx="48">
                  <c:v>477.26107481583023</c:v>
                </c:pt>
                <c:pt idx="49">
                  <c:v>498.24647653872233</c:v>
                </c:pt>
                <c:pt idx="50">
                  <c:v>519.21316784377643</c:v>
                </c:pt>
                <c:pt idx="51">
                  <c:v>540.16200996781845</c:v>
                </c:pt>
                <c:pt idx="52">
                  <c:v>561.09379195392091</c:v>
                </c:pt>
                <c:pt idx="53">
                  <c:v>582.00923922497179</c:v>
                </c:pt>
                <c:pt idx="54">
                  <c:v>506.87208815769242</c:v>
                </c:pt>
                <c:pt idx="55">
                  <c:v>526.31070153853602</c:v>
                </c:pt>
                <c:pt idx="56">
                  <c:v>545.73419984050929</c:v>
                </c:pt>
                <c:pt idx="57">
                  <c:v>565.14319633657283</c:v>
                </c:pt>
                <c:pt idx="58">
                  <c:v>584.53825877411907</c:v>
                </c:pt>
                <c:pt idx="59">
                  <c:v>603.91991418357372</c:v>
                </c:pt>
                <c:pt idx="60">
                  <c:v>623.28865303799364</c:v>
                </c:pt>
                <c:pt idx="61">
                  <c:v>525.80380205834774</c:v>
                </c:pt>
                <c:pt idx="62">
                  <c:v>542.86382775995639</c:v>
                </c:pt>
                <c:pt idx="63">
                  <c:v>559.91260066689722</c:v>
                </c:pt>
                <c:pt idx="64">
                  <c:v>576.95051144926185</c:v>
                </c:pt>
                <c:pt idx="65">
                  <c:v>593.9779258369382</c:v>
                </c:pt>
                <c:pt idx="66">
                  <c:v>610.99518689574109</c:v>
                </c:pt>
                <c:pt idx="67">
                  <c:v>628.00261703693161</c:v>
                </c:pt>
                <c:pt idx="68">
                  <c:v>4.959485612423072E-12</c:v>
                </c:pt>
                <c:pt idx="69">
                  <c:v>4.959485612423072E-12</c:v>
                </c:pt>
                <c:pt idx="70">
                  <c:v>4.959485612423072E-12</c:v>
                </c:pt>
                <c:pt idx="71">
                  <c:v>4.959485612423072E-12</c:v>
                </c:pt>
                <c:pt idx="72">
                  <c:v>4.959485612423072E-12</c:v>
                </c:pt>
                <c:pt idx="73">
                  <c:v>4.959485612423072E-12</c:v>
                </c:pt>
                <c:pt idx="74">
                  <c:v>4.959485612423072E-12</c:v>
                </c:pt>
                <c:pt idx="75">
                  <c:v>4.959485612423072E-12</c:v>
                </c:pt>
                <c:pt idx="76">
                  <c:v>4.959485612423072E-12</c:v>
                </c:pt>
                <c:pt idx="77">
                  <c:v>4.959485612423072E-12</c:v>
                </c:pt>
                <c:pt idx="78">
                  <c:v>4.959485612423072E-12</c:v>
                </c:pt>
                <c:pt idx="79">
                  <c:v>4.959485612423072E-12</c:v>
                </c:pt>
                <c:pt idx="80">
                  <c:v>4.959485612423072E-12</c:v>
                </c:pt>
                <c:pt idx="81">
                  <c:v>4.959485612423072E-12</c:v>
                </c:pt>
                <c:pt idx="82">
                  <c:v>4.959485612423072E-12</c:v>
                </c:pt>
                <c:pt idx="83">
                  <c:v>4.959485612423072E-12</c:v>
                </c:pt>
                <c:pt idx="84">
                  <c:v>4.959485612423072E-12</c:v>
                </c:pt>
                <c:pt idx="85">
                  <c:v>4.959485612423072E-12</c:v>
                </c:pt>
                <c:pt idx="86">
                  <c:v>4.959485612423072E-12</c:v>
                </c:pt>
                <c:pt idx="87">
                  <c:v>4.959485612423072E-12</c:v>
                </c:pt>
                <c:pt idx="88">
                  <c:v>4.959485612423072E-12</c:v>
                </c:pt>
                <c:pt idx="89">
                  <c:v>4.959485612423072E-12</c:v>
                </c:pt>
                <c:pt idx="90">
                  <c:v>4.959485612423072E-12</c:v>
                </c:pt>
                <c:pt idx="91">
                  <c:v>4.959485612423072E-12</c:v>
                </c:pt>
                <c:pt idx="92">
                  <c:v>4.959485612423072E-12</c:v>
                </c:pt>
                <c:pt idx="93">
                  <c:v>4.959485612423072E-12</c:v>
                </c:pt>
                <c:pt idx="94">
                  <c:v>4.959485612423072E-12</c:v>
                </c:pt>
                <c:pt idx="95">
                  <c:v>4.959485612423072E-12</c:v>
                </c:pt>
                <c:pt idx="96">
                  <c:v>4.959485612423072E-12</c:v>
                </c:pt>
                <c:pt idx="97">
                  <c:v>4.959485612423072E-12</c:v>
                </c:pt>
                <c:pt idx="98">
                  <c:v>4.959485612423072E-12</c:v>
                </c:pt>
                <c:pt idx="99">
                  <c:v>4.959485612423072E-12</c:v>
                </c:pt>
                <c:pt idx="100">
                  <c:v>4.959485612423072E-12</c:v>
                </c:pt>
                <c:pt idx="101">
                  <c:v>4.959485612423072E-12</c:v>
                </c:pt>
                <c:pt idx="102">
                  <c:v>4.959485612423072E-12</c:v>
                </c:pt>
                <c:pt idx="103">
                  <c:v>4.959485612423072E-12</c:v>
                </c:pt>
                <c:pt idx="104">
                  <c:v>4.959485612423072E-12</c:v>
                </c:pt>
                <c:pt idx="105">
                  <c:v>4.959485612423072E-12</c:v>
                </c:pt>
                <c:pt idx="106">
                  <c:v>4.959485612423072E-12</c:v>
                </c:pt>
                <c:pt idx="107">
                  <c:v>4.959485612423072E-12</c:v>
                </c:pt>
                <c:pt idx="108">
                  <c:v>4.959485612423072E-12</c:v>
                </c:pt>
                <c:pt idx="109">
                  <c:v>4.959485612423072E-12</c:v>
                </c:pt>
                <c:pt idx="110">
                  <c:v>4.959485612423072E-12</c:v>
                </c:pt>
                <c:pt idx="111">
                  <c:v>4.959485612423072E-12</c:v>
                </c:pt>
                <c:pt idx="112">
                  <c:v>4.959485612423072E-12</c:v>
                </c:pt>
                <c:pt idx="113">
                  <c:v>4.959485612423072E-12</c:v>
                </c:pt>
                <c:pt idx="114">
                  <c:v>4.959485612423072E-12</c:v>
                </c:pt>
                <c:pt idx="115">
                  <c:v>4.959485612423072E-12</c:v>
                </c:pt>
                <c:pt idx="116">
                  <c:v>4.959485612423072E-12</c:v>
                </c:pt>
                <c:pt idx="117">
                  <c:v>4.959485612423072E-12</c:v>
                </c:pt>
                <c:pt idx="118">
                  <c:v>4.959485612423072E-12</c:v>
                </c:pt>
                <c:pt idx="119">
                  <c:v>4.959485612423072E-12</c:v>
                </c:pt>
                <c:pt idx="120">
                  <c:v>4.959485612423072E-12</c:v>
                </c:pt>
                <c:pt idx="121">
                  <c:v>4.959485612423072E-12</c:v>
                </c:pt>
                <c:pt idx="122">
                  <c:v>4.959485612423072E-12</c:v>
                </c:pt>
                <c:pt idx="123">
                  <c:v>4.959485612423072E-12</c:v>
                </c:pt>
                <c:pt idx="124">
                  <c:v>4.959485612423072E-12</c:v>
                </c:pt>
                <c:pt idx="125">
                  <c:v>4.959485612423072E-12</c:v>
                </c:pt>
                <c:pt idx="126">
                  <c:v>4.959485612423072E-12</c:v>
                </c:pt>
                <c:pt idx="127">
                  <c:v>4.959485612423072E-12</c:v>
                </c:pt>
                <c:pt idx="128">
                  <c:v>4.959485612423072E-12</c:v>
                </c:pt>
                <c:pt idx="129">
                  <c:v>4.959485612423072E-12</c:v>
                </c:pt>
                <c:pt idx="130">
                  <c:v>4.959485612423072E-12</c:v>
                </c:pt>
                <c:pt idx="131">
                  <c:v>4.959485612423072E-12</c:v>
                </c:pt>
                <c:pt idx="132">
                  <c:v>4.959485612423072E-12</c:v>
                </c:pt>
                <c:pt idx="133">
                  <c:v>4.959485612423072E-12</c:v>
                </c:pt>
                <c:pt idx="134">
                  <c:v>4.959485612423072E-12</c:v>
                </c:pt>
                <c:pt idx="135">
                  <c:v>4.959485612423072E-12</c:v>
                </c:pt>
                <c:pt idx="136">
                  <c:v>4.959485612423072E-12</c:v>
                </c:pt>
                <c:pt idx="137">
                  <c:v>4.959485612423072E-12</c:v>
                </c:pt>
                <c:pt idx="138">
                  <c:v>4.959485612423072E-12</c:v>
                </c:pt>
                <c:pt idx="139">
                  <c:v>4.959485612423072E-12</c:v>
                </c:pt>
                <c:pt idx="140">
                  <c:v>4.959485612423072E-12</c:v>
                </c:pt>
                <c:pt idx="141">
                  <c:v>4.959485612423072E-12</c:v>
                </c:pt>
                <c:pt idx="142">
                  <c:v>4.959485612423072E-12</c:v>
                </c:pt>
                <c:pt idx="143">
                  <c:v>4.959485612423072E-12</c:v>
                </c:pt>
                <c:pt idx="144">
                  <c:v>4.959485612423072E-12</c:v>
                </c:pt>
                <c:pt idx="145">
                  <c:v>4.959485612423072E-12</c:v>
                </c:pt>
                <c:pt idx="146">
                  <c:v>4.959485612423072E-12</c:v>
                </c:pt>
                <c:pt idx="147">
                  <c:v>4.959485612423072E-12</c:v>
                </c:pt>
                <c:pt idx="148">
                  <c:v>4.959485612423072E-12</c:v>
                </c:pt>
                <c:pt idx="149">
                  <c:v>4.959485612423072E-12</c:v>
                </c:pt>
                <c:pt idx="150">
                  <c:v>4.959485612423072E-12</c:v>
                </c:pt>
                <c:pt idx="151">
                  <c:v>4.959485612423072E-12</c:v>
                </c:pt>
                <c:pt idx="152">
                  <c:v>4.959485612423072E-12</c:v>
                </c:pt>
                <c:pt idx="153">
                  <c:v>4.959485612423072E-12</c:v>
                </c:pt>
                <c:pt idx="154">
                  <c:v>4.959485612423072E-12</c:v>
                </c:pt>
                <c:pt idx="155">
                  <c:v>4.959485612423072E-12</c:v>
                </c:pt>
                <c:pt idx="156">
                  <c:v>4.959485612423072E-12</c:v>
                </c:pt>
                <c:pt idx="157">
                  <c:v>4.959485612423072E-12</c:v>
                </c:pt>
                <c:pt idx="158">
                  <c:v>4.959485612423072E-12</c:v>
                </c:pt>
                <c:pt idx="159">
                  <c:v>4.959485612423072E-12</c:v>
                </c:pt>
                <c:pt idx="160">
                  <c:v>4.959485612423072E-12</c:v>
                </c:pt>
                <c:pt idx="161">
                  <c:v>4.959485612423072E-12</c:v>
                </c:pt>
                <c:pt idx="162">
                  <c:v>4.959485612423072E-12</c:v>
                </c:pt>
                <c:pt idx="163">
                  <c:v>4.959485612423072E-12</c:v>
                </c:pt>
                <c:pt idx="164">
                  <c:v>4.959485612423072E-12</c:v>
                </c:pt>
                <c:pt idx="165">
                  <c:v>4.959485612423072E-12</c:v>
                </c:pt>
                <c:pt idx="166">
                  <c:v>4.959485612423072E-12</c:v>
                </c:pt>
                <c:pt idx="167">
                  <c:v>4.959485612423072E-12</c:v>
                </c:pt>
                <c:pt idx="168">
                  <c:v>4.959485612423072E-12</c:v>
                </c:pt>
                <c:pt idx="169">
                  <c:v>4.959485612423072E-12</c:v>
                </c:pt>
                <c:pt idx="170">
                  <c:v>4.959485612423072E-12</c:v>
                </c:pt>
                <c:pt idx="171">
                  <c:v>4.959485612423072E-12</c:v>
                </c:pt>
                <c:pt idx="172">
                  <c:v>4.959485612423072E-12</c:v>
                </c:pt>
                <c:pt idx="173">
                  <c:v>4.959485612423072E-12</c:v>
                </c:pt>
                <c:pt idx="174">
                  <c:v>4.959485612423072E-12</c:v>
                </c:pt>
                <c:pt idx="175">
                  <c:v>4.959485612423072E-12</c:v>
                </c:pt>
                <c:pt idx="176">
                  <c:v>4.959485612423072E-12</c:v>
                </c:pt>
                <c:pt idx="177">
                  <c:v>4.959485612423072E-12</c:v>
                </c:pt>
                <c:pt idx="178">
                  <c:v>4.959485612423072E-12</c:v>
                </c:pt>
                <c:pt idx="179">
                  <c:v>4.959485612423072E-12</c:v>
                </c:pt>
                <c:pt idx="180">
                  <c:v>4.959485612423072E-12</c:v>
                </c:pt>
                <c:pt idx="181">
                  <c:v>4.959485612423072E-12</c:v>
                </c:pt>
                <c:pt idx="182">
                  <c:v>4.959485612423072E-12</c:v>
                </c:pt>
                <c:pt idx="183">
                  <c:v>4.959485612423072E-12</c:v>
                </c:pt>
                <c:pt idx="184">
                  <c:v>4.959485612423072E-12</c:v>
                </c:pt>
                <c:pt idx="185">
                  <c:v>4.959485612423072E-12</c:v>
                </c:pt>
                <c:pt idx="186">
                  <c:v>4.959485612423072E-12</c:v>
                </c:pt>
                <c:pt idx="187">
                  <c:v>4.959485612423072E-12</c:v>
                </c:pt>
                <c:pt idx="188">
                  <c:v>4.959485612423072E-12</c:v>
                </c:pt>
                <c:pt idx="189">
                  <c:v>4.959485612423072E-12</c:v>
                </c:pt>
                <c:pt idx="190">
                  <c:v>4.959485612423072E-12</c:v>
                </c:pt>
                <c:pt idx="191">
                  <c:v>4.959485612423072E-12</c:v>
                </c:pt>
                <c:pt idx="192">
                  <c:v>4.959485612423072E-12</c:v>
                </c:pt>
                <c:pt idx="193">
                  <c:v>4.959485612423072E-12</c:v>
                </c:pt>
                <c:pt idx="194">
                  <c:v>4.959485612423072E-12</c:v>
                </c:pt>
                <c:pt idx="195">
                  <c:v>4.959485612423072E-12</c:v>
                </c:pt>
                <c:pt idx="196">
                  <c:v>4.959485612423072E-12</c:v>
                </c:pt>
                <c:pt idx="197">
                  <c:v>4.959485612423072E-12</c:v>
                </c:pt>
                <c:pt idx="198">
                  <c:v>4.959485612423072E-12</c:v>
                </c:pt>
                <c:pt idx="199">
                  <c:v>4.959485612423072E-12</c:v>
                </c:pt>
                <c:pt idx="200">
                  <c:v>4.959485612423072E-12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1.9808836972194956</c:v>
                </c:pt>
                <c:pt idx="2">
                  <c:v>2.5302463015023342</c:v>
                </c:pt>
                <c:pt idx="3">
                  <c:v>3.2325760515655291</c:v>
                </c:pt>
                <c:pt idx="4">
                  <c:v>4.1306265145820413</c:v>
                </c:pt>
                <c:pt idx="5">
                  <c:v>5.2791427302205571</c:v>
                </c:pt>
                <c:pt idx="6">
                  <c:v>6.7482355348244516</c:v>
                </c:pt>
                <c:pt idx="7">
                  <c:v>8.6277082498173314</c:v>
                </c:pt>
                <c:pt idx="8">
                  <c:v>11.032605266688778</c:v>
                </c:pt>
                <c:pt idx="9">
                  <c:v>14.110328533057428</c:v>
                </c:pt>
                <c:pt idx="10">
                  <c:v>18.049766162374109</c:v>
                </c:pt>
                <c:pt idx="11">
                  <c:v>23.093003550192062</c:v>
                </c:pt>
                <c:pt idx="12">
                  <c:v>29.550349447830531</c:v>
                </c:pt>
                <c:pt idx="13">
                  <c:v>37.819617659562091</c:v>
                </c:pt>
                <c:pt idx="14">
                  <c:v>48.410872557277791</c:v>
                </c:pt>
                <c:pt idx="15">
                  <c:v>61.978190374247419</c:v>
                </c:pt>
                <c:pt idx="16">
                  <c:v>79.360430013393355</c:v>
                </c:pt>
                <c:pt idx="17">
                  <c:v>82.465530950770429</c:v>
                </c:pt>
                <c:pt idx="18">
                  <c:v>95.581323853791375</c:v>
                </c:pt>
                <c:pt idx="19">
                  <c:v>108.65223414637812</c:v>
                </c:pt>
                <c:pt idx="20">
                  <c:v>121.68443292886371</c:v>
                </c:pt>
                <c:pt idx="21">
                  <c:v>118.05342295949907</c:v>
                </c:pt>
                <c:pt idx="22">
                  <c:v>132.46408900625752</c:v>
                </c:pt>
                <c:pt idx="23">
                  <c:v>146.83690623749129</c:v>
                </c:pt>
                <c:pt idx="24">
                  <c:v>161.17610480411562</c:v>
                </c:pt>
                <c:pt idx="25">
                  <c:v>150.25391104440766</c:v>
                </c:pt>
                <c:pt idx="26">
                  <c:v>164.94272538852621</c:v>
                </c:pt>
                <c:pt idx="27">
                  <c:v>179.60063842198451</c:v>
                </c:pt>
                <c:pt idx="28">
                  <c:v>194.23052863625443</c:v>
                </c:pt>
                <c:pt idx="29">
                  <c:v>179.16866561299028</c:v>
                </c:pt>
                <c:pt idx="30">
                  <c:v>194.40299547060536</c:v>
                </c:pt>
                <c:pt idx="31">
                  <c:v>209.60957762828207</c:v>
                </c:pt>
                <c:pt idx="32">
                  <c:v>224.79070914706469</c:v>
                </c:pt>
                <c:pt idx="33">
                  <c:v>239.94835123051288</c:v>
                </c:pt>
                <c:pt idx="34">
                  <c:v>255.08419690542772</c:v>
                </c:pt>
                <c:pt idx="35">
                  <c:v>218.47178144680424</c:v>
                </c:pt>
                <c:pt idx="36">
                  <c:v>231.19145557789844</c:v>
                </c:pt>
                <c:pt idx="37">
                  <c:v>243.89514105682625</c:v>
                </c:pt>
                <c:pt idx="38">
                  <c:v>256.58378835758515</c:v>
                </c:pt>
                <c:pt idx="39">
                  <c:v>269.25824621459964</c:v>
                </c:pt>
                <c:pt idx="40">
                  <c:v>281.91927689223104</c:v>
                </c:pt>
                <c:pt idx="41">
                  <c:v>251.74153008738969</c:v>
                </c:pt>
                <c:pt idx="42">
                  <c:v>261.25268017016543</c:v>
                </c:pt>
                <c:pt idx="43">
                  <c:v>270.75601350883994</c:v>
                </c:pt>
                <c:pt idx="44">
                  <c:v>280.25184336987905</c:v>
                </c:pt>
                <c:pt idx="45">
                  <c:v>289.74046004002577</c:v>
                </c:pt>
                <c:pt idx="46">
                  <c:v>299.22213322573896</c:v>
                </c:pt>
                <c:pt idx="47">
                  <c:v>276.53137970479048</c:v>
                </c:pt>
                <c:pt idx="48">
                  <c:v>283.20176756208286</c:v>
                </c:pt>
                <c:pt idx="49">
                  <c:v>289.86863645470117</c:v>
                </c:pt>
                <c:pt idx="50">
                  <c:v>296.53207883576835</c:v>
                </c:pt>
                <c:pt idx="51">
                  <c:v>303.19218265915725</c:v>
                </c:pt>
                <c:pt idx="52">
                  <c:v>309.84903169468259</c:v>
                </c:pt>
                <c:pt idx="53">
                  <c:v>316.50270581476593</c:v>
                </c:pt>
                <c:pt idx="54">
                  <c:v>323.15328125571472</c:v>
                </c:pt>
                <c:pt idx="55">
                  <c:v>297.26869523710161</c:v>
                </c:pt>
                <c:pt idx="56">
                  <c:v>300.05465964496335</c:v>
                </c:pt>
                <c:pt idx="57">
                  <c:v>302.84004786180617</c:v>
                </c:pt>
                <c:pt idx="58">
                  <c:v>305.62486594574438</c:v>
                </c:pt>
                <c:pt idx="59">
                  <c:v>308.40911983526803</c:v>
                </c:pt>
                <c:pt idx="60">
                  <c:v>311.19281535268834</c:v>
                </c:pt>
                <c:pt idx="61">
                  <c:v>313.9759582074538</c:v>
                </c:pt>
                <c:pt idx="62">
                  <c:v>316.75855399934295</c:v>
                </c:pt>
                <c:pt idx="63">
                  <c:v>309.33708009818048</c:v>
                </c:pt>
                <c:pt idx="64">
                  <c:v>313.9439711782224</c:v>
                </c:pt>
                <c:pt idx="65">
                  <c:v>318.54936331014397</c:v>
                </c:pt>
                <c:pt idx="66">
                  <c:v>323.15328125571477</c:v>
                </c:pt>
                <c:pt idx="67">
                  <c:v>327.75574901253469</c:v>
                </c:pt>
                <c:pt idx="68">
                  <c:v>332.35678984826143</c:v>
                </c:pt>
                <c:pt idx="69">
                  <c:v>336.95642633284223</c:v>
                </c:pt>
                <c:pt idx="70">
                  <c:v>341.55468036889141</c:v>
                </c:pt>
                <c:pt idx="71">
                  <c:v>1.0676332069095257E-12</c:v>
                </c:pt>
                <c:pt idx="72">
                  <c:v>1.0676332069095257E-12</c:v>
                </c:pt>
                <c:pt idx="73">
                  <c:v>1.0676332069095257E-12</c:v>
                </c:pt>
                <c:pt idx="74">
                  <c:v>1.0676332069095257E-12</c:v>
                </c:pt>
                <c:pt idx="75">
                  <c:v>1.0676332069095257E-12</c:v>
                </c:pt>
                <c:pt idx="76">
                  <c:v>1.0676332069095257E-12</c:v>
                </c:pt>
                <c:pt idx="77">
                  <c:v>1.0676332069095257E-12</c:v>
                </c:pt>
                <c:pt idx="78">
                  <c:v>1.0676332069095257E-12</c:v>
                </c:pt>
                <c:pt idx="79">
                  <c:v>1.0676332069095257E-12</c:v>
                </c:pt>
                <c:pt idx="80">
                  <c:v>1.0676332069095257E-12</c:v>
                </c:pt>
                <c:pt idx="81">
                  <c:v>1.0676332069095257E-12</c:v>
                </c:pt>
                <c:pt idx="82">
                  <c:v>1.0676332069095257E-12</c:v>
                </c:pt>
                <c:pt idx="83">
                  <c:v>1.0676332069095257E-12</c:v>
                </c:pt>
                <c:pt idx="84">
                  <c:v>1.0676332069095257E-12</c:v>
                </c:pt>
                <c:pt idx="85">
                  <c:v>1.0676332069095257E-12</c:v>
                </c:pt>
                <c:pt idx="86">
                  <c:v>1.0676332069095257E-12</c:v>
                </c:pt>
                <c:pt idx="87">
                  <c:v>1.0676332069095257E-12</c:v>
                </c:pt>
                <c:pt idx="88">
                  <c:v>1.0676332069095257E-12</c:v>
                </c:pt>
                <c:pt idx="89">
                  <c:v>1.0676332069095257E-12</c:v>
                </c:pt>
                <c:pt idx="90">
                  <c:v>1.0676332069095257E-12</c:v>
                </c:pt>
                <c:pt idx="91">
                  <c:v>1.0676332069095257E-12</c:v>
                </c:pt>
                <c:pt idx="92">
                  <c:v>1.0676332069095257E-12</c:v>
                </c:pt>
                <c:pt idx="93">
                  <c:v>1.0676332069095257E-12</c:v>
                </c:pt>
                <c:pt idx="94">
                  <c:v>1.0676332069095257E-12</c:v>
                </c:pt>
                <c:pt idx="95">
                  <c:v>1.0676332069095257E-12</c:v>
                </c:pt>
                <c:pt idx="96">
                  <c:v>1.0676332069095257E-12</c:v>
                </c:pt>
                <c:pt idx="97">
                  <c:v>1.0676332069095257E-12</c:v>
                </c:pt>
                <c:pt idx="98">
                  <c:v>1.0676332069095257E-12</c:v>
                </c:pt>
                <c:pt idx="99">
                  <c:v>1.0676332069095257E-12</c:v>
                </c:pt>
                <c:pt idx="100">
                  <c:v>1.0676332069095257E-12</c:v>
                </c:pt>
                <c:pt idx="101">
                  <c:v>1.0676332069095257E-12</c:v>
                </c:pt>
                <c:pt idx="102">
                  <c:v>1.0676332069095257E-12</c:v>
                </c:pt>
                <c:pt idx="103">
                  <c:v>1.0676332069095257E-12</c:v>
                </c:pt>
                <c:pt idx="104">
                  <c:v>1.0676332069095257E-12</c:v>
                </c:pt>
                <c:pt idx="105">
                  <c:v>1.0676332069095257E-12</c:v>
                </c:pt>
                <c:pt idx="106">
                  <c:v>1.0676332069095257E-12</c:v>
                </c:pt>
                <c:pt idx="107">
                  <c:v>1.0676332069095257E-12</c:v>
                </c:pt>
                <c:pt idx="108">
                  <c:v>1.0676332069095257E-12</c:v>
                </c:pt>
                <c:pt idx="109">
                  <c:v>1.0676332069095257E-12</c:v>
                </c:pt>
                <c:pt idx="110">
                  <c:v>1.0676332069095257E-12</c:v>
                </c:pt>
                <c:pt idx="111">
                  <c:v>1.0676332069095257E-12</c:v>
                </c:pt>
                <c:pt idx="112">
                  <c:v>1.0676332069095257E-12</c:v>
                </c:pt>
                <c:pt idx="113">
                  <c:v>1.0676332069095257E-12</c:v>
                </c:pt>
                <c:pt idx="114">
                  <c:v>1.0676332069095257E-12</c:v>
                </c:pt>
                <c:pt idx="115">
                  <c:v>1.0676332069095257E-12</c:v>
                </c:pt>
                <c:pt idx="116">
                  <c:v>1.0676332069095257E-12</c:v>
                </c:pt>
                <c:pt idx="117">
                  <c:v>1.0676332069095257E-12</c:v>
                </c:pt>
                <c:pt idx="118">
                  <c:v>1.0676332069095257E-12</c:v>
                </c:pt>
                <c:pt idx="119">
                  <c:v>1.0676332069095257E-12</c:v>
                </c:pt>
                <c:pt idx="120">
                  <c:v>1.0676332069095257E-12</c:v>
                </c:pt>
                <c:pt idx="121">
                  <c:v>1.0676332069095257E-12</c:v>
                </c:pt>
                <c:pt idx="122">
                  <c:v>1.0676332069095257E-12</c:v>
                </c:pt>
                <c:pt idx="123">
                  <c:v>1.0676332069095257E-12</c:v>
                </c:pt>
                <c:pt idx="124">
                  <c:v>1.0676332069095257E-12</c:v>
                </c:pt>
                <c:pt idx="125">
                  <c:v>1.0676332069095257E-12</c:v>
                </c:pt>
                <c:pt idx="126">
                  <c:v>1.0676332069095257E-12</c:v>
                </c:pt>
                <c:pt idx="127">
                  <c:v>1.0676332069095257E-12</c:v>
                </c:pt>
                <c:pt idx="128">
                  <c:v>1.0676332069095257E-12</c:v>
                </c:pt>
                <c:pt idx="129">
                  <c:v>1.0676332069095257E-12</c:v>
                </c:pt>
                <c:pt idx="130">
                  <c:v>1.0676332069095257E-12</c:v>
                </c:pt>
                <c:pt idx="131">
                  <c:v>1.0676332069095257E-12</c:v>
                </c:pt>
                <c:pt idx="132">
                  <c:v>1.0676332069095257E-12</c:v>
                </c:pt>
                <c:pt idx="133">
                  <c:v>1.0676332069095257E-12</c:v>
                </c:pt>
                <c:pt idx="134">
                  <c:v>1.0676332069095257E-12</c:v>
                </c:pt>
                <c:pt idx="135">
                  <c:v>1.0676332069095257E-12</c:v>
                </c:pt>
                <c:pt idx="136">
                  <c:v>1.0676332069095257E-12</c:v>
                </c:pt>
                <c:pt idx="137">
                  <c:v>1.0676332069095257E-12</c:v>
                </c:pt>
                <c:pt idx="138">
                  <c:v>1.0676332069095257E-12</c:v>
                </c:pt>
                <c:pt idx="139">
                  <c:v>1.0676332069095257E-12</c:v>
                </c:pt>
                <c:pt idx="140">
                  <c:v>1.0676332069095257E-12</c:v>
                </c:pt>
                <c:pt idx="141">
                  <c:v>1.0676332069095257E-12</c:v>
                </c:pt>
                <c:pt idx="142">
                  <c:v>1.0676332069095257E-12</c:v>
                </c:pt>
                <c:pt idx="143">
                  <c:v>1.0676332069095257E-12</c:v>
                </c:pt>
                <c:pt idx="144">
                  <c:v>1.0676332069095257E-12</c:v>
                </c:pt>
                <c:pt idx="145">
                  <c:v>1.0676332069095257E-12</c:v>
                </c:pt>
                <c:pt idx="146">
                  <c:v>1.0676332069095257E-12</c:v>
                </c:pt>
                <c:pt idx="147">
                  <c:v>1.0676332069095257E-12</c:v>
                </c:pt>
                <c:pt idx="148">
                  <c:v>1.0676332069095257E-12</c:v>
                </c:pt>
                <c:pt idx="149">
                  <c:v>1.0676332069095257E-12</c:v>
                </c:pt>
                <c:pt idx="150">
                  <c:v>1.0676332069095257E-12</c:v>
                </c:pt>
                <c:pt idx="151">
                  <c:v>1.0676332069095257E-12</c:v>
                </c:pt>
                <c:pt idx="152">
                  <c:v>1.0676332069095257E-12</c:v>
                </c:pt>
                <c:pt idx="153">
                  <c:v>1.0676332069095257E-12</c:v>
                </c:pt>
                <c:pt idx="154">
                  <c:v>1.0676332069095257E-12</c:v>
                </c:pt>
                <c:pt idx="155">
                  <c:v>1.0676332069095257E-12</c:v>
                </c:pt>
                <c:pt idx="156">
                  <c:v>1.0676332069095257E-12</c:v>
                </c:pt>
                <c:pt idx="157">
                  <c:v>1.0676332069095257E-12</c:v>
                </c:pt>
                <c:pt idx="158">
                  <c:v>1.0676332069095257E-12</c:v>
                </c:pt>
                <c:pt idx="159">
                  <c:v>1.0676332069095257E-12</c:v>
                </c:pt>
                <c:pt idx="160">
                  <c:v>1.0676332069095257E-12</c:v>
                </c:pt>
                <c:pt idx="161">
                  <c:v>1.0676332069095257E-12</c:v>
                </c:pt>
                <c:pt idx="162">
                  <c:v>1.0676332069095257E-12</c:v>
                </c:pt>
                <c:pt idx="163">
                  <c:v>1.0676332069095257E-12</c:v>
                </c:pt>
                <c:pt idx="164">
                  <c:v>1.0676332069095257E-12</c:v>
                </c:pt>
                <c:pt idx="165">
                  <c:v>1.0676332069095257E-12</c:v>
                </c:pt>
                <c:pt idx="166">
                  <c:v>1.0676332069095257E-12</c:v>
                </c:pt>
                <c:pt idx="167">
                  <c:v>1.0676332069095257E-12</c:v>
                </c:pt>
                <c:pt idx="168">
                  <c:v>1.0676332069095257E-12</c:v>
                </c:pt>
                <c:pt idx="169">
                  <c:v>1.0676332069095257E-12</c:v>
                </c:pt>
                <c:pt idx="170">
                  <c:v>1.0676332069095257E-12</c:v>
                </c:pt>
                <c:pt idx="171">
                  <c:v>1.0676332069095257E-12</c:v>
                </c:pt>
                <c:pt idx="172">
                  <c:v>1.0676332069095257E-12</c:v>
                </c:pt>
                <c:pt idx="173">
                  <c:v>1.0676332069095257E-12</c:v>
                </c:pt>
                <c:pt idx="174">
                  <c:v>1.0676332069095257E-12</c:v>
                </c:pt>
                <c:pt idx="175">
                  <c:v>1.0676332069095257E-12</c:v>
                </c:pt>
                <c:pt idx="176">
                  <c:v>1.0676332069095257E-12</c:v>
                </c:pt>
                <c:pt idx="177">
                  <c:v>1.0676332069095257E-12</c:v>
                </c:pt>
                <c:pt idx="178">
                  <c:v>1.0676332069095257E-12</c:v>
                </c:pt>
                <c:pt idx="179">
                  <c:v>1.0676332069095257E-12</c:v>
                </c:pt>
                <c:pt idx="180">
                  <c:v>1.0676332069095257E-12</c:v>
                </c:pt>
                <c:pt idx="181">
                  <c:v>1.0676332069095257E-12</c:v>
                </c:pt>
                <c:pt idx="182">
                  <c:v>1.0676332069095257E-12</c:v>
                </c:pt>
                <c:pt idx="183">
                  <c:v>1.0676332069095257E-12</c:v>
                </c:pt>
                <c:pt idx="184">
                  <c:v>1.0676332069095257E-12</c:v>
                </c:pt>
                <c:pt idx="185">
                  <c:v>1.0676332069095257E-12</c:v>
                </c:pt>
                <c:pt idx="186">
                  <c:v>1.0676332069095257E-12</c:v>
                </c:pt>
                <c:pt idx="187">
                  <c:v>1.0676332069095257E-12</c:v>
                </c:pt>
                <c:pt idx="188">
                  <c:v>1.0676332069095257E-12</c:v>
                </c:pt>
                <c:pt idx="189">
                  <c:v>1.0676332069095257E-12</c:v>
                </c:pt>
                <c:pt idx="190">
                  <c:v>1.0676332069095257E-12</c:v>
                </c:pt>
                <c:pt idx="191">
                  <c:v>1.0676332069095257E-12</c:v>
                </c:pt>
                <c:pt idx="192">
                  <c:v>1.0676332069095257E-12</c:v>
                </c:pt>
                <c:pt idx="193">
                  <c:v>1.0676332069095257E-12</c:v>
                </c:pt>
                <c:pt idx="194">
                  <c:v>1.0676332069095257E-12</c:v>
                </c:pt>
                <c:pt idx="195">
                  <c:v>1.0676332069095257E-12</c:v>
                </c:pt>
                <c:pt idx="196">
                  <c:v>1.0676332069095257E-12</c:v>
                </c:pt>
                <c:pt idx="197">
                  <c:v>1.0676332069095257E-12</c:v>
                </c:pt>
                <c:pt idx="198">
                  <c:v>1.0676332069095257E-12</c:v>
                </c:pt>
                <c:pt idx="199">
                  <c:v>1.0676332069095257E-12</c:v>
                </c:pt>
                <c:pt idx="200">
                  <c:v>1.0676332069095257E-12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7.467253203021337</c:v>
                </c:pt>
                <c:pt idx="2">
                  <c:v>14.600984670519397</c:v>
                </c:pt>
                <c:pt idx="3">
                  <c:v>21.627005359187269</c:v>
                </c:pt>
                <c:pt idx="4">
                  <c:v>28.586630617630846</c:v>
                </c:pt>
                <c:pt idx="5">
                  <c:v>35.498585916244998</c:v>
                </c:pt>
                <c:pt idx="6">
                  <c:v>42.373553045153194</c:v>
                </c:pt>
                <c:pt idx="7">
                  <c:v>49.218418141430611</c:v>
                </c:pt>
                <c:pt idx="8">
                  <c:v>56.037977671414581</c:v>
                </c:pt>
                <c:pt idx="9">
                  <c:v>62.835757098879071</c:v>
                </c:pt>
                <c:pt idx="10">
                  <c:v>69.614452490805618</c:v>
                </c:pt>
                <c:pt idx="11">
                  <c:v>76.376189497941297</c:v>
                </c:pt>
                <c:pt idx="12">
                  <c:v>83.122685121745718</c:v>
                </c:pt>
                <c:pt idx="13">
                  <c:v>89.855353878323896</c:v>
                </c:pt>
                <c:pt idx="14">
                  <c:v>96.575380303823735</c:v>
                </c:pt>
                <c:pt idx="15">
                  <c:v>103.28377012617121</c:v>
                </c:pt>
                <c:pt idx="16">
                  <c:v>109.98138738974609</c:v>
                </c:pt>
                <c:pt idx="17">
                  <c:v>116.66898202888733</c:v>
                </c:pt>
                <c:pt idx="18">
                  <c:v>123.34721076632486</c:v>
                </c:pt>
                <c:pt idx="19">
                  <c:v>130.01665323437348</c:v>
                </c:pt>
                <c:pt idx="20">
                  <c:v>136.67782460536941</c:v>
                </c:pt>
                <c:pt idx="21">
                  <c:v>143.33118562423269</c:v>
                </c:pt>
                <c:pt idx="22">
                  <c:v>149.97715067592139</c:v>
                </c:pt>
                <c:pt idx="23">
                  <c:v>156.61609434461207</c:v>
                </c:pt>
                <c:pt idx="24">
                  <c:v>163.24835679996582</c:v>
                </c:pt>
                <c:pt idx="25">
                  <c:v>169.87424826038736</c:v>
                </c:pt>
                <c:pt idx="26">
                  <c:v>176.49405272206084</c:v>
                </c:pt>
                <c:pt idx="27">
                  <c:v>183.10803109815137</c:v>
                </c:pt>
                <c:pt idx="28">
                  <c:v>189.71642387986586</c:v>
                </c:pt>
                <c:pt idx="29">
                  <c:v>196.31945340667974</c:v>
                </c:pt>
                <c:pt idx="30">
                  <c:v>202.9173258146312</c:v>
                </c:pt>
                <c:pt idx="31">
                  <c:v>209.51023271754602</c:v>
                </c:pt>
                <c:pt idx="32">
                  <c:v>216.09835266523569</c:v>
                </c:pt>
                <c:pt idx="33">
                  <c:v>222.68185241430112</c:v>
                </c:pt>
                <c:pt idx="34">
                  <c:v>229.26088804057085</c:v>
                </c:pt>
                <c:pt idx="35">
                  <c:v>235.83560591698688</c:v>
                </c:pt>
                <c:pt idx="36">
                  <c:v>242.40614357659101</c:v>
                </c:pt>
                <c:pt idx="37">
                  <c:v>248.97263047692806</c:v>
                </c:pt>
                <c:pt idx="38">
                  <c:v>255.53518867948662</c:v>
                </c:pt>
                <c:pt idx="39">
                  <c:v>262.09393345560824</c:v>
                </c:pt>
                <c:pt idx="40">
                  <c:v>268.64897382850359</c:v>
                </c:pt>
                <c:pt idx="41">
                  <c:v>275.20041305954049</c:v>
                </c:pt>
                <c:pt idx="42">
                  <c:v>281.74834908575423</c:v>
                </c:pt>
                <c:pt idx="43">
                  <c:v>288.29287491451618</c:v>
                </c:pt>
                <c:pt idx="44">
                  <c:v>294.83407898045465</c:v>
                </c:pt>
                <c:pt idx="45">
                  <c:v>301.37204546901324</c:v>
                </c:pt>
                <c:pt idx="46">
                  <c:v>307.90685461043881</c:v>
                </c:pt>
                <c:pt idx="47">
                  <c:v>223.5724730904</c:v>
                </c:pt>
                <c:pt idx="48">
                  <c:v>241.81934217417611</c:v>
                </c:pt>
                <c:pt idx="49">
                  <c:v>260.03489159171863</c:v>
                </c:pt>
                <c:pt idx="50">
                  <c:v>278.22162375497311</c:v>
                </c:pt>
                <c:pt idx="51">
                  <c:v>296.38168710899498</c:v>
                </c:pt>
                <c:pt idx="52">
                  <c:v>314.51694528188926</c:v>
                </c:pt>
                <c:pt idx="53">
                  <c:v>332.62902943446448</c:v>
                </c:pt>
                <c:pt idx="54">
                  <c:v>350.71937860246021</c:v>
                </c:pt>
                <c:pt idx="55">
                  <c:v>368.78927127528999</c:v>
                </c:pt>
                <c:pt idx="56">
                  <c:v>386.83985045971821</c:v>
                </c:pt>
                <c:pt idx="57">
                  <c:v>313.61575226592214</c:v>
                </c:pt>
                <c:pt idx="58">
                  <c:v>331.3289021382127</c:v>
                </c:pt>
                <c:pt idx="59">
                  <c:v>349.02117423582155</c:v>
                </c:pt>
                <c:pt idx="60">
                  <c:v>366.69377549524103</c:v>
                </c:pt>
                <c:pt idx="61">
                  <c:v>384.3477870467745</c:v>
                </c:pt>
                <c:pt idx="62">
                  <c:v>401.98418262418699</c:v>
                </c:pt>
                <c:pt idx="63">
                  <c:v>419.60384357448834</c:v>
                </c:pt>
                <c:pt idx="64">
                  <c:v>437.20757121496928</c:v>
                </c:pt>
                <c:pt idx="65">
                  <c:v>454.79609709637595</c:v>
                </c:pt>
                <c:pt idx="66">
                  <c:v>472.37009159588268</c:v>
                </c:pt>
                <c:pt idx="67">
                  <c:v>388.53425424974586</c:v>
                </c:pt>
                <c:pt idx="68">
                  <c:v>405.17087294372732</c:v>
                </c:pt>
                <c:pt idx="69">
                  <c:v>421.79272909797129</c:v>
                </c:pt>
                <c:pt idx="70">
                  <c:v>438.40048617013719</c:v>
                </c:pt>
                <c:pt idx="71">
                  <c:v>454.99475326719295</c:v>
                </c:pt>
                <c:pt idx="72">
                  <c:v>471.5760914586765</c:v>
                </c:pt>
                <c:pt idx="73">
                  <c:v>488.14501915592558</c:v>
                </c:pt>
                <c:pt idx="74">
                  <c:v>504.7020167231056</c:v>
                </c:pt>
                <c:pt idx="75">
                  <c:v>521.24753045184434</c:v>
                </c:pt>
                <c:pt idx="76">
                  <c:v>537.78197600511794</c:v>
                </c:pt>
                <c:pt idx="77">
                  <c:v>446.74895314532608</c:v>
                </c:pt>
                <c:pt idx="78">
                  <c:v>460.85428024073002</c:v>
                </c:pt>
                <c:pt idx="79">
                  <c:v>474.95039606310729</c:v>
                </c:pt>
                <c:pt idx="80">
                  <c:v>489.03761244496371</c:v>
                </c:pt>
                <c:pt idx="81">
                  <c:v>503.11622179266874</c:v>
                </c:pt>
                <c:pt idx="82">
                  <c:v>517.18649881772274</c:v>
                </c:pt>
                <c:pt idx="83">
                  <c:v>531.24870206986247</c:v>
                </c:pt>
                <c:pt idx="84">
                  <c:v>545.30307529944037</c:v>
                </c:pt>
                <c:pt idx="85">
                  <c:v>559.34984867208959</c:v>
                </c:pt>
                <c:pt idx="86">
                  <c:v>573.38923985506824</c:v>
                </c:pt>
                <c:pt idx="87">
                  <c:v>479.3163865659435</c:v>
                </c:pt>
                <c:pt idx="88">
                  <c:v>492.21099800137716</c:v>
                </c:pt>
                <c:pt idx="89">
                  <c:v>505.09844897378497</c:v>
                </c:pt>
                <c:pt idx="90">
                  <c:v>517.97894789153167</c:v>
                </c:pt>
                <c:pt idx="91">
                  <c:v>530.852691954835</c:v>
                </c:pt>
                <c:pt idx="92">
                  <c:v>543.71986802143545</c:v>
                </c:pt>
                <c:pt idx="93">
                  <c:v>556.58065338607764</c:v>
                </c:pt>
                <c:pt idx="94">
                  <c:v>569.43521648422018</c:v>
                </c:pt>
                <c:pt idx="95">
                  <c:v>582.28371752891633</c:v>
                </c:pt>
                <c:pt idx="96">
                  <c:v>490.92186261949536</c:v>
                </c:pt>
                <c:pt idx="97">
                  <c:v>501.53032109280781</c:v>
                </c:pt>
                <c:pt idx="98">
                  <c:v>512.13403175484643</c:v>
                </c:pt>
                <c:pt idx="99">
                  <c:v>522.73310676869721</c:v>
                </c:pt>
                <c:pt idx="100">
                  <c:v>533.32765337796343</c:v>
                </c:pt>
                <c:pt idx="101">
                  <c:v>543.91777421805546</c:v>
                </c:pt>
                <c:pt idx="102">
                  <c:v>554.50356760197769</c:v>
                </c:pt>
                <c:pt idx="103">
                  <c:v>565.08512778316037</c:v>
                </c:pt>
                <c:pt idx="104">
                  <c:v>575.66254519758456</c:v>
                </c:pt>
                <c:pt idx="105">
                  <c:v>586.23590668718907</c:v>
                </c:pt>
                <c:pt idx="106">
                  <c:v>7.8530297811856558E-12</c:v>
                </c:pt>
                <c:pt idx="107">
                  <c:v>7.8530297811856558E-12</c:v>
                </c:pt>
                <c:pt idx="108">
                  <c:v>7.8530297811856558E-12</c:v>
                </c:pt>
                <c:pt idx="109">
                  <c:v>7.8530297811856558E-12</c:v>
                </c:pt>
                <c:pt idx="110">
                  <c:v>7.8530297811856558E-12</c:v>
                </c:pt>
                <c:pt idx="111">
                  <c:v>7.8530297811856558E-12</c:v>
                </c:pt>
                <c:pt idx="112">
                  <c:v>7.8530297811856558E-12</c:v>
                </c:pt>
                <c:pt idx="113">
                  <c:v>7.8530297811856558E-12</c:v>
                </c:pt>
                <c:pt idx="114">
                  <c:v>7.8530297811856558E-12</c:v>
                </c:pt>
                <c:pt idx="115">
                  <c:v>7.8530297811856558E-12</c:v>
                </c:pt>
                <c:pt idx="116">
                  <c:v>7.8530297811856558E-12</c:v>
                </c:pt>
                <c:pt idx="117">
                  <c:v>7.8530297811856558E-12</c:v>
                </c:pt>
                <c:pt idx="118">
                  <c:v>7.8530297811856558E-12</c:v>
                </c:pt>
                <c:pt idx="119">
                  <c:v>7.8530297811856558E-12</c:v>
                </c:pt>
                <c:pt idx="120">
                  <c:v>7.8530297811856558E-12</c:v>
                </c:pt>
                <c:pt idx="121">
                  <c:v>7.8530297811856558E-12</c:v>
                </c:pt>
                <c:pt idx="122">
                  <c:v>7.8530297811856558E-12</c:v>
                </c:pt>
                <c:pt idx="123">
                  <c:v>7.8530297811856558E-12</c:v>
                </c:pt>
                <c:pt idx="124">
                  <c:v>7.8530297811856558E-12</c:v>
                </c:pt>
                <c:pt idx="125">
                  <c:v>7.8530297811856558E-12</c:v>
                </c:pt>
                <c:pt idx="126">
                  <c:v>7.8530297811856558E-12</c:v>
                </c:pt>
                <c:pt idx="127">
                  <c:v>7.8530297811856558E-12</c:v>
                </c:pt>
                <c:pt idx="128">
                  <c:v>7.8530297811856558E-12</c:v>
                </c:pt>
                <c:pt idx="129">
                  <c:v>7.8530297811856558E-12</c:v>
                </c:pt>
                <c:pt idx="130">
                  <c:v>7.8530297811856558E-12</c:v>
                </c:pt>
                <c:pt idx="131">
                  <c:v>7.8530297811856558E-12</c:v>
                </c:pt>
                <c:pt idx="132">
                  <c:v>7.8530297811856558E-12</c:v>
                </c:pt>
                <c:pt idx="133">
                  <c:v>7.8530297811856558E-12</c:v>
                </c:pt>
                <c:pt idx="134">
                  <c:v>7.8530297811856558E-12</c:v>
                </c:pt>
                <c:pt idx="135">
                  <c:v>7.8530297811856558E-12</c:v>
                </c:pt>
                <c:pt idx="136">
                  <c:v>7.8530297811856558E-12</c:v>
                </c:pt>
                <c:pt idx="137">
                  <c:v>7.8530297811856558E-12</c:v>
                </c:pt>
                <c:pt idx="138">
                  <c:v>7.8530297811856558E-12</c:v>
                </c:pt>
                <c:pt idx="139">
                  <c:v>7.8530297811856558E-12</c:v>
                </c:pt>
                <c:pt idx="140">
                  <c:v>7.8530297811856558E-12</c:v>
                </c:pt>
                <c:pt idx="141">
                  <c:v>7.8530297811856558E-12</c:v>
                </c:pt>
                <c:pt idx="142">
                  <c:v>7.8530297811856558E-12</c:v>
                </c:pt>
                <c:pt idx="143">
                  <c:v>7.8530297811856558E-12</c:v>
                </c:pt>
                <c:pt idx="144">
                  <c:v>7.8530297811856558E-12</c:v>
                </c:pt>
                <c:pt idx="145">
                  <c:v>7.8530297811856558E-12</c:v>
                </c:pt>
                <c:pt idx="146">
                  <c:v>7.8530297811856558E-12</c:v>
                </c:pt>
                <c:pt idx="147">
                  <c:v>7.8530297811856558E-12</c:v>
                </c:pt>
                <c:pt idx="148">
                  <c:v>7.8530297811856558E-12</c:v>
                </c:pt>
                <c:pt idx="149">
                  <c:v>7.8530297811856558E-12</c:v>
                </c:pt>
                <c:pt idx="150">
                  <c:v>7.8530297811856558E-12</c:v>
                </c:pt>
                <c:pt idx="151">
                  <c:v>7.8530297811856558E-12</c:v>
                </c:pt>
                <c:pt idx="152">
                  <c:v>7.8530297811856558E-12</c:v>
                </c:pt>
                <c:pt idx="153">
                  <c:v>7.8530297811856558E-12</c:v>
                </c:pt>
                <c:pt idx="154">
                  <c:v>7.8530297811856558E-12</c:v>
                </c:pt>
                <c:pt idx="155">
                  <c:v>7.8530297811856558E-12</c:v>
                </c:pt>
                <c:pt idx="156">
                  <c:v>7.8530297811856558E-12</c:v>
                </c:pt>
                <c:pt idx="157">
                  <c:v>7.8530297811856558E-12</c:v>
                </c:pt>
                <c:pt idx="158">
                  <c:v>7.8530297811856558E-12</c:v>
                </c:pt>
                <c:pt idx="159">
                  <c:v>7.8530297811856558E-12</c:v>
                </c:pt>
                <c:pt idx="160">
                  <c:v>7.8530297811856558E-12</c:v>
                </c:pt>
                <c:pt idx="161">
                  <c:v>7.8530297811856558E-12</c:v>
                </c:pt>
                <c:pt idx="162">
                  <c:v>7.8530297811856558E-12</c:v>
                </c:pt>
                <c:pt idx="163">
                  <c:v>7.8530297811856558E-12</c:v>
                </c:pt>
                <c:pt idx="164">
                  <c:v>7.8530297811856558E-12</c:v>
                </c:pt>
                <c:pt idx="165">
                  <c:v>7.8530297811856558E-12</c:v>
                </c:pt>
                <c:pt idx="166">
                  <c:v>7.8530297811856558E-12</c:v>
                </c:pt>
                <c:pt idx="167">
                  <c:v>7.8530297811856558E-12</c:v>
                </c:pt>
                <c:pt idx="168">
                  <c:v>7.8530297811856558E-12</c:v>
                </c:pt>
                <c:pt idx="169">
                  <c:v>7.8530297811856558E-12</c:v>
                </c:pt>
                <c:pt idx="170">
                  <c:v>7.8530297811856558E-12</c:v>
                </c:pt>
                <c:pt idx="171">
                  <c:v>7.8530297811856558E-12</c:v>
                </c:pt>
                <c:pt idx="172">
                  <c:v>7.8530297811856558E-12</c:v>
                </c:pt>
                <c:pt idx="173">
                  <c:v>7.8530297811856558E-12</c:v>
                </c:pt>
                <c:pt idx="174">
                  <c:v>7.8530297811856558E-12</c:v>
                </c:pt>
                <c:pt idx="175">
                  <c:v>7.8530297811856558E-12</c:v>
                </c:pt>
                <c:pt idx="176">
                  <c:v>7.8530297811856558E-12</c:v>
                </c:pt>
                <c:pt idx="177">
                  <c:v>7.8530297811856558E-12</c:v>
                </c:pt>
                <c:pt idx="178">
                  <c:v>7.8530297811856558E-12</c:v>
                </c:pt>
                <c:pt idx="179">
                  <c:v>7.8530297811856558E-12</c:v>
                </c:pt>
                <c:pt idx="180">
                  <c:v>7.8530297811856558E-12</c:v>
                </c:pt>
                <c:pt idx="181">
                  <c:v>7.8530297811856558E-12</c:v>
                </c:pt>
                <c:pt idx="182">
                  <c:v>7.8530297811856558E-12</c:v>
                </c:pt>
                <c:pt idx="183">
                  <c:v>7.8530297811856558E-12</c:v>
                </c:pt>
                <c:pt idx="184">
                  <c:v>7.8530297811856558E-12</c:v>
                </c:pt>
                <c:pt idx="185">
                  <c:v>7.8530297811856558E-12</c:v>
                </c:pt>
                <c:pt idx="186">
                  <c:v>7.8530297811856558E-12</c:v>
                </c:pt>
                <c:pt idx="187">
                  <c:v>7.8530297811856558E-12</c:v>
                </c:pt>
                <c:pt idx="188">
                  <c:v>7.8530297811856558E-12</c:v>
                </c:pt>
                <c:pt idx="189">
                  <c:v>7.8530297811856558E-12</c:v>
                </c:pt>
                <c:pt idx="190">
                  <c:v>7.8530297811856558E-12</c:v>
                </c:pt>
                <c:pt idx="191">
                  <c:v>7.8530297811856558E-12</c:v>
                </c:pt>
                <c:pt idx="192">
                  <c:v>7.8530297811856558E-12</c:v>
                </c:pt>
                <c:pt idx="193">
                  <c:v>7.8530297811856558E-12</c:v>
                </c:pt>
                <c:pt idx="194">
                  <c:v>7.8530297811856558E-12</c:v>
                </c:pt>
                <c:pt idx="195">
                  <c:v>7.8530297811856558E-12</c:v>
                </c:pt>
                <c:pt idx="196">
                  <c:v>7.8530297811856558E-12</c:v>
                </c:pt>
                <c:pt idx="197">
                  <c:v>7.8530297811856558E-12</c:v>
                </c:pt>
                <c:pt idx="198">
                  <c:v>7.8530297811856558E-12</c:v>
                </c:pt>
                <c:pt idx="199">
                  <c:v>7.8530297811856558E-12</c:v>
                </c:pt>
                <c:pt idx="200">
                  <c:v>7.8530297811856558E-12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10.226003203033267</c:v>
                </c:pt>
                <c:pt idx="2">
                  <c:v>20.007473543004604</c:v>
                </c:pt>
                <c:pt idx="3">
                  <c:v>29.645382082360779</c:v>
                </c:pt>
                <c:pt idx="4">
                  <c:v>39.194795787503139</c:v>
                </c:pt>
                <c:pt idx="5">
                  <c:v>48.680672812819303</c:v>
                </c:pt>
                <c:pt idx="6">
                  <c:v>58.117250331604019</c:v>
                </c:pt>
                <c:pt idx="7">
                  <c:v>67.513706498992107</c:v>
                </c:pt>
                <c:pt idx="8">
                  <c:v>76.876434262388244</c:v>
                </c:pt>
                <c:pt idx="9">
                  <c:v>86.210132519459719</c:v>
                </c:pt>
                <c:pt idx="10">
                  <c:v>95.518394710293606</c:v>
                </c:pt>
                <c:pt idx="11">
                  <c:v>104.80405399840463</c:v>
                </c:pt>
                <c:pt idx="12">
                  <c:v>114.0693988810433</c:v>
                </c:pt>
                <c:pt idx="13">
                  <c:v>123.3163146892901</c:v>
                </c:pt>
                <c:pt idx="14">
                  <c:v>132.54638022653066</c:v>
                </c:pt>
                <c:pt idx="15">
                  <c:v>141.76093597246037</c:v>
                </c:pt>
                <c:pt idx="16">
                  <c:v>150.96113356453179</c:v>
                </c:pt>
                <c:pt idx="17">
                  <c:v>160.1479725491713</c:v>
                </c:pt>
                <c:pt idx="18">
                  <c:v>169.32232823615414</c:v>
                </c:pt>
                <c:pt idx="19">
                  <c:v>178.48497318566146</c:v>
                </c:pt>
                <c:pt idx="20">
                  <c:v>187.63659404269777</c:v>
                </c:pt>
                <c:pt idx="21">
                  <c:v>196.77780490894418</c:v>
                </c:pt>
                <c:pt idx="22">
                  <c:v>205.90915809542628</c:v>
                </c:pt>
                <c:pt idx="23">
                  <c:v>215.03115286488682</c:v>
                </c:pt>
                <c:pt idx="24">
                  <c:v>224.14424261084494</c:v>
                </c:pt>
                <c:pt idx="25">
                  <c:v>233.24884080642994</c:v>
                </c:pt>
                <c:pt idx="26">
                  <c:v>242.34532597460847</c:v>
                </c:pt>
                <c:pt idx="27">
                  <c:v>251.43404587225498</c:v>
                </c:pt>
                <c:pt idx="28">
                  <c:v>260.51532103693393</c:v>
                </c:pt>
                <c:pt idx="29">
                  <c:v>269.58944781276017</c:v>
                </c:pt>
                <c:pt idx="30">
                  <c:v>278.65670094717456</c:v>
                </c:pt>
                <c:pt idx="31">
                  <c:v>287.71733583175569</c:v>
                </c:pt>
                <c:pt idx="32">
                  <c:v>296.77159044577314</c:v>
                </c:pt>
                <c:pt idx="33">
                  <c:v>305.81968704997104</c:v>
                </c:pt>
                <c:pt idx="34">
                  <c:v>314.86183366927719</c:v>
                </c:pt>
                <c:pt idx="35">
                  <c:v>323.89822539617296</c:v>
                </c:pt>
                <c:pt idx="36">
                  <c:v>332.92904554092081</c:v>
                </c:pt>
                <c:pt idx="37">
                  <c:v>341.95446665039503</c:v>
                </c:pt>
                <c:pt idx="38">
                  <c:v>350.97465141367189</c:v>
                </c:pt>
                <c:pt idx="39">
                  <c:v>359.98975346961203</c:v>
                </c:pt>
                <c:pt idx="40">
                  <c:v>368.99991812928459</c:v>
                </c:pt>
                <c:pt idx="41">
                  <c:v>378.00528302411391</c:v>
                </c:pt>
                <c:pt idx="42">
                  <c:v>387.00597868901286</c:v>
                </c:pt>
                <c:pt idx="43">
                  <c:v>396.00212908841519</c:v>
                </c:pt>
                <c:pt idx="44">
                  <c:v>404.99385209199568</c:v>
                </c:pt>
                <c:pt idx="45">
                  <c:v>413.98125990592365</c:v>
                </c:pt>
                <c:pt idx="46">
                  <c:v>422.96445946470288</c:v>
                </c:pt>
                <c:pt idx="47">
                  <c:v>431.9435527879761</c:v>
                </c:pt>
                <c:pt idx="48">
                  <c:v>440.91863730610743</c:v>
                </c:pt>
                <c:pt idx="49">
                  <c:v>449.88980615786653</c:v>
                </c:pt>
                <c:pt idx="50">
                  <c:v>458.85714846312567</c:v>
                </c:pt>
                <c:pt idx="51">
                  <c:v>467.82074957312517</c:v>
                </c:pt>
                <c:pt idx="52">
                  <c:v>476.78069130055468</c:v>
                </c:pt>
                <c:pt idx="53">
                  <c:v>485.73705213143802</c:v>
                </c:pt>
                <c:pt idx="54">
                  <c:v>494.68990742057048</c:v>
                </c:pt>
                <c:pt idx="55">
                  <c:v>503.63932957207402</c:v>
                </c:pt>
                <c:pt idx="56">
                  <c:v>512.58538820644605</c:v>
                </c:pt>
                <c:pt idx="57">
                  <c:v>521.52815031534203</c:v>
                </c:pt>
                <c:pt idx="58">
                  <c:v>530.46768040518475</c:v>
                </c:pt>
                <c:pt idx="59">
                  <c:v>539.40404063059214</c:v>
                </c:pt>
                <c:pt idx="60">
                  <c:v>548.3372909185008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70" zoomScaleNormal="70" workbookViewId="0">
      <selection activeCell="C35" sqref="C35"/>
    </sheetView>
  </sheetViews>
  <sheetFormatPr baseColWidth="10" defaultRowHeight="14.5" x14ac:dyDescent="0.35"/>
  <cols>
    <col min="1" max="1" width="6.7265625" customWidth="1"/>
    <col min="2" max="13" width="15.81640625" customWidth="1"/>
  </cols>
  <sheetData>
    <row r="12" spans="2:13" ht="15" customHeight="1" x14ac:dyDescent="0.35">
      <c r="B12" s="286" t="s">
        <v>292</v>
      </c>
      <c r="C12" s="286"/>
      <c r="D12" s="286"/>
      <c r="E12" s="286"/>
      <c r="F12" s="286"/>
      <c r="G12" s="286"/>
      <c r="H12" s="286"/>
      <c r="I12" s="286"/>
      <c r="J12" s="286"/>
      <c r="K12" s="286"/>
      <c r="L12" s="286"/>
      <c r="M12" s="286"/>
    </row>
    <row r="13" spans="2:13" ht="15" customHeight="1" x14ac:dyDescent="0.35">
      <c r="B13" s="286"/>
      <c r="C13" s="286"/>
      <c r="D13" s="286"/>
      <c r="E13" s="286"/>
      <c r="F13" s="286"/>
      <c r="G13" s="286"/>
      <c r="H13" s="286"/>
      <c r="I13" s="286"/>
      <c r="J13" s="286"/>
      <c r="K13" s="286"/>
      <c r="L13" s="286"/>
      <c r="M13" s="286"/>
    </row>
    <row r="14" spans="2:13" ht="15" customHeight="1" x14ac:dyDescent="0.35">
      <c r="B14" s="286"/>
      <c r="C14" s="286"/>
      <c r="D14" s="286"/>
      <c r="E14" s="286"/>
      <c r="F14" s="286"/>
      <c r="G14" s="286"/>
      <c r="H14" s="286"/>
      <c r="I14" s="286"/>
      <c r="J14" s="286"/>
      <c r="K14" s="286"/>
      <c r="L14" s="286"/>
      <c r="M14" s="286"/>
    </row>
    <row r="15" spans="2:13" ht="18.75" customHeight="1" x14ac:dyDescent="0.35">
      <c r="B15" s="286"/>
      <c r="C15" s="286"/>
      <c r="D15" s="286"/>
      <c r="E15" s="286"/>
      <c r="F15" s="286"/>
      <c r="G15" s="286"/>
      <c r="H15" s="286"/>
      <c r="I15" s="286"/>
      <c r="J15" s="286"/>
      <c r="K15" s="286"/>
      <c r="L15" s="286"/>
      <c r="M15" s="286"/>
    </row>
    <row r="16" spans="2:13" ht="18.75" customHeight="1" x14ac:dyDescent="0.35">
      <c r="B16" s="286"/>
      <c r="C16" s="286"/>
      <c r="D16" s="286"/>
      <c r="E16" s="286"/>
      <c r="F16" s="286"/>
      <c r="G16" s="286"/>
      <c r="H16" s="286"/>
      <c r="I16" s="286"/>
      <c r="J16" s="286"/>
      <c r="K16" s="286"/>
      <c r="L16" s="286"/>
      <c r="M16" s="286"/>
    </row>
    <row r="18" spans="2:13" ht="12" customHeight="1" x14ac:dyDescent="0.35">
      <c r="B18" s="286" t="s">
        <v>293</v>
      </c>
      <c r="C18" s="286"/>
      <c r="D18" s="286"/>
      <c r="E18" s="286"/>
      <c r="F18" s="286"/>
      <c r="G18" s="286"/>
      <c r="H18" s="286"/>
      <c r="I18" s="286"/>
      <c r="J18" s="286"/>
      <c r="K18" s="286"/>
      <c r="L18" s="286"/>
      <c r="M18" s="286"/>
    </row>
    <row r="19" spans="2:13" ht="12" customHeight="1" x14ac:dyDescent="0.35">
      <c r="B19" s="286"/>
      <c r="C19" s="286"/>
      <c r="D19" s="286"/>
      <c r="E19" s="286"/>
      <c r="F19" s="286"/>
      <c r="G19" s="286"/>
      <c r="H19" s="286"/>
      <c r="I19" s="286"/>
      <c r="J19" s="286"/>
      <c r="K19" s="286"/>
      <c r="L19" s="286"/>
      <c r="M19" s="286"/>
    </row>
    <row r="20" spans="2:13" ht="12" customHeight="1" x14ac:dyDescent="0.35">
      <c r="B20" s="286"/>
      <c r="C20" s="286"/>
      <c r="D20" s="286"/>
      <c r="E20" s="286"/>
      <c r="F20" s="286"/>
      <c r="G20" s="286"/>
      <c r="H20" s="286"/>
      <c r="I20" s="286"/>
      <c r="J20" s="286"/>
      <c r="K20" s="286"/>
      <c r="L20" s="286"/>
      <c r="M20" s="286"/>
    </row>
    <row r="21" spans="2:13" ht="12" customHeight="1" x14ac:dyDescent="0.35">
      <c r="B21" s="286"/>
      <c r="C21" s="286"/>
      <c r="D21" s="286"/>
      <c r="E21" s="286"/>
      <c r="F21" s="286"/>
      <c r="G21" s="286"/>
      <c r="H21" s="286"/>
      <c r="I21" s="286"/>
      <c r="J21" s="286"/>
      <c r="K21" s="286"/>
      <c r="L21" s="286"/>
      <c r="M21" s="286"/>
    </row>
    <row r="22" spans="2:13" ht="12" customHeight="1" x14ac:dyDescent="0.35">
      <c r="B22" s="286"/>
      <c r="C22" s="286"/>
      <c r="D22" s="286"/>
      <c r="E22" s="286"/>
      <c r="F22" s="286"/>
      <c r="G22" s="286"/>
      <c r="H22" s="286"/>
      <c r="I22" s="286"/>
      <c r="J22" s="286"/>
      <c r="K22" s="286"/>
      <c r="L22" s="286"/>
      <c r="M22" s="286"/>
    </row>
    <row r="23" spans="2:13" ht="12" customHeight="1" x14ac:dyDescent="0.35">
      <c r="B23" s="286"/>
      <c r="C23" s="286"/>
      <c r="D23" s="286"/>
      <c r="E23" s="286"/>
      <c r="F23" s="286"/>
      <c r="G23" s="286"/>
      <c r="H23" s="286"/>
      <c r="I23" s="286"/>
      <c r="J23" s="286"/>
      <c r="K23" s="286"/>
      <c r="L23" s="286"/>
      <c r="M23" s="286"/>
    </row>
    <row r="24" spans="2:13" ht="12" customHeight="1" x14ac:dyDescent="0.35">
      <c r="B24" s="286"/>
      <c r="C24" s="286"/>
      <c r="D24" s="286"/>
      <c r="E24" s="286"/>
      <c r="F24" s="286"/>
      <c r="G24" s="286"/>
      <c r="H24" s="286"/>
      <c r="I24" s="286"/>
      <c r="J24" s="286"/>
      <c r="K24" s="286"/>
      <c r="L24" s="286"/>
      <c r="M24" s="286"/>
    </row>
    <row r="25" spans="2:13" ht="12" customHeight="1" x14ac:dyDescent="0.35">
      <c r="B25" s="286"/>
      <c r="C25" s="286"/>
      <c r="D25" s="286"/>
      <c r="E25" s="286"/>
      <c r="F25" s="286"/>
      <c r="G25" s="286"/>
      <c r="H25" s="286"/>
      <c r="I25" s="286"/>
      <c r="J25" s="286"/>
      <c r="K25" s="286"/>
      <c r="L25" s="286"/>
      <c r="M25" s="286"/>
    </row>
    <row r="26" spans="2:13" ht="12" customHeight="1" x14ac:dyDescent="0.35">
      <c r="B26" s="286"/>
      <c r="C26" s="286"/>
      <c r="D26" s="286"/>
      <c r="E26" s="286"/>
      <c r="F26" s="286"/>
      <c r="G26" s="286"/>
      <c r="H26" s="286"/>
      <c r="I26" s="286"/>
      <c r="J26" s="286"/>
      <c r="K26" s="286"/>
      <c r="L26" s="286"/>
      <c r="M26" s="286"/>
    </row>
    <row r="27" spans="2:13" ht="12" customHeight="1" x14ac:dyDescent="0.35">
      <c r="B27" s="286"/>
      <c r="C27" s="286"/>
      <c r="D27" s="286"/>
      <c r="E27" s="286"/>
      <c r="F27" s="286"/>
      <c r="G27" s="286"/>
      <c r="H27" s="286"/>
      <c r="I27" s="286"/>
      <c r="J27" s="286"/>
      <c r="K27" s="286"/>
      <c r="L27" s="286"/>
      <c r="M27" s="286"/>
    </row>
    <row r="28" spans="2:13" ht="12" customHeight="1" x14ac:dyDescent="0.35">
      <c r="B28" s="286"/>
      <c r="C28" s="286"/>
      <c r="D28" s="286"/>
      <c r="E28" s="286"/>
      <c r="F28" s="286"/>
      <c r="G28" s="286"/>
      <c r="H28" s="286"/>
      <c r="I28" s="286"/>
      <c r="J28" s="286"/>
      <c r="K28" s="286"/>
      <c r="L28" s="286"/>
      <c r="M28" s="286"/>
    </row>
    <row r="29" spans="2:13" ht="12" customHeight="1" x14ac:dyDescent="0.35">
      <c r="B29" s="286"/>
      <c r="C29" s="286"/>
      <c r="D29" s="286"/>
      <c r="E29" s="286"/>
      <c r="F29" s="286"/>
      <c r="G29" s="286"/>
      <c r="H29" s="286"/>
      <c r="I29" s="286"/>
      <c r="J29" s="286"/>
      <c r="K29" s="286"/>
      <c r="L29" s="286"/>
      <c r="M29" s="286"/>
    </row>
    <row r="30" spans="2:13" ht="12" customHeight="1" x14ac:dyDescent="0.35">
      <c r="B30" s="286"/>
      <c r="C30" s="286"/>
      <c r="D30" s="286"/>
      <c r="E30" s="286"/>
      <c r="F30" s="286"/>
      <c r="G30" s="286"/>
      <c r="H30" s="286"/>
      <c r="I30" s="286"/>
      <c r="J30" s="286"/>
      <c r="K30" s="286"/>
      <c r="L30" s="286"/>
      <c r="M30" s="286"/>
    </row>
    <row r="31" spans="2:13" ht="12" customHeight="1" x14ac:dyDescent="0.35">
      <c r="B31" s="286"/>
      <c r="C31" s="286"/>
      <c r="D31" s="286"/>
      <c r="E31" s="286"/>
      <c r="F31" s="286"/>
      <c r="G31" s="286"/>
      <c r="H31" s="286"/>
      <c r="I31" s="286"/>
      <c r="J31" s="286"/>
      <c r="K31" s="286"/>
      <c r="L31" s="286"/>
      <c r="M31" s="286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zoomScale="90" zoomScaleNormal="90" workbookViewId="0">
      <selection activeCell="B62" sqref="B62"/>
    </sheetView>
  </sheetViews>
  <sheetFormatPr baseColWidth="10" defaultColWidth="11.453125" defaultRowHeight="14.5" x14ac:dyDescent="0.35"/>
  <cols>
    <col min="1" max="1" width="13.7265625" style="25" customWidth="1"/>
    <col min="2" max="2" width="36.1796875" style="25" customWidth="1"/>
    <col min="3" max="3" width="14.81640625" style="25" bestFit="1" customWidth="1"/>
    <col min="4" max="4" width="16.453125" style="25" customWidth="1"/>
    <col min="5" max="5" width="23.26953125" style="25" customWidth="1"/>
    <col min="6" max="6" width="28.81640625" style="25" bestFit="1" customWidth="1"/>
    <col min="7" max="8" width="14.7265625" style="25" customWidth="1"/>
    <col min="9" max="9" width="17" style="25" customWidth="1"/>
    <col min="10" max="10" width="13.81640625" style="25" customWidth="1"/>
    <col min="11" max="16384" width="11.453125" style="25"/>
  </cols>
  <sheetData>
    <row r="1" spans="1:38" x14ac:dyDescent="0.35">
      <c r="A1" s="5"/>
      <c r="B1" s="5"/>
      <c r="C1" s="287" t="s">
        <v>190</v>
      </c>
      <c r="D1" s="287"/>
      <c r="E1" s="28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" thickBot="1" x14ac:dyDescent="0.4">
      <c r="A2" s="5"/>
      <c r="B2" s="5"/>
      <c r="C2" s="5"/>
      <c r="D2" s="5"/>
      <c r="E2" s="5"/>
      <c r="F2" s="5"/>
      <c r="G2" s="5"/>
      <c r="H2" s="5"/>
      <c r="I2" s="228" t="s">
        <v>320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6.5" thickBot="1" x14ac:dyDescent="0.4">
      <c r="A3" s="5"/>
      <c r="B3" s="292" t="s">
        <v>192</v>
      </c>
      <c r="C3" s="293"/>
      <c r="D3" s="293"/>
      <c r="E3" s="293"/>
      <c r="F3" s="294"/>
      <c r="G3" s="95"/>
      <c r="I3" s="228" t="s">
        <v>305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" x14ac:dyDescent="0.35">
      <c r="A4" s="97"/>
      <c r="B4" s="97"/>
      <c r="C4" s="97"/>
      <c r="D4" s="97"/>
      <c r="E4" s="97"/>
      <c r="F4" s="97"/>
      <c r="G4" s="238"/>
      <c r="I4" s="228" t="s">
        <v>306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" x14ac:dyDescent="0.35">
      <c r="A5" s="298" t="s">
        <v>231</v>
      </c>
      <c r="B5" s="298"/>
      <c r="C5" s="26">
        <v>3.98</v>
      </c>
      <c r="D5" s="299" t="s">
        <v>229</v>
      </c>
      <c r="E5" s="300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3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" x14ac:dyDescent="0.35">
      <c r="A7" s="296" t="s">
        <v>226</v>
      </c>
      <c r="B7" s="296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3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35">
      <c r="A9" s="33" t="s">
        <v>165</v>
      </c>
      <c r="B9" s="34" t="s">
        <v>18</v>
      </c>
      <c r="C9" s="35">
        <v>0.2613065326633166</v>
      </c>
      <c r="D9" s="36">
        <f t="shared" ref="D9:D18" si="0">C9*$C$5</f>
        <v>1.04</v>
      </c>
      <c r="E9" s="37">
        <v>70</v>
      </c>
      <c r="F9" s="38" t="str">
        <f t="array" ref="F9">IF(E9="","",IF(INDEX(A:A,MAX(IF(ISNUMBER($A$36:$A$55),ROW($A$36:$A$55),"")))&lt;&gt;E9,"Corrigez : révolution incorrecte","OK"))</f>
        <v>Corrigez : révolution incorrecte</v>
      </c>
      <c r="G9" s="258" t="s">
        <v>307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35">
      <c r="A10" s="33" t="s">
        <v>166</v>
      </c>
      <c r="B10" s="34" t="s">
        <v>36</v>
      </c>
      <c r="C10" s="35">
        <v>0.32663316582914576</v>
      </c>
      <c r="D10" s="36">
        <f t="shared" si="0"/>
        <v>1.3</v>
      </c>
      <c r="E10" s="37">
        <v>70</v>
      </c>
      <c r="F10" s="38" t="str">
        <f t="array" ref="F10">IF(E10="","",IF(INDEX(A:A,MAX(IF(ISNUMBER($A$62:$A$81),ROW($A$62:$A$81),"")))&lt;&gt;E10,"Corrigez : révolution incorrecte","OK"))</f>
        <v>OK</v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35">
      <c r="A11" s="33" t="s">
        <v>167</v>
      </c>
      <c r="B11" s="34" t="s">
        <v>164</v>
      </c>
      <c r="C11" s="35">
        <v>0.32663316582914576</v>
      </c>
      <c r="D11" s="36">
        <f t="shared" si="0"/>
        <v>1.3</v>
      </c>
      <c r="E11" s="37">
        <v>105</v>
      </c>
      <c r="F11" s="38" t="str">
        <f t="array" ref="F11">IF(E11="","",IF(INDEX(A:A,MAX(IF(ISNUMBER($A$88:$A$107),ROW($A$88:$A$107),"")))&lt;&gt;E11,"Corrigez : révolution incorrecte","OK"))</f>
        <v>OK</v>
      </c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35">
      <c r="A12" s="33" t="s">
        <v>168</v>
      </c>
      <c r="B12" s="34" t="s">
        <v>12</v>
      </c>
      <c r="C12" s="35">
        <v>8.5427135678391969E-2</v>
      </c>
      <c r="D12" s="36">
        <f t="shared" si="0"/>
        <v>0.34</v>
      </c>
      <c r="E12" s="37">
        <v>60</v>
      </c>
      <c r="F12" s="38" t="str">
        <f t="array" ref="F12">IF(E12="","",IF(INDEX(A:A,MAX(IF(ISNUMBER($A$114:$A$133),ROW($A$114:$A$133),"")))&lt;&gt;E12,"Corrigez : révolution incorrecte","OK"))</f>
        <v>OK</v>
      </c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3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3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3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3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3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3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35">
      <c r="A19" s="100"/>
      <c r="B19" s="39" t="s">
        <v>175</v>
      </c>
      <c r="C19" s="40">
        <f>SUM(C9:C18)</f>
        <v>1</v>
      </c>
      <c r="D19" s="41">
        <f>SUM(D9:D18)</f>
        <v>3.9799999999999995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3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3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5">
      <c r="A22" s="295" t="s">
        <v>232</v>
      </c>
      <c r="B22" s="295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3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35">
      <c r="A24" s="44" t="s">
        <v>218</v>
      </c>
      <c r="B24" s="45" t="s">
        <v>224</v>
      </c>
      <c r="C24" s="46">
        <v>0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3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35">
      <c r="A26" s="44" t="s">
        <v>222</v>
      </c>
      <c r="B26" s="45" t="s">
        <v>221</v>
      </c>
      <c r="C26" s="46">
        <v>0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3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3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3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35">
      <c r="A30" s="297" t="s">
        <v>227</v>
      </c>
      <c r="B30" s="297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3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35">
      <c r="A32" s="49" t="s">
        <v>165</v>
      </c>
      <c r="B32" s="50" t="str">
        <f>IF(B9="","",B9)</f>
        <v>Douglas</v>
      </c>
      <c r="D32" s="259" t="s">
        <v>308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3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35">
      <c r="A34" s="5"/>
      <c r="B34" s="91" t="s">
        <v>185</v>
      </c>
      <c r="C34" s="288" t="s">
        <v>186</v>
      </c>
      <c r="D34" s="288"/>
      <c r="E34" s="289" t="s">
        <v>187</v>
      </c>
      <c r="F34" s="290"/>
      <c r="G34" s="290"/>
      <c r="H34" s="291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3.5" x14ac:dyDescent="0.3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35">
      <c r="A36" s="53">
        <v>25</v>
      </c>
      <c r="B36" s="63">
        <v>253</v>
      </c>
      <c r="C36" s="63">
        <v>1</v>
      </c>
      <c r="D36" s="63">
        <v>59</v>
      </c>
      <c r="E36" s="336">
        <v>0.1</v>
      </c>
      <c r="F36" s="336">
        <v>0.8</v>
      </c>
      <c r="G36" s="336">
        <v>0</v>
      </c>
      <c r="H36" s="336">
        <v>0.1</v>
      </c>
      <c r="I36" s="52">
        <f>IFERROR(B36/A36,"")</f>
        <v>10.119999999999999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35">
      <c r="A37" s="53">
        <v>32</v>
      </c>
      <c r="B37" s="63">
        <v>332</v>
      </c>
      <c r="C37" s="63">
        <v>2</v>
      </c>
      <c r="D37" s="63">
        <v>79</v>
      </c>
      <c r="E37" s="336">
        <v>0.3</v>
      </c>
      <c r="F37" s="336">
        <v>0.5</v>
      </c>
      <c r="G37" s="336">
        <v>0</v>
      </c>
      <c r="H37" s="336">
        <v>0.2</v>
      </c>
      <c r="I37" s="56">
        <f t="shared" ref="I37:I55" si="1">IF(A37&lt;&gt;0,(B37-(B36-D36))/(A37-A36),"")</f>
        <v>19.714285714285715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35">
      <c r="A38" s="53">
        <v>39</v>
      </c>
      <c r="B38" s="63">
        <v>391</v>
      </c>
      <c r="C38" s="63">
        <v>3</v>
      </c>
      <c r="D38" s="63">
        <v>80</v>
      </c>
      <c r="E38" s="336">
        <v>0.3</v>
      </c>
      <c r="F38" s="336">
        <v>0.5</v>
      </c>
      <c r="G38" s="336">
        <v>0</v>
      </c>
      <c r="H38" s="336">
        <v>0.2</v>
      </c>
      <c r="I38" s="56">
        <f t="shared" si="1"/>
        <v>19.714285714285715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35">
      <c r="A39" s="53">
        <v>46</v>
      </c>
      <c r="B39" s="63">
        <v>444</v>
      </c>
      <c r="C39" s="63">
        <v>4</v>
      </c>
      <c r="D39" s="63">
        <v>86</v>
      </c>
      <c r="E39" s="336">
        <v>0.3</v>
      </c>
      <c r="F39" s="336">
        <v>0.5</v>
      </c>
      <c r="G39" s="336">
        <v>0</v>
      </c>
      <c r="H39" s="336">
        <v>0.19999999999999998</v>
      </c>
      <c r="I39" s="52">
        <f t="shared" si="1"/>
        <v>19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35">
      <c r="A40" s="53">
        <v>53</v>
      </c>
      <c r="B40" s="63">
        <v>482</v>
      </c>
      <c r="C40" s="63">
        <v>5</v>
      </c>
      <c r="D40" s="63">
        <v>80</v>
      </c>
      <c r="E40" s="336">
        <v>0.7</v>
      </c>
      <c r="F40" s="336">
        <v>0.3</v>
      </c>
      <c r="G40" s="336">
        <v>0</v>
      </c>
      <c r="H40" s="336">
        <v>0</v>
      </c>
      <c r="I40" s="52">
        <f t="shared" si="1"/>
        <v>17.714285714285715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35">
      <c r="A41" s="53">
        <v>60</v>
      </c>
      <c r="B41" s="63">
        <v>517</v>
      </c>
      <c r="C41" s="63">
        <v>6</v>
      </c>
      <c r="D41" s="63">
        <v>97</v>
      </c>
      <c r="E41" s="336">
        <v>0.7</v>
      </c>
      <c r="F41" s="336">
        <v>0.3</v>
      </c>
      <c r="G41" s="336">
        <v>0</v>
      </c>
      <c r="H41" s="336">
        <v>0</v>
      </c>
      <c r="I41" s="56">
        <f t="shared" si="1"/>
        <v>16.428571428571427</v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35">
      <c r="A42" s="53">
        <v>67</v>
      </c>
      <c r="B42" s="63">
        <v>521</v>
      </c>
      <c r="C42" s="63">
        <v>7</v>
      </c>
      <c r="D42" s="63">
        <v>521</v>
      </c>
      <c r="E42" s="336">
        <v>0.7</v>
      </c>
      <c r="F42" s="336">
        <v>0.3</v>
      </c>
      <c r="G42" s="336">
        <v>0</v>
      </c>
      <c r="H42" s="336">
        <v>0</v>
      </c>
      <c r="I42" s="56">
        <f t="shared" si="1"/>
        <v>14.428571428571429</v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3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3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3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3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3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3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3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3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3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3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3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3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3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3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3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35">
      <c r="A58" s="49" t="s">
        <v>166</v>
      </c>
      <c r="B58" s="55" t="str">
        <f>IF(B10="","",B10)</f>
        <v>Pin maritime</v>
      </c>
      <c r="D58" s="259" t="s">
        <v>308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3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35">
      <c r="A60" s="5"/>
      <c r="B60" s="91" t="s">
        <v>185</v>
      </c>
      <c r="C60" s="288" t="s">
        <v>186</v>
      </c>
      <c r="D60" s="288"/>
      <c r="E60" s="289" t="s">
        <v>187</v>
      </c>
      <c r="F60" s="290"/>
      <c r="G60" s="290"/>
      <c r="H60" s="291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3.5" x14ac:dyDescent="0.3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35">
      <c r="A62" s="53">
        <v>16</v>
      </c>
      <c r="B62" s="63">
        <v>58.400000000000006</v>
      </c>
      <c r="C62" s="63">
        <v>1</v>
      </c>
      <c r="D62" s="63">
        <v>7.6</v>
      </c>
      <c r="E62" s="54">
        <v>0</v>
      </c>
      <c r="F62" s="54">
        <v>1</v>
      </c>
      <c r="G62" s="54">
        <v>0</v>
      </c>
      <c r="H62" s="54">
        <v>0</v>
      </c>
      <c r="I62" s="56">
        <f>IFERROR(B62/A62,"")</f>
        <v>3.6500000000000004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35">
      <c r="A63" s="53">
        <v>20</v>
      </c>
      <c r="B63" s="63">
        <v>90.6</v>
      </c>
      <c r="C63" s="63">
        <v>2</v>
      </c>
      <c r="D63" s="63">
        <v>13.8</v>
      </c>
      <c r="E63" s="54">
        <v>0.1</v>
      </c>
      <c r="F63" s="54">
        <v>0.8</v>
      </c>
      <c r="G63" s="54">
        <v>0</v>
      </c>
      <c r="H63" s="54">
        <v>0.1</v>
      </c>
      <c r="I63" s="52">
        <f>IF(A63&lt;&gt;0,(B63-(B62-D62))/(A63-A62),"")</f>
        <v>9.9499999999999975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35">
      <c r="A64" s="53">
        <v>24</v>
      </c>
      <c r="B64" s="63">
        <v>120.9</v>
      </c>
      <c r="C64" s="63">
        <v>3</v>
      </c>
      <c r="D64" s="63">
        <v>19.7</v>
      </c>
      <c r="E64" s="54">
        <v>0.1</v>
      </c>
      <c r="F64" s="54">
        <v>0.8</v>
      </c>
      <c r="G64" s="54">
        <v>0</v>
      </c>
      <c r="H64" s="54">
        <v>0.1</v>
      </c>
      <c r="I64" s="52">
        <f>IF(A64&lt;&gt;0,(B64-(B63-D63))/(A64-A63),"")</f>
        <v>11.025000000000002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35">
      <c r="A65" s="53">
        <v>28</v>
      </c>
      <c r="B65" s="63">
        <v>146.4</v>
      </c>
      <c r="C65" s="63">
        <v>4</v>
      </c>
      <c r="D65" s="63">
        <v>23.4</v>
      </c>
      <c r="E65" s="54">
        <v>0.1</v>
      </c>
      <c r="F65" s="54">
        <v>0.8</v>
      </c>
      <c r="G65" s="54">
        <v>0</v>
      </c>
      <c r="H65" s="54">
        <v>0.1</v>
      </c>
      <c r="I65" s="52">
        <f>IF(A65&lt;&gt;0,(B65-(B64-D64))/(A65-A64),"")</f>
        <v>11.3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35">
      <c r="A66" s="53">
        <v>34</v>
      </c>
      <c r="B66" s="63">
        <v>193.6</v>
      </c>
      <c r="C66" s="63">
        <v>5</v>
      </c>
      <c r="D66" s="63">
        <v>38.299999999999997</v>
      </c>
      <c r="E66" s="54">
        <v>0.3</v>
      </c>
      <c r="F66" s="54">
        <v>0.5</v>
      </c>
      <c r="G66" s="54">
        <v>0</v>
      </c>
      <c r="H66" s="54">
        <v>0.2</v>
      </c>
      <c r="I66" s="52">
        <f t="shared" ref="I66:I81" si="2">IF(A66&lt;&gt;0,(B66-(B65-D65))/(A66-A65),"")</f>
        <v>11.766666666666666</v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35">
      <c r="A67" s="53">
        <v>40</v>
      </c>
      <c r="B67" s="63">
        <v>214.5</v>
      </c>
      <c r="C67" s="63">
        <v>6</v>
      </c>
      <c r="D67" s="63">
        <v>30.9</v>
      </c>
      <c r="E67" s="54">
        <v>0.3</v>
      </c>
      <c r="F67" s="54">
        <v>0.5</v>
      </c>
      <c r="G67" s="54">
        <v>0</v>
      </c>
      <c r="H67" s="54">
        <v>0.2</v>
      </c>
      <c r="I67" s="52">
        <f t="shared" si="2"/>
        <v>9.8666666666666654</v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35">
      <c r="A68" s="53">
        <v>46</v>
      </c>
      <c r="B68" s="63">
        <v>228</v>
      </c>
      <c r="C68" s="63">
        <v>7</v>
      </c>
      <c r="D68" s="63">
        <v>22.9</v>
      </c>
      <c r="E68" s="54">
        <v>0.3</v>
      </c>
      <c r="F68" s="54">
        <v>0.5</v>
      </c>
      <c r="G68" s="54">
        <v>0</v>
      </c>
      <c r="H68" s="54">
        <v>0.2</v>
      </c>
      <c r="I68" s="52">
        <f t="shared" si="2"/>
        <v>7.4000000000000012</v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35">
      <c r="A69" s="53">
        <v>54</v>
      </c>
      <c r="B69" s="53">
        <v>246.7</v>
      </c>
      <c r="C69" s="53">
        <v>8</v>
      </c>
      <c r="D69" s="53">
        <v>22.4</v>
      </c>
      <c r="E69" s="54">
        <v>0.7</v>
      </c>
      <c r="F69" s="54">
        <v>0.3</v>
      </c>
      <c r="G69" s="54">
        <v>0</v>
      </c>
      <c r="H69" s="54">
        <v>0</v>
      </c>
      <c r="I69" s="52">
        <f t="shared" si="2"/>
        <v>5.1999999999999993</v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35">
      <c r="A70" s="53">
        <v>62</v>
      </c>
      <c r="B70" s="53">
        <v>241.7</v>
      </c>
      <c r="C70" s="53">
        <v>9</v>
      </c>
      <c r="D70" s="53">
        <v>9.4</v>
      </c>
      <c r="E70" s="54">
        <v>0.7</v>
      </c>
      <c r="F70" s="54">
        <v>0.3</v>
      </c>
      <c r="G70" s="54">
        <v>0</v>
      </c>
      <c r="H70" s="54">
        <v>0</v>
      </c>
      <c r="I70" s="52">
        <f t="shared" si="2"/>
        <v>2.1750000000000007</v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35">
      <c r="A71" s="53">
        <v>70</v>
      </c>
      <c r="B71" s="53">
        <v>261.10000000000002</v>
      </c>
      <c r="C71" s="53">
        <v>10</v>
      </c>
      <c r="D71" s="53">
        <v>261.10000000000002</v>
      </c>
      <c r="E71" s="54">
        <v>0.7</v>
      </c>
      <c r="F71" s="54">
        <v>0.3</v>
      </c>
      <c r="G71" s="54">
        <v>0</v>
      </c>
      <c r="H71" s="54">
        <v>0</v>
      </c>
      <c r="I71" s="52">
        <f t="shared" si="2"/>
        <v>3.600000000000005</v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3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3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3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3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3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3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3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3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3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3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3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3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35">
      <c r="A84" s="49" t="s">
        <v>167</v>
      </c>
      <c r="B84" s="55" t="str">
        <f>IF(B11="","",B11)</f>
        <v>Cèdre de l'Atlas</v>
      </c>
      <c r="D84" s="259" t="s">
        <v>308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3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35">
      <c r="A86" s="5"/>
      <c r="B86" s="91" t="s">
        <v>185</v>
      </c>
      <c r="C86" s="288" t="s">
        <v>186</v>
      </c>
      <c r="D86" s="288"/>
      <c r="E86" s="289" t="s">
        <v>187</v>
      </c>
      <c r="F86" s="290"/>
      <c r="G86" s="290"/>
      <c r="H86" s="291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3.5" x14ac:dyDescent="0.3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35">
      <c r="A88" s="53">
        <v>46</v>
      </c>
      <c r="B88" s="63">
        <v>300</v>
      </c>
      <c r="C88" s="63">
        <v>1</v>
      </c>
      <c r="D88" s="63">
        <v>102</v>
      </c>
      <c r="E88" s="54">
        <v>0.5</v>
      </c>
      <c r="F88" s="54">
        <v>0.5</v>
      </c>
      <c r="G88" s="54">
        <v>0</v>
      </c>
      <c r="H88" s="93">
        <v>0</v>
      </c>
      <c r="I88" s="56">
        <f>IFERROR(B88/A88,"")</f>
        <v>6.5217391304347823</v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35">
      <c r="A89" s="53">
        <v>56</v>
      </c>
      <c r="B89" s="63">
        <v>379</v>
      </c>
      <c r="C89" s="63">
        <v>2</v>
      </c>
      <c r="D89" s="63">
        <v>91</v>
      </c>
      <c r="E89" s="54">
        <v>0.7</v>
      </c>
      <c r="F89" s="54">
        <v>0.3</v>
      </c>
      <c r="G89" s="54">
        <v>0</v>
      </c>
      <c r="H89" s="93">
        <v>0</v>
      </c>
      <c r="I89" s="56">
        <f t="shared" ref="I89:I107" si="3">IF(A89&lt;&gt;0,(B89-(B88-D88))/(A89-A88),"")</f>
        <v>18.100000000000001</v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35">
      <c r="A90" s="53">
        <v>66</v>
      </c>
      <c r="B90" s="63">
        <v>465</v>
      </c>
      <c r="C90" s="63">
        <v>3</v>
      </c>
      <c r="D90" s="63">
        <v>101</v>
      </c>
      <c r="E90" s="93">
        <v>0.69999999999999984</v>
      </c>
      <c r="F90" s="93">
        <v>0.3</v>
      </c>
      <c r="G90" s="93">
        <v>0</v>
      </c>
      <c r="H90" s="93">
        <v>0</v>
      </c>
      <c r="I90" s="56">
        <f t="shared" si="3"/>
        <v>17.7</v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35">
      <c r="A91" s="53">
        <v>76</v>
      </c>
      <c r="B91" s="63">
        <v>531</v>
      </c>
      <c r="C91" s="63">
        <v>4</v>
      </c>
      <c r="D91" s="63">
        <v>106</v>
      </c>
      <c r="E91" s="93">
        <v>0.69999999999999984</v>
      </c>
      <c r="F91" s="93">
        <v>0.3</v>
      </c>
      <c r="G91" s="93">
        <v>0</v>
      </c>
      <c r="H91" s="93">
        <v>0</v>
      </c>
      <c r="I91" s="56">
        <f t="shared" si="3"/>
        <v>16.7</v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35">
      <c r="A92" s="53">
        <v>86</v>
      </c>
      <c r="B92" s="63">
        <v>567</v>
      </c>
      <c r="C92" s="63">
        <v>5</v>
      </c>
      <c r="D92" s="63">
        <v>108</v>
      </c>
      <c r="E92" s="93">
        <v>0.7</v>
      </c>
      <c r="F92" s="93">
        <v>0.3</v>
      </c>
      <c r="G92" s="93">
        <v>0</v>
      </c>
      <c r="H92" s="93">
        <v>0</v>
      </c>
      <c r="I92" s="56">
        <f t="shared" si="3"/>
        <v>14.2</v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35">
      <c r="A93" s="53">
        <v>95</v>
      </c>
      <c r="B93" s="63">
        <v>576</v>
      </c>
      <c r="C93" s="63">
        <v>6</v>
      </c>
      <c r="D93" s="63">
        <v>103</v>
      </c>
      <c r="E93" s="93">
        <v>0.7</v>
      </c>
      <c r="F93" s="93">
        <v>0.3</v>
      </c>
      <c r="G93" s="93">
        <v>0</v>
      </c>
      <c r="H93" s="93">
        <v>0</v>
      </c>
      <c r="I93" s="56">
        <f t="shared" si="3"/>
        <v>13</v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35">
      <c r="A94" s="53">
        <v>105</v>
      </c>
      <c r="B94" s="63">
        <v>580</v>
      </c>
      <c r="C94" s="63">
        <v>7</v>
      </c>
      <c r="D94" s="63">
        <v>580</v>
      </c>
      <c r="E94" s="93">
        <v>0.7</v>
      </c>
      <c r="F94" s="93">
        <v>0.3</v>
      </c>
      <c r="G94" s="93">
        <v>0</v>
      </c>
      <c r="H94" s="93">
        <v>0</v>
      </c>
      <c r="I94" s="56">
        <f t="shared" si="3"/>
        <v>10.7</v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3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3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3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3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3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3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3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3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3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3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3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3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3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3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3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35">
      <c r="A110" s="49" t="s">
        <v>168</v>
      </c>
      <c r="B110" s="55" t="str">
        <f>IF(B12="","",B12)</f>
        <v>Chêne pubescent</v>
      </c>
      <c r="D110" s="259" t="s">
        <v>308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3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35">
      <c r="A112" s="5"/>
      <c r="B112" s="91" t="s">
        <v>185</v>
      </c>
      <c r="C112" s="288" t="s">
        <v>186</v>
      </c>
      <c r="D112" s="288"/>
      <c r="E112" s="289" t="s">
        <v>187</v>
      </c>
      <c r="F112" s="290"/>
      <c r="G112" s="290"/>
      <c r="H112" s="291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3.5" x14ac:dyDescent="0.3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35">
      <c r="A114" s="53">
        <v>60</v>
      </c>
      <c r="B114" s="63">
        <v>250.00000204724259</v>
      </c>
      <c r="C114" s="53">
        <v>1</v>
      </c>
      <c r="D114" s="63">
        <v>250.00000204724259</v>
      </c>
      <c r="E114" s="54">
        <v>0.6</v>
      </c>
      <c r="F114" s="54">
        <v>0</v>
      </c>
      <c r="G114" s="54">
        <v>0</v>
      </c>
      <c r="H114" s="54">
        <v>0.4</v>
      </c>
      <c r="I114" s="56">
        <f>IFERROR(B114/A114,"")</f>
        <v>4.1666667007873768</v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3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3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3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3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3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3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3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3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3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3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3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3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3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3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3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3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3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3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3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3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3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35">
      <c r="A136" s="49" t="s">
        <v>169</v>
      </c>
      <c r="B136" s="55" t="str">
        <f>IF(B13="","",B13)</f>
        <v/>
      </c>
      <c r="D136" s="259" t="s">
        <v>308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3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35">
      <c r="A138" s="5"/>
      <c r="B138" s="91" t="s">
        <v>185</v>
      </c>
      <c r="C138" s="288" t="s">
        <v>186</v>
      </c>
      <c r="D138" s="288"/>
      <c r="E138" s="289" t="s">
        <v>187</v>
      </c>
      <c r="F138" s="290"/>
      <c r="G138" s="290"/>
      <c r="H138" s="291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3.5" x14ac:dyDescent="0.3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3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3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3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3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3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3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3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3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3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3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3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3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3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3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3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3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3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3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3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3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3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3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35">
      <c r="A162" s="49" t="s">
        <v>170</v>
      </c>
      <c r="B162" s="55" t="str">
        <f>IF(B14="","",B14)</f>
        <v/>
      </c>
      <c r="D162" s="259" t="s">
        <v>308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3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35">
      <c r="A164" s="5"/>
      <c r="B164" s="91" t="s">
        <v>185</v>
      </c>
      <c r="C164" s="288" t="s">
        <v>186</v>
      </c>
      <c r="D164" s="288"/>
      <c r="E164" s="289" t="s">
        <v>187</v>
      </c>
      <c r="F164" s="290"/>
      <c r="G164" s="290"/>
      <c r="H164" s="291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3.5" x14ac:dyDescent="0.3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3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3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3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3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3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3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3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3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3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3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3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3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3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3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3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3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3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3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3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3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3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3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35">
      <c r="A188" s="49" t="s">
        <v>171</v>
      </c>
      <c r="B188" s="55" t="str">
        <f>IF(B15="","",B15)</f>
        <v/>
      </c>
      <c r="D188" s="259" t="s">
        <v>308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3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35">
      <c r="A190" s="5"/>
      <c r="B190" s="91" t="s">
        <v>185</v>
      </c>
      <c r="C190" s="288" t="s">
        <v>186</v>
      </c>
      <c r="D190" s="288"/>
      <c r="E190" s="289" t="s">
        <v>187</v>
      </c>
      <c r="F190" s="290"/>
      <c r="G190" s="290"/>
      <c r="H190" s="291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3.5" x14ac:dyDescent="0.3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3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3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3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3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3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3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3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3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3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3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3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3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3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3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3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3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3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3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3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3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3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3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35">
      <c r="A214" s="49" t="s">
        <v>172</v>
      </c>
      <c r="B214" s="55" t="str">
        <f>IF(B16="","",B16)</f>
        <v/>
      </c>
      <c r="D214" s="259" t="s">
        <v>308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3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35">
      <c r="A216" s="5"/>
      <c r="B216" s="91" t="s">
        <v>185</v>
      </c>
      <c r="C216" s="288" t="s">
        <v>186</v>
      </c>
      <c r="D216" s="288"/>
      <c r="E216" s="289" t="s">
        <v>187</v>
      </c>
      <c r="F216" s="290"/>
      <c r="G216" s="290"/>
      <c r="H216" s="291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3.5" x14ac:dyDescent="0.3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3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3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3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3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3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3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3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3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3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3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3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3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3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3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3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3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3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3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3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3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3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3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35">
      <c r="A240" s="49" t="s">
        <v>173</v>
      </c>
      <c r="B240" s="55" t="str">
        <f>IF(B17="","",B17)</f>
        <v/>
      </c>
      <c r="D240" s="259" t="s">
        <v>308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3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35">
      <c r="A242" s="5"/>
      <c r="B242" s="91" t="s">
        <v>185</v>
      </c>
      <c r="C242" s="288" t="s">
        <v>186</v>
      </c>
      <c r="D242" s="288"/>
      <c r="E242" s="289" t="s">
        <v>187</v>
      </c>
      <c r="F242" s="290"/>
      <c r="G242" s="290"/>
      <c r="H242" s="291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3.5" x14ac:dyDescent="0.3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3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3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3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3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3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3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3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3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3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3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3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3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3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3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3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3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3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3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3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3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3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3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35">
      <c r="A266" s="49" t="s">
        <v>174</v>
      </c>
      <c r="B266" s="55" t="str">
        <f>IF(B18="","",B18)</f>
        <v/>
      </c>
      <c r="D266" s="259" t="s">
        <v>308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3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35">
      <c r="A268" s="5"/>
      <c r="B268" s="91" t="s">
        <v>185</v>
      </c>
      <c r="C268" s="288" t="s">
        <v>186</v>
      </c>
      <c r="D268" s="288"/>
      <c r="E268" s="289" t="s">
        <v>187</v>
      </c>
      <c r="F268" s="290"/>
      <c r="G268" s="290"/>
      <c r="H268" s="291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3.5" x14ac:dyDescent="0.3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3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3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3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3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3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3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3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3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3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3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3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3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3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3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3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3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3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3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3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3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3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3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3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3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3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3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3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3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3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3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3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3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3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3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3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3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3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3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3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3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3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3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3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3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3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3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3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3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3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3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3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3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3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3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3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3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3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3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3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3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3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3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3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3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3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3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3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3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3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3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3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3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3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3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3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3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3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3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3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3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3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3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3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3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3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3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3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3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3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3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3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3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3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3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3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3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3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3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3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3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3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3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3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3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3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3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3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3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3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3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3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3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3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3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3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3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3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3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3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3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3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3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3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3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3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3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3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3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3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3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3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3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3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3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3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3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3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3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3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3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3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3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3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3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3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3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3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3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3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3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3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3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3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3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3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3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3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3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WNNfjMejANGVl6TwNyOWjr6uE9FSKeYKc8G1xSRzhSSEEHHoiD4MGdHL+75tgTa2hkuargjtI146ITZNl/t3TQ==" saltValue="Rm8CBJr+fsZI1hzxuzToYA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4">
    <dataValidation type="list" allowBlank="1" showInputMessage="1" showErrorMessage="1" sqref="B9:B18" xr:uid="{00000000-0002-0000-0100-000000000000}">
      <formula1>Essence</formula1>
    </dataValidation>
    <dataValidation type="list" allowBlank="1" showInputMessage="1" showErrorMessage="1" sqref="C24" xr:uid="{00000000-0002-0000-0100-000001000000}">
      <formula1>VAN</formula1>
    </dataValidation>
    <dataValidation type="list" allowBlank="1" showInputMessage="1" showErrorMessage="1" sqref="C26" xr:uid="{00000000-0002-0000-0100-000002000000}">
      <formula1>Incendie</formula1>
    </dataValidation>
    <dataValidation type="list" allowBlank="1" showInputMessage="1" showErrorMessage="1" sqref="C27" xr:uid="{00000000-0002-0000-0100-000003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85" zoomScaleNormal="85" workbookViewId="0">
      <selection activeCell="B17" sqref="B17"/>
    </sheetView>
  </sheetViews>
  <sheetFormatPr baseColWidth="10" defaultColWidth="11.453125" defaultRowHeight="14.5" x14ac:dyDescent="0.35"/>
  <cols>
    <col min="1" max="1" width="5.81640625" style="1" customWidth="1"/>
    <col min="2" max="2" width="14.1796875" style="1" customWidth="1"/>
    <col min="3" max="3" width="62.1796875" style="1" customWidth="1"/>
    <col min="4" max="5" width="4.26953125" style="1" customWidth="1"/>
    <col min="6" max="6" width="14.26953125" style="1" customWidth="1"/>
    <col min="7" max="7" width="73.26953125" style="1" bestFit="1" customWidth="1"/>
    <col min="8" max="10" width="11.453125" style="1"/>
    <col min="11" max="11" width="12.54296875" style="1" customWidth="1"/>
    <col min="12" max="16384" width="11.453125" style="1"/>
  </cols>
  <sheetData>
    <row r="1" spans="1:38" ht="15" thickBot="1" x14ac:dyDescent="0.4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6.5" thickBot="1" x14ac:dyDescent="0.65">
      <c r="A2" s="5"/>
      <c r="B2" s="302" t="s">
        <v>191</v>
      </c>
      <c r="C2" s="303"/>
      <c r="D2" s="303"/>
      <c r="E2" s="303"/>
      <c r="F2" s="303"/>
      <c r="G2" s="304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3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35">
      <c r="A4" s="5"/>
      <c r="B4" s="301"/>
      <c r="C4" s="301"/>
      <c r="D4" s="301"/>
      <c r="E4" s="301"/>
      <c r="F4" s="301"/>
      <c r="G4" s="301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35">
      <c r="A5" s="5"/>
      <c r="B5" s="107" t="s">
        <v>297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3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35">
      <c r="A7" s="108"/>
      <c r="B7" s="29" t="s">
        <v>296</v>
      </c>
      <c r="C7" s="109" t="s">
        <v>214</v>
      </c>
      <c r="D7" s="235"/>
      <c r="E7" s="110"/>
      <c r="F7" s="29" t="s">
        <v>296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35">
      <c r="A8" s="114">
        <v>1</v>
      </c>
      <c r="B8" s="64">
        <v>1</v>
      </c>
      <c r="C8" s="52" t="s">
        <v>177</v>
      </c>
      <c r="D8" s="25"/>
      <c r="E8" s="114">
        <v>4</v>
      </c>
      <c r="F8" s="64">
        <v>0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3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3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0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3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3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35">
      <c r="A13" s="236"/>
      <c r="B13" s="116"/>
      <c r="C13" s="107" t="s">
        <v>273</v>
      </c>
      <c r="D13" s="236"/>
      <c r="E13" s="108"/>
      <c r="F13" s="116"/>
      <c r="G13" s="107" t="s">
        <v>302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35">
      <c r="A14" s="236"/>
      <c r="B14" s="116"/>
      <c r="C14" s="107" t="s">
        <v>310</v>
      </c>
      <c r="D14" s="236"/>
      <c r="E14" s="108"/>
      <c r="F14" s="116"/>
      <c r="G14" s="107" t="s">
        <v>295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35">
      <c r="A15" s="25"/>
      <c r="B15" s="29" t="s">
        <v>296</v>
      </c>
      <c r="C15" s="5"/>
      <c r="D15" s="25"/>
      <c r="E15" s="5"/>
      <c r="F15" s="5"/>
      <c r="G15" s="2" t="s">
        <v>8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35">
      <c r="A16" s="25"/>
      <c r="B16" s="64">
        <v>0.35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35">
      <c r="A17" s="25"/>
      <c r="B17" s="64">
        <v>0.65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3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35">
      <c r="A19" s="25"/>
      <c r="B19" s="115">
        <f>SUM(B16:B18)</f>
        <v>1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3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3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3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3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3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3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3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3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3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3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3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3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3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3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3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3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3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3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3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3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3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3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3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3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3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3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3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3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3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3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3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3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3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3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3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3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3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3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3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3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3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3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3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3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3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3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3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3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3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3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3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3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3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3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3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3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3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3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3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3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3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3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3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3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3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3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3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3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3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3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3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3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3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3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3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3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3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3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3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3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3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3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3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3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35">
      <c r="C104" s="5"/>
      <c r="F104" s="5"/>
    </row>
    <row r="105" spans="3:35" x14ac:dyDescent="0.35">
      <c r="C105" s="5"/>
      <c r="F105" s="5"/>
    </row>
    <row r="106" spans="3:35" x14ac:dyDescent="0.35">
      <c r="C106" s="5"/>
      <c r="F106" s="5"/>
    </row>
    <row r="107" spans="3:35" x14ac:dyDescent="0.35">
      <c r="C107" s="5"/>
      <c r="F107" s="5"/>
    </row>
    <row r="108" spans="3:35" x14ac:dyDescent="0.35">
      <c r="C108" s="5"/>
      <c r="F108" s="5"/>
    </row>
    <row r="109" spans="3:35" x14ac:dyDescent="0.35">
      <c r="C109" s="5"/>
      <c r="F109" s="5"/>
    </row>
    <row r="110" spans="3:35" x14ac:dyDescent="0.35">
      <c r="C110" s="5"/>
      <c r="F110" s="5"/>
    </row>
    <row r="111" spans="3:35" x14ac:dyDescent="0.35">
      <c r="C111" s="5"/>
      <c r="F111" s="5"/>
    </row>
    <row r="112" spans="3:35" x14ac:dyDescent="0.35">
      <c r="C112" s="5"/>
      <c r="F112" s="5"/>
    </row>
    <row r="113" spans="3:6" x14ac:dyDescent="0.35">
      <c r="C113" s="5"/>
      <c r="F113" s="5"/>
    </row>
    <row r="114" spans="3:6" x14ac:dyDescent="0.35">
      <c r="C114" s="5"/>
      <c r="F114" s="5"/>
    </row>
    <row r="115" spans="3:6" x14ac:dyDescent="0.35">
      <c r="C115" s="5"/>
      <c r="F115" s="5"/>
    </row>
    <row r="116" spans="3:6" x14ac:dyDescent="0.35">
      <c r="C116" s="5"/>
      <c r="F116" s="5"/>
    </row>
    <row r="117" spans="3:6" x14ac:dyDescent="0.35">
      <c r="C117" s="5"/>
      <c r="F117" s="5"/>
    </row>
    <row r="118" spans="3:6" x14ac:dyDescent="0.35">
      <c r="C118" s="5"/>
      <c r="F118" s="5"/>
    </row>
    <row r="119" spans="3:6" x14ac:dyDescent="0.35">
      <c r="C119" s="5"/>
      <c r="F119" s="5"/>
    </row>
    <row r="120" spans="3:6" x14ac:dyDescent="0.35">
      <c r="C120" s="5"/>
      <c r="F120" s="5"/>
    </row>
    <row r="121" spans="3:6" x14ac:dyDescent="0.35">
      <c r="C121" s="5"/>
      <c r="F121" s="5"/>
    </row>
    <row r="122" spans="3:6" x14ac:dyDescent="0.35">
      <c r="C122" s="5"/>
      <c r="F122" s="5"/>
    </row>
    <row r="123" spans="3:6" x14ac:dyDescent="0.35">
      <c r="C123" s="5"/>
      <c r="F123" s="5"/>
    </row>
    <row r="124" spans="3:6" x14ac:dyDescent="0.35">
      <c r="C124" s="5"/>
      <c r="F124" s="5"/>
    </row>
    <row r="125" spans="3:6" x14ac:dyDescent="0.35">
      <c r="C125" s="5"/>
      <c r="F125" s="5"/>
    </row>
    <row r="126" spans="3:6" x14ac:dyDescent="0.35">
      <c r="C126" s="5"/>
      <c r="F126" s="5"/>
    </row>
    <row r="127" spans="3:6" x14ac:dyDescent="0.35">
      <c r="C127" s="5"/>
      <c r="F127" s="5"/>
    </row>
    <row r="128" spans="3:6" x14ac:dyDescent="0.35">
      <c r="C128" s="5"/>
      <c r="F128" s="5"/>
    </row>
    <row r="129" spans="3:6" x14ac:dyDescent="0.35">
      <c r="C129" s="5"/>
      <c r="F129" s="5"/>
    </row>
    <row r="130" spans="3:6" x14ac:dyDescent="0.35">
      <c r="C130" s="5"/>
      <c r="F130" s="5"/>
    </row>
    <row r="131" spans="3:6" x14ac:dyDescent="0.35">
      <c r="C131" s="5"/>
      <c r="F131" s="5"/>
    </row>
    <row r="132" spans="3:6" x14ac:dyDescent="0.35">
      <c r="F132" s="5"/>
    </row>
    <row r="133" spans="3:6" x14ac:dyDescent="0.35">
      <c r="F133" s="5"/>
    </row>
    <row r="134" spans="3:6" x14ac:dyDescent="0.35">
      <c r="F134" s="5"/>
    </row>
    <row r="135" spans="3:6" x14ac:dyDescent="0.35">
      <c r="F135" s="5"/>
    </row>
    <row r="136" spans="3:6" x14ac:dyDescent="0.35">
      <c r="F136" s="5"/>
    </row>
    <row r="137" spans="3:6" x14ac:dyDescent="0.35">
      <c r="F137" s="5"/>
    </row>
    <row r="138" spans="3:6" x14ac:dyDescent="0.35">
      <c r="F138" s="5"/>
    </row>
    <row r="139" spans="3:6" x14ac:dyDescent="0.35">
      <c r="F139" s="5"/>
    </row>
    <row r="140" spans="3:6" x14ac:dyDescent="0.35">
      <c r="F140" s="5"/>
    </row>
    <row r="141" spans="3:6" x14ac:dyDescent="0.35">
      <c r="F141" s="5"/>
    </row>
    <row r="142" spans="3:6" x14ac:dyDescent="0.35">
      <c r="F142" s="5"/>
    </row>
    <row r="143" spans="3:6" x14ac:dyDescent="0.35">
      <c r="F143" s="5"/>
    </row>
    <row r="144" spans="3:6" x14ac:dyDescent="0.35">
      <c r="F144" s="5"/>
    </row>
    <row r="145" spans="6:6" x14ac:dyDescent="0.35">
      <c r="F145" s="5"/>
    </row>
    <row r="146" spans="6:6" x14ac:dyDescent="0.35">
      <c r="F146" s="5"/>
    </row>
    <row r="147" spans="6:6" x14ac:dyDescent="0.35">
      <c r="F147" s="5"/>
    </row>
    <row r="148" spans="6:6" x14ac:dyDescent="0.35">
      <c r="F148" s="5"/>
    </row>
    <row r="149" spans="6:6" x14ac:dyDescent="0.35">
      <c r="F149" s="5"/>
    </row>
    <row r="150" spans="6:6" x14ac:dyDescent="0.35">
      <c r="F150" s="5"/>
    </row>
    <row r="151" spans="6:6" x14ac:dyDescent="0.35">
      <c r="F151" s="5"/>
    </row>
    <row r="152" spans="6:6" x14ac:dyDescent="0.35">
      <c r="F152" s="5"/>
    </row>
    <row r="153" spans="6:6" x14ac:dyDescent="0.35">
      <c r="F153" s="5"/>
    </row>
    <row r="154" spans="6:6" x14ac:dyDescent="0.35">
      <c r="F154" s="5"/>
    </row>
    <row r="155" spans="6:6" x14ac:dyDescent="0.35">
      <c r="F155" s="5"/>
    </row>
    <row r="156" spans="6:6" x14ac:dyDescent="0.35">
      <c r="F156" s="5"/>
    </row>
    <row r="157" spans="6:6" x14ac:dyDescent="0.35">
      <c r="F157" s="5"/>
    </row>
    <row r="158" spans="6:6" x14ac:dyDescent="0.35">
      <c r="F158" s="5"/>
    </row>
    <row r="159" spans="6:6" x14ac:dyDescent="0.35">
      <c r="F159" s="5"/>
    </row>
    <row r="160" spans="6:6" x14ac:dyDescent="0.35">
      <c r="F160" s="5"/>
    </row>
    <row r="161" spans="6:6" x14ac:dyDescent="0.35">
      <c r="F161" s="5"/>
    </row>
    <row r="162" spans="6:6" x14ac:dyDescent="0.35">
      <c r="F162" s="5"/>
    </row>
    <row r="163" spans="6:6" x14ac:dyDescent="0.35">
      <c r="F163" s="5"/>
    </row>
  </sheetData>
  <sheetProtection algorithmName="SHA-512" hashValue="bYYTRLA362MILumSLNbeoQ2hy+GJikiAN9JWuBENQVQ+g49rNjpbVQfv4HKmwJd5sECAbS9qnJ5D7VbOYAr62A==" saltValue="mhj60ytZCew56tNQmRqpzw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zoomScale="85" zoomScaleNormal="85" workbookViewId="0">
      <selection activeCell="I7" sqref="I7"/>
    </sheetView>
  </sheetViews>
  <sheetFormatPr baseColWidth="10" defaultColWidth="11.453125" defaultRowHeight="14.5" x14ac:dyDescent="0.35"/>
  <cols>
    <col min="1" max="1" width="6.81640625" style="71" bestFit="1" customWidth="1"/>
    <col min="2" max="4" width="11.453125" style="71"/>
    <col min="5" max="5" width="9.54296875" style="71" customWidth="1"/>
    <col min="6" max="7" width="11.453125" style="71"/>
    <col min="8" max="8" width="10.7265625" style="71" customWidth="1"/>
    <col min="9" max="9" width="9.453125" style="71" customWidth="1"/>
    <col min="10" max="11" width="10.54296875" style="71" bestFit="1" customWidth="1"/>
    <col min="12" max="12" width="14" style="71" bestFit="1" customWidth="1"/>
    <col min="13" max="13" width="14" style="71" customWidth="1"/>
    <col min="14" max="23" width="11.453125" style="71"/>
    <col min="24" max="24" width="11.7265625" style="71" bestFit="1" customWidth="1"/>
    <col min="25" max="25" width="14.54296875" style="71" bestFit="1" customWidth="1"/>
    <col min="26" max="26" width="12.453125" style="71" bestFit="1" customWidth="1"/>
    <col min="27" max="27" width="9.7265625" style="71" bestFit="1" customWidth="1"/>
    <col min="28" max="28" width="11" style="71" bestFit="1" customWidth="1"/>
    <col min="29" max="29" width="9.453125" style="71" bestFit="1" customWidth="1"/>
    <col min="30" max="31" width="9.453125" style="71" customWidth="1"/>
    <col min="32" max="32" width="11.453125" style="71"/>
    <col min="33" max="34" width="14" style="71" bestFit="1" customWidth="1"/>
    <col min="35" max="35" width="10.54296875" style="71" bestFit="1" customWidth="1"/>
    <col min="36" max="36" width="9.453125" style="71" bestFit="1" customWidth="1"/>
    <col min="37" max="38" width="10.54296875" style="71" bestFit="1" customWidth="1"/>
    <col min="39" max="41" width="10.54296875" style="71" customWidth="1"/>
    <col min="42" max="42" width="9" style="71" bestFit="1" customWidth="1"/>
    <col min="43" max="43" width="10.54296875" style="71" bestFit="1" customWidth="1"/>
    <col min="44" max="44" width="9.26953125" style="71" bestFit="1" customWidth="1"/>
    <col min="45" max="45" width="11.7265625" style="71" bestFit="1" customWidth="1"/>
    <col min="46" max="46" width="8.453125" style="71" bestFit="1" customWidth="1"/>
    <col min="47" max="47" width="9.453125" style="71" bestFit="1" customWidth="1"/>
    <col min="48" max="48" width="9.7265625" style="71" bestFit="1" customWidth="1"/>
    <col min="49" max="49" width="11" style="71" bestFit="1" customWidth="1"/>
    <col min="50" max="50" width="9.453125" style="71" bestFit="1" customWidth="1"/>
    <col min="51" max="52" width="9.453125" style="71" customWidth="1"/>
    <col min="53" max="53" width="10.54296875" style="71" bestFit="1" customWidth="1"/>
    <col min="54" max="54" width="14.26953125" style="71" customWidth="1"/>
    <col min="55" max="55" width="14" style="71" customWidth="1"/>
    <col min="56" max="56" width="10.54296875" style="71" bestFit="1" customWidth="1"/>
    <col min="57" max="57" width="9.453125" style="71" bestFit="1" customWidth="1"/>
    <col min="58" max="59" width="10.54296875" style="71" bestFit="1" customWidth="1"/>
    <col min="60" max="62" width="10.54296875" style="71" customWidth="1"/>
    <col min="63" max="63" width="9" style="71" bestFit="1" customWidth="1"/>
    <col min="64" max="64" width="10.54296875" style="71" bestFit="1" customWidth="1"/>
    <col min="65" max="65" width="9.26953125" style="71" bestFit="1" customWidth="1"/>
    <col min="66" max="66" width="11.7265625" style="71" bestFit="1" customWidth="1"/>
    <col min="67" max="67" width="8.453125" style="71" bestFit="1" customWidth="1"/>
    <col min="68" max="68" width="9.453125" style="71" bestFit="1" customWidth="1"/>
    <col min="69" max="69" width="9.7265625" style="71" bestFit="1" customWidth="1"/>
    <col min="70" max="70" width="11" style="71" bestFit="1" customWidth="1"/>
    <col min="71" max="71" width="9.453125" style="71" bestFit="1" customWidth="1"/>
    <col min="72" max="73" width="9.453125" style="71" customWidth="1"/>
    <col min="74" max="74" width="10.54296875" style="71" bestFit="1" customWidth="1"/>
    <col min="75" max="75" width="14" style="71" bestFit="1" customWidth="1"/>
    <col min="76" max="76" width="13.81640625" style="71" customWidth="1"/>
    <col min="77" max="77" width="10.54296875" style="71" bestFit="1" customWidth="1"/>
    <col min="78" max="78" width="9.453125" style="71" bestFit="1" customWidth="1"/>
    <col min="79" max="80" width="10.54296875" style="71" bestFit="1" customWidth="1"/>
    <col min="81" max="83" width="10.54296875" style="71" customWidth="1"/>
    <col min="84" max="84" width="11.453125" style="71"/>
    <col min="85" max="85" width="10.54296875" style="71" bestFit="1" customWidth="1"/>
    <col min="86" max="86" width="9.26953125" style="71" bestFit="1" customWidth="1"/>
    <col min="87" max="87" width="11.7265625" style="71" bestFit="1" customWidth="1"/>
    <col min="88" max="88" width="8.453125" style="71" bestFit="1" customWidth="1"/>
    <col min="89" max="89" width="9.453125" style="71" bestFit="1" customWidth="1"/>
    <col min="90" max="90" width="9.7265625" style="71" bestFit="1" customWidth="1"/>
    <col min="91" max="91" width="11" style="71" bestFit="1" customWidth="1"/>
    <col min="92" max="92" width="9.453125" style="71" bestFit="1" customWidth="1"/>
    <col min="93" max="94" width="9.453125" style="71" customWidth="1"/>
    <col min="95" max="95" width="11.453125" style="71"/>
    <col min="96" max="97" width="14" style="71" customWidth="1"/>
    <col min="98" max="98" width="10.54296875" style="71" bestFit="1" customWidth="1"/>
    <col min="99" max="99" width="9.453125" style="71" bestFit="1" customWidth="1"/>
    <col min="100" max="101" width="10.54296875" style="71" bestFit="1" customWidth="1"/>
    <col min="102" max="104" width="10.54296875" style="71" customWidth="1"/>
    <col min="105" max="105" width="9" style="71" bestFit="1" customWidth="1"/>
    <col min="106" max="106" width="10.54296875" style="71" bestFit="1" customWidth="1"/>
    <col min="107" max="107" width="9.26953125" style="71" bestFit="1" customWidth="1"/>
    <col min="108" max="108" width="11.7265625" style="71" bestFit="1" customWidth="1"/>
    <col min="109" max="109" width="8.453125" style="71" bestFit="1" customWidth="1"/>
    <col min="110" max="110" width="9.453125" style="71" bestFit="1" customWidth="1"/>
    <col min="111" max="111" width="9.7265625" style="71" bestFit="1" customWidth="1"/>
    <col min="112" max="112" width="11" style="71" bestFit="1" customWidth="1"/>
    <col min="113" max="113" width="9.453125" style="71" bestFit="1" customWidth="1"/>
    <col min="114" max="115" width="9.453125" style="71" customWidth="1"/>
    <col min="116" max="116" width="10.54296875" style="71" bestFit="1" customWidth="1"/>
    <col min="117" max="117" width="14.26953125" style="71" customWidth="1"/>
    <col min="118" max="118" width="14" style="71" bestFit="1" customWidth="1"/>
    <col min="119" max="119" width="10.54296875" style="71" bestFit="1" customWidth="1"/>
    <col min="120" max="120" width="9.453125" style="71" bestFit="1" customWidth="1"/>
    <col min="121" max="122" width="10.54296875" style="71" bestFit="1" customWidth="1"/>
    <col min="123" max="125" width="10.54296875" style="71" customWidth="1"/>
    <col min="126" max="126" width="9" style="71" bestFit="1" customWidth="1"/>
    <col min="127" max="127" width="10.54296875" style="71" bestFit="1" customWidth="1"/>
    <col min="128" max="128" width="9.26953125" style="71" bestFit="1" customWidth="1"/>
    <col min="129" max="129" width="11.7265625" style="71" bestFit="1" customWidth="1"/>
    <col min="130" max="130" width="8.453125" style="71" bestFit="1" customWidth="1"/>
    <col min="131" max="131" width="9.453125" style="71" bestFit="1" customWidth="1"/>
    <col min="132" max="132" width="9.7265625" style="71" bestFit="1" customWidth="1"/>
    <col min="133" max="133" width="11" style="71" bestFit="1" customWidth="1"/>
    <col min="134" max="134" width="9.453125" style="71" bestFit="1" customWidth="1"/>
    <col min="135" max="136" width="9.453125" style="71" customWidth="1"/>
    <col min="137" max="137" width="10.54296875" style="71" bestFit="1" customWidth="1"/>
    <col min="138" max="139" width="14" style="71" customWidth="1"/>
    <col min="140" max="140" width="10.54296875" style="71" bestFit="1" customWidth="1"/>
    <col min="141" max="141" width="9.453125" style="71" bestFit="1" customWidth="1"/>
    <col min="142" max="143" width="10.54296875" style="71" bestFit="1" customWidth="1"/>
    <col min="144" max="146" width="10.54296875" style="71" customWidth="1"/>
    <col min="147" max="147" width="9" style="71" bestFit="1" customWidth="1"/>
    <col min="148" max="148" width="10.54296875" style="71" bestFit="1" customWidth="1"/>
    <col min="149" max="149" width="9.26953125" style="71" bestFit="1" customWidth="1"/>
    <col min="150" max="150" width="11.7265625" style="71" bestFit="1" customWidth="1"/>
    <col min="151" max="151" width="8.453125" style="71" bestFit="1" customWidth="1"/>
    <col min="152" max="152" width="9.453125" style="71" bestFit="1" customWidth="1"/>
    <col min="153" max="153" width="9.7265625" style="71" bestFit="1" customWidth="1"/>
    <col min="154" max="154" width="11" style="71" bestFit="1" customWidth="1"/>
    <col min="155" max="155" width="9.453125" style="71" bestFit="1" customWidth="1"/>
    <col min="156" max="157" width="9.453125" style="71" customWidth="1"/>
    <col min="158" max="158" width="11.453125" style="71"/>
    <col min="159" max="160" width="14" style="71" bestFit="1" customWidth="1"/>
    <col min="161" max="161" width="10.54296875" style="71" bestFit="1" customWidth="1"/>
    <col min="162" max="162" width="9.453125" style="71" bestFit="1" customWidth="1"/>
    <col min="163" max="164" width="10.54296875" style="71" bestFit="1" customWidth="1"/>
    <col min="165" max="167" width="10.54296875" style="71" customWidth="1"/>
    <col min="168" max="168" width="9" style="71" bestFit="1" customWidth="1"/>
    <col min="169" max="169" width="10.54296875" style="71" bestFit="1" customWidth="1"/>
    <col min="170" max="170" width="9.26953125" style="71" bestFit="1" customWidth="1"/>
    <col min="171" max="171" width="11.7265625" style="71" bestFit="1" customWidth="1"/>
    <col min="172" max="172" width="8.1796875" style="71" bestFit="1" customWidth="1"/>
    <col min="173" max="173" width="9.453125" style="71" bestFit="1" customWidth="1"/>
    <col min="174" max="174" width="9.7265625" style="71" bestFit="1" customWidth="1"/>
    <col min="175" max="175" width="11" style="71" bestFit="1" customWidth="1"/>
    <col min="176" max="176" width="9.453125" style="71" bestFit="1" customWidth="1"/>
    <col min="177" max="178" width="9.453125" style="71" customWidth="1"/>
    <col min="179" max="179" width="10.54296875" style="71" bestFit="1" customWidth="1"/>
    <col min="180" max="181" width="14" style="71" bestFit="1" customWidth="1"/>
    <col min="182" max="182" width="10.54296875" style="71" bestFit="1" customWidth="1"/>
    <col min="183" max="183" width="9.453125" style="71" bestFit="1" customWidth="1"/>
    <col min="184" max="185" width="10.54296875" style="71" bestFit="1" customWidth="1"/>
    <col min="186" max="188" width="10.54296875" style="71" customWidth="1"/>
    <col min="189" max="189" width="9" style="71" bestFit="1" customWidth="1"/>
    <col min="190" max="190" width="10.54296875" style="71" bestFit="1" customWidth="1"/>
    <col min="191" max="191" width="9.26953125" style="71" bestFit="1" customWidth="1"/>
    <col min="192" max="192" width="11.453125" style="71"/>
    <col min="193" max="193" width="8.453125" style="71" bestFit="1" customWidth="1"/>
    <col min="194" max="194" width="9.453125" style="71" bestFit="1" customWidth="1"/>
    <col min="195" max="195" width="9.7265625" style="71" bestFit="1" customWidth="1"/>
    <col min="196" max="196" width="11" style="71" bestFit="1" customWidth="1"/>
    <col min="197" max="197" width="9.453125" style="71" bestFit="1" customWidth="1"/>
    <col min="198" max="199" width="9.453125" style="71" customWidth="1"/>
    <col min="200" max="200" width="10.54296875" style="71" bestFit="1" customWidth="1"/>
    <col min="201" max="201" width="14" style="71" customWidth="1"/>
    <col min="202" max="202" width="14.26953125" style="71" customWidth="1"/>
    <col min="203" max="203" width="10.54296875" style="71" bestFit="1" customWidth="1"/>
    <col min="204" max="204" width="9.453125" style="71" bestFit="1" customWidth="1"/>
    <col min="205" max="206" width="10.54296875" style="71" bestFit="1" customWidth="1"/>
    <col min="207" max="209" width="10.54296875" style="71" customWidth="1"/>
    <col min="210" max="210" width="9" style="71" bestFit="1" customWidth="1"/>
    <col min="211" max="211" width="10.54296875" style="71" bestFit="1" customWidth="1"/>
    <col min="212" max="212" width="9.26953125" style="71" bestFit="1" customWidth="1"/>
    <col min="213" max="213" width="11.7265625" style="71" bestFit="1" customWidth="1"/>
    <col min="214" max="214" width="8.453125" style="71" bestFit="1" customWidth="1"/>
    <col min="215" max="215" width="9.453125" style="71" bestFit="1" customWidth="1"/>
    <col min="216" max="216" width="9.7265625" style="71" bestFit="1" customWidth="1"/>
    <col min="217" max="217" width="11" style="71" bestFit="1" customWidth="1"/>
    <col min="218" max="218" width="9.453125" style="71" bestFit="1" customWidth="1"/>
    <col min="219" max="16384" width="11.453125" style="71"/>
  </cols>
  <sheetData>
    <row r="1" spans="1:218" s="5" customFormat="1" ht="26.5" thickBot="1" x14ac:dyDescent="0.65">
      <c r="B1" s="308" t="s">
        <v>176</v>
      </c>
      <c r="C1" s="309"/>
      <c r="D1" s="309"/>
      <c r="E1" s="309"/>
      <c r="F1" s="309"/>
      <c r="G1" s="309"/>
      <c r="H1" s="310"/>
      <c r="I1" s="305" t="str">
        <f>IF('Données projet'!$B$9="","",'Données projet'!$B$9)</f>
        <v>Douglas</v>
      </c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7"/>
      <c r="AD1" s="306" t="str">
        <f>IF('Données projet'!$B$10="","",'Données projet'!$B$10)</f>
        <v>Pin maritime</v>
      </c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7"/>
      <c r="AY1" s="305" t="str">
        <f>IF('Données projet'!$B$11="","",'Données projet'!$B$11)</f>
        <v>Cèdre de l'Atlas</v>
      </c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7"/>
      <c r="BT1" s="305" t="str">
        <f>IF('Données projet'!$B$12="","",'Données projet'!$B$12)</f>
        <v>Chêne pubescent</v>
      </c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7"/>
      <c r="CO1" s="305" t="str">
        <f>IF('Données projet'!$B$13="","",'Données projet'!$B$13)</f>
        <v/>
      </c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306"/>
      <c r="DH1" s="306"/>
      <c r="DI1" s="307"/>
      <c r="DJ1" s="305" t="str">
        <f>IF('Données projet'!$B$14="","",'Données projet'!$B$14)</f>
        <v/>
      </c>
      <c r="DK1" s="306"/>
      <c r="DL1" s="306"/>
      <c r="DM1" s="306"/>
      <c r="DN1" s="306"/>
      <c r="DO1" s="306"/>
      <c r="DP1" s="306"/>
      <c r="DQ1" s="306"/>
      <c r="DR1" s="306"/>
      <c r="DS1" s="306"/>
      <c r="DT1" s="306"/>
      <c r="DU1" s="306"/>
      <c r="DV1" s="306"/>
      <c r="DW1" s="306"/>
      <c r="DX1" s="306"/>
      <c r="DY1" s="306"/>
      <c r="DZ1" s="306"/>
      <c r="EA1" s="306"/>
      <c r="EB1" s="306"/>
      <c r="EC1" s="306"/>
      <c r="ED1" s="307"/>
      <c r="EE1" s="305" t="str">
        <f>IF('Données projet'!$B$15="","",'Données projet'!$B$15)</f>
        <v/>
      </c>
      <c r="EF1" s="306"/>
      <c r="EG1" s="306"/>
      <c r="EH1" s="306"/>
      <c r="EI1" s="306"/>
      <c r="EJ1" s="306"/>
      <c r="EK1" s="306"/>
      <c r="EL1" s="306"/>
      <c r="EM1" s="306"/>
      <c r="EN1" s="306"/>
      <c r="EO1" s="306"/>
      <c r="EP1" s="306"/>
      <c r="EQ1" s="306"/>
      <c r="ER1" s="306"/>
      <c r="ES1" s="306"/>
      <c r="ET1" s="306"/>
      <c r="EU1" s="306"/>
      <c r="EV1" s="306"/>
      <c r="EW1" s="306"/>
      <c r="EX1" s="306"/>
      <c r="EY1" s="307"/>
      <c r="EZ1" s="305" t="str">
        <f>IF('Données projet'!$B$16="","",'Données projet'!$B$16)</f>
        <v/>
      </c>
      <c r="FA1" s="306"/>
      <c r="FB1" s="306"/>
      <c r="FC1" s="306"/>
      <c r="FD1" s="306"/>
      <c r="FE1" s="306"/>
      <c r="FF1" s="306"/>
      <c r="FG1" s="306"/>
      <c r="FH1" s="306"/>
      <c r="FI1" s="306"/>
      <c r="FJ1" s="306"/>
      <c r="FK1" s="306"/>
      <c r="FL1" s="306"/>
      <c r="FM1" s="306"/>
      <c r="FN1" s="306"/>
      <c r="FO1" s="306"/>
      <c r="FP1" s="306"/>
      <c r="FQ1" s="306"/>
      <c r="FR1" s="306"/>
      <c r="FS1" s="306"/>
      <c r="FT1" s="307"/>
      <c r="FU1" s="305" t="str">
        <f>IF('Données projet'!$B$17="","",'Données projet'!$B$17)</f>
        <v/>
      </c>
      <c r="FV1" s="306"/>
      <c r="FW1" s="306"/>
      <c r="FX1" s="306"/>
      <c r="FY1" s="306"/>
      <c r="FZ1" s="306"/>
      <c r="GA1" s="306"/>
      <c r="GB1" s="306"/>
      <c r="GC1" s="306"/>
      <c r="GD1" s="306"/>
      <c r="GE1" s="306"/>
      <c r="GF1" s="306"/>
      <c r="GG1" s="306"/>
      <c r="GH1" s="306"/>
      <c r="GI1" s="306"/>
      <c r="GJ1" s="306"/>
      <c r="GK1" s="306"/>
      <c r="GL1" s="306"/>
      <c r="GM1" s="306"/>
      <c r="GN1" s="306"/>
      <c r="GO1" s="307"/>
      <c r="GP1" s="305" t="str">
        <f>IF('Données projet'!$B$18="","",'Données projet'!$B$18)</f>
        <v/>
      </c>
      <c r="GQ1" s="306"/>
      <c r="GR1" s="306"/>
      <c r="GS1" s="306"/>
      <c r="GT1" s="306"/>
      <c r="GU1" s="306"/>
      <c r="GV1" s="306"/>
      <c r="GW1" s="306"/>
      <c r="GX1" s="306"/>
      <c r="GY1" s="306"/>
      <c r="GZ1" s="306"/>
      <c r="HA1" s="306"/>
      <c r="HB1" s="306"/>
      <c r="HC1" s="306"/>
      <c r="HD1" s="306"/>
      <c r="HE1" s="306"/>
      <c r="HF1" s="306"/>
      <c r="HG1" s="306"/>
      <c r="HH1" s="306"/>
      <c r="HI1" s="306"/>
      <c r="HJ1" s="307"/>
    </row>
    <row r="2" spans="1:218" s="5" customFormat="1" ht="58.5" thickBot="1" x14ac:dyDescent="0.4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299</v>
      </c>
      <c r="F2" s="6" t="s">
        <v>298</v>
      </c>
      <c r="G2" s="6" t="s">
        <v>303</v>
      </c>
      <c r="H2" s="69" t="s">
        <v>300</v>
      </c>
      <c r="I2" s="72" t="s">
        <v>299</v>
      </c>
      <c r="J2" s="73" t="s">
        <v>298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303</v>
      </c>
      <c r="R2" s="7" t="s">
        <v>301</v>
      </c>
      <c r="S2" s="7" t="s">
        <v>309</v>
      </c>
      <c r="T2" s="7" t="s">
        <v>304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299</v>
      </c>
      <c r="AE2" s="73" t="s">
        <v>298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303</v>
      </c>
      <c r="AM2" s="7" t="s">
        <v>301</v>
      </c>
      <c r="AN2" s="7" t="s">
        <v>309</v>
      </c>
      <c r="AO2" s="7" t="s">
        <v>304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299</v>
      </c>
      <c r="AZ2" s="73" t="s">
        <v>298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303</v>
      </c>
      <c r="BH2" s="7" t="s">
        <v>301</v>
      </c>
      <c r="BI2" s="7" t="s">
        <v>309</v>
      </c>
      <c r="BJ2" s="7" t="s">
        <v>304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299</v>
      </c>
      <c r="BU2" s="73" t="s">
        <v>298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303</v>
      </c>
      <c r="CC2" s="7" t="s">
        <v>301</v>
      </c>
      <c r="CD2" s="7" t="s">
        <v>309</v>
      </c>
      <c r="CE2" s="7" t="s">
        <v>304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299</v>
      </c>
      <c r="CP2" s="73" t="s">
        <v>298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303</v>
      </c>
      <c r="CX2" s="7" t="s">
        <v>301</v>
      </c>
      <c r="CY2" s="7" t="s">
        <v>309</v>
      </c>
      <c r="CZ2" s="7" t="s">
        <v>304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299</v>
      </c>
      <c r="DK2" s="73" t="s">
        <v>298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303</v>
      </c>
      <c r="DS2" s="7" t="s">
        <v>301</v>
      </c>
      <c r="DT2" s="7" t="s">
        <v>309</v>
      </c>
      <c r="DU2" s="7" t="s">
        <v>304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299</v>
      </c>
      <c r="EF2" s="73" t="s">
        <v>298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303</v>
      </c>
      <c r="EN2" s="7" t="s">
        <v>301</v>
      </c>
      <c r="EO2" s="7" t="s">
        <v>309</v>
      </c>
      <c r="EP2" s="7" t="s">
        <v>304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299</v>
      </c>
      <c r="FA2" s="73" t="s">
        <v>298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303</v>
      </c>
      <c r="FI2" s="7" t="s">
        <v>301</v>
      </c>
      <c r="FJ2" s="7" t="s">
        <v>309</v>
      </c>
      <c r="FK2" s="7" t="s">
        <v>304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299</v>
      </c>
      <c r="FV2" s="73" t="s">
        <v>298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303</v>
      </c>
      <c r="GD2" s="7" t="s">
        <v>301</v>
      </c>
      <c r="GE2" s="7" t="s">
        <v>309</v>
      </c>
      <c r="GF2" s="7" t="s">
        <v>304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299</v>
      </c>
      <c r="GQ2" s="73" t="s">
        <v>298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303</v>
      </c>
      <c r="GY2" s="7" t="s">
        <v>301</v>
      </c>
      <c r="GZ2" s="7" t="s">
        <v>309</v>
      </c>
      <c r="HA2" s="7" t="s">
        <v>304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35">
      <c r="A3" s="11">
        <v>0</v>
      </c>
      <c r="B3" s="77">
        <f>'Scénario référence'!$B$16*5+'Scénario référence'!$B$17*0+'Scénario référence'!$B$18*5</f>
        <v>1.75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6.416666666666667</v>
      </c>
      <c r="H3" s="70">
        <f>(B3+E3+F3)*44/12+(C3+D3)*0.475*44/12</f>
        <v>231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61.25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projet'!$B$9,Paramètres!$A$1:$I$88,3,0)*VLOOKUP('Données projet'!$B$9,Paramètres!$A$1:$I$88,5,0)</f>
        <v>0</v>
      </c>
      <c r="P3" s="13">
        <v>0</v>
      </c>
      <c r="Q3" s="15">
        <f>(O3+P3)*0.475*44/12</f>
        <v>0</v>
      </c>
      <c r="R3" s="62">
        <f t="shared" ref="R3:R66" si="0">Q3+(I3+J3)*44/12</f>
        <v>224.58333333333334</v>
      </c>
      <c r="S3" s="62">
        <f ca="1">AVERAGE(OFFSET($R$3,0,0,'Données projet'!$E$9+1,1))-AVERAGE(OFFSET($H$3,0,0,'Données projet'!$E$9+1,1))</f>
        <v>341.05096821796769</v>
      </c>
      <c r="T3" s="62">
        <f>IF('Données projet'!E9&gt;30,$R$33-$H$33,LOOKUP('Données projet'!$E$9,$A$3:$A$203,R3:R203)-LOOKUP('Données projet'!$E$9,$A$3:$A$203,$H$3:$H$203))</f>
        <v>400.72519822215168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projet'!$B$9,Paramètres!$A$1:$I$88,7,0))</f>
        <v>0</v>
      </c>
      <c r="X3" s="17">
        <f>IF(ISNA(VLOOKUP(A3,'Données projet'!$A$35:$I$55,6,0)),0%,VLOOKUP(A3,'Données projet'!$A$35:$I$55,6,0)*VLOOKUP('Données projet'!$B$9,Paramètres!$A$1:$I$88,7,0))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61.25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>
        <f>AI3*VLOOKUP('Données projet'!$B$10,Paramètres!$A$1:$I$88,3,0)*VLOOKUP('Données projet'!$B$10,Paramètres!$A$1:$I$88,5,0)</f>
        <v>0</v>
      </c>
      <c r="AK3" s="13">
        <v>0</v>
      </c>
      <c r="AL3" s="15">
        <f>(AJ3+AK3)*0.475*44/12</f>
        <v>0</v>
      </c>
      <c r="AM3" s="62">
        <f>AL3+(AD3+AE3)*44/12</f>
        <v>224.58333333333334</v>
      </c>
      <c r="AN3" s="62">
        <f ca="1">AVERAGE(OFFSET($AM$3,0,0,'Données projet'!$E$10+1,1))-AVERAGE(OFFSET($H$3,0,0,'Données projet'!$E$10+1,1))</f>
        <v>231.96474801342879</v>
      </c>
      <c r="AO3" s="62">
        <f>IF('Données projet'!E10&gt;30,$AM$33-$H$33,LOOKUP('Données projet'!$E$10,$A$3:$A$203,AM3:AM203)-LOOKUP('Données projet'!$E$10,$A$3:$A$203,$H$3:$H$203))</f>
        <v>237.75726086383668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projet'!$B$10,Paramètres!$A$1:$I$88,7,0))</f>
        <v>0</v>
      </c>
      <c r="AS3" s="17">
        <f>IF(ISNA(VLOOKUP(A3,'Données projet'!$A$61:$I$81,6,0)),0%,VLOOKUP(A3,'Données projet'!$A$61:$I$81,6,0)*VLOOKUP('Données projet'!$B$10,Paramètres!$A$1:$I$88,7,0))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61.25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>
        <f>BD3*VLOOKUP('Données projet'!$B$11,Paramètres!$A$1:$I$88,3,0)*VLOOKUP('Données projet'!$B$11,Paramètres!$A$1:$I$88,5,0)</f>
        <v>0</v>
      </c>
      <c r="BF3" s="13">
        <v>0</v>
      </c>
      <c r="BG3" s="15">
        <f>(BE3+BF3)*0.475*44/12</f>
        <v>0</v>
      </c>
      <c r="BH3" s="62">
        <f>BG3+(AY3+AZ3)*44/12</f>
        <v>224.58333333333334</v>
      </c>
      <c r="BI3" s="62">
        <f ca="1">AVERAGE(OFFSET($BH$3,0,0,'Données projet'!$E$11+1,1))-AVERAGE(OFFSET($H$3,0,0,'Données projet'!$E$11+1,1))</f>
        <v>364.96458059055169</v>
      </c>
      <c r="BJ3" s="62">
        <f>IF('Données projet'!E11&gt;30,$BH$33-$H$33,LOOKUP('Données projet'!$E$11,$A$3:$A$203,BH3:BH203)-LOOKUP('Données projet'!$E$11,$A$3:$A$203,$H$3:$H$203))</f>
        <v>246.27159120786257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projet'!$B$11,Paramètres!$A$1:$I$88,7,0))</f>
        <v>0</v>
      </c>
      <c r="BN3" s="17">
        <f>IF(ISNA(VLOOKUP(A3,'Données projet'!$A$87:$I$107,6,0)),0%,VLOOKUP(A3,'Données projet'!$A$87:$I$107,6,0)*VLOOKUP('Données projet'!$B$11,Paramètres!$A$1:$I$88,7,0))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61.25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>
        <f>BY3*VLOOKUP('Données projet'!$B$12,Paramètres!$A$1:$I$88,3,0)*VLOOKUP('Données projet'!$B$12,Paramètres!$A$1:$I$88,5,0)</f>
        <v>0</v>
      </c>
      <c r="CA3" s="13">
        <v>0</v>
      </c>
      <c r="CB3" s="15">
        <f>(BZ3+CA3)*0.475*44/12</f>
        <v>0</v>
      </c>
      <c r="CC3" s="62">
        <f>CB3+(BT3+BU3)*44/12</f>
        <v>224.58333333333334</v>
      </c>
      <c r="CD3" s="62">
        <f ca="1">AVERAGE(OFFSET($CC$3,0,0,'Données projet'!$E$12+1,1))-AVERAGE(OFFSET($H$3,0,0,'Données projet'!$E$12+1,1))</f>
        <v>310.53598044763282</v>
      </c>
      <c r="CE3" s="62">
        <f>IF('Données projet'!E12&gt;30,$CC$33-$H$33,LOOKUP('Données projet'!$E$12,$A$3:$A$203,CC3:CC203)-LOOKUP('Données projet'!$E$12,$A$3:$A$203,$H$3:$H$203))</f>
        <v>322.01096634040596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projet'!$B$12,Paramètres!$A$1:$I$88,7,0))</f>
        <v>0</v>
      </c>
      <c r="CI3" s="17">
        <f>IF(ISNA(VLOOKUP(A3,'Données projet'!$A$113:$I$133,6,0)),0%,VLOOKUP(A3,'Données projet'!$A$113:$I$133,6,0)*VLOOKUP('Données projet'!$B$12,Paramètres!$A$1:$I$88,7,0))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61.25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projet'!$B$13,Paramètres!$A$1:$I$88,3,0)*VLOOKUP('Données projet'!$B$13,Paramètres!$A$1:$I$88,5,0)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projet'!$B$13,Paramètres!$A$1:$I$88,7,0))</f>
        <v>0</v>
      </c>
      <c r="DD3" s="17">
        <f>IF(ISNA(VLOOKUP(A3,'Données projet'!$A$139:$I$159,6,0)),0%,VLOOKUP(A3,'Données projet'!$A$139:$I$159,6,0)*VLOOKUP('Données projet'!$B$13,Paramètres!$A$1:$I$88,7,0))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61.25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projet'!$B$14,Paramètres!$A$1:$I$88,3,0)*VLOOKUP('Données projet'!$B$14,Paramètres!$A$1:$I$88,5,0)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projet'!$B$14,Paramètres!$A$1:$I$88,7,0))</f>
        <v>0</v>
      </c>
      <c r="DY3" s="17">
        <f>IF(ISNA(VLOOKUP(A3,'Données projet'!$A$165:$I$185,6,0)),0%,VLOOKUP(A3,'Données projet'!$A$165:$I$185,6,0)*VLOOKUP('Données projet'!$B$14,Paramètres!$A$1:$I$88,7,0))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61.25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projet'!$B$15,Paramètres!$A$1:$I$88,3,0)*VLOOKUP('Données projet'!$B$15,Paramètres!$A$1:$I$88,5,0)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projet'!$B$15,Paramètres!$A$1:$I$88,7,0))</f>
        <v>0</v>
      </c>
      <c r="ET3" s="17">
        <f>IF(ISNA(VLOOKUP(A3,'Données projet'!$A$191:$I$211,6,0)),0%,VLOOKUP(A3,'Données projet'!$A$191:$I$211,6,0)*VLOOKUP('Données projet'!$B$15,Paramètres!$A$1:$I$88,7,0))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61.25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projet'!$B$16,Paramètres!$A$1:$I$88,3,0)*VLOOKUP('Données projet'!$B$16,Paramètres!$A$1:$I$88,5,0)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projet'!$B$16,Paramètres!$A$1:$I$88,7,0))</f>
        <v>0</v>
      </c>
      <c r="FO3" s="17">
        <f>IF(ISNA(VLOOKUP(A3,'Données projet'!$A$217:$I$237,6,0)),0%,VLOOKUP(A3,'Données projet'!$A$217:$I$237,6,0)*VLOOKUP('Données projet'!$B$16,Paramètres!$A$1:$I$88,7,0))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61.25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projet'!$B$17,Paramètres!$A$1:$I$88,3,0)*VLOOKUP('Données projet'!$B$17,Paramètres!$A$1:$I$88,5,0)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projet'!$B$17,Paramètres!$A$1:$I$88,7,0))</f>
        <v>0</v>
      </c>
      <c r="GJ3" s="17">
        <f>IF(ISNA(VLOOKUP(A3,'Données projet'!$A$243:$I$263,6,0)),0%,VLOOKUP(A3,'Données projet'!$A$243:$I$263,6,0)*VLOOKUP('Données projet'!$B$17,Paramètres!$A$1:$I$88,7,0))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61.25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projet'!$B$18,Paramètres!$A$1:$I$88,3,0)*VLOOKUP('Données projet'!$B$18,Paramètres!$A$1:$I$88,5,0)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projet'!$B$18,Paramètres!$A$1:$I$88,7,0))</f>
        <v>0</v>
      </c>
      <c r="HE3" s="17">
        <f>IF(ISNA(VLOOKUP(A3,'Données projet'!$A$269:$I$289,6,0)),0%,VLOOKUP(A3,'Données projet'!$A$269:$I$289,6,0)*VLOOKUP('Données projet'!$B$18,Paramètres!$A$1:$I$88,7,0))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35">
      <c r="A4" s="11">
        <f>A3+1</f>
        <v>1</v>
      </c>
      <c r="B4" s="77">
        <f>'Scénario référence'!$B$16*5+'Scénario référence'!$B$17*0+'Scénario référence'!$B$18*5</f>
        <v>1.75</v>
      </c>
      <c r="C4" s="20">
        <f>Calculateur!C3+'Scénario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6.416666666666667</v>
      </c>
      <c r="H4" s="70">
        <f t="shared" ref="H4:H67" si="1">(B4+E4+F4)*44/12+(C4+D4)*0.475*44/12</f>
        <v>231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61.401792937930608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10.119999999999999</v>
      </c>
      <c r="N4" s="14">
        <f>IF('Données projet'!$A$36&gt;35,N3+M4-V3,IF(A4&lt;'Données projet'!$A$36,$K$205^A4,IF(A4='Données projet'!$A$36,'Données projet'!$B$36,N3+M4-V3)))</f>
        <v>1.2477420770391454</v>
      </c>
      <c r="O4" s="14">
        <f>N4*VLOOKUP('Données projet'!$B$9,Paramètres!$A$1:$I$88,3,0)*VLOOKUP('Données projet'!$B$9,Paramètres!$A$1:$I$88,5,0)</f>
        <v>0.69748782106488227</v>
      </c>
      <c r="P4" s="14">
        <f>EXP(-1.0587+0.8836*LN(O4)+0.284)</f>
        <v>0.33519770001131083</v>
      </c>
      <c r="Q4" s="22">
        <f t="shared" ref="Q4:Q34" si="2">(O4+P4)*0.475*44/12</f>
        <v>1.798593949207703</v>
      </c>
      <c r="R4" s="62">
        <f t="shared" si="0"/>
        <v>228.16072361050882</v>
      </c>
      <c r="S4" s="62">
        <f ca="1">AVERAGE(OFFSET($R$3,0,0,'Données projet'!$E$9+1,1))-AVERAGE(OFFSET($H$3,0,0,'Données projet'!$E$9+1,1))</f>
        <v>341.05096821796769</v>
      </c>
      <c r="T4" s="62">
        <f>$T$3</f>
        <v>400.72519822215168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projet'!$B$9,Paramètres!$A$1:$I$88,7,0))</f>
        <v>0</v>
      </c>
      <c r="X4" s="17">
        <f>IF(ISNA(VLOOKUP(A4,'Données projet'!$A$35:$I$55,6,0)),0%,VLOOKUP(A4,'Données projet'!$A$35:$I$55,6,0)*VLOOKUP('Données projet'!$B$9,Paramètres!$A$1:$I$88,7,0))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projet'!$B$9,Paramètres!$A$1:$I$88,3,0)*0.475*44/12</f>
        <v>0</v>
      </c>
      <c r="AA4" s="23">
        <f>EXP(-LN(2)/25)*AA3+(1-EXP(-LN(2)/25))/(LN(2)/25)*Calculateur!V4*Calculateur!X4*VLOOKUP('Données projet'!$B$9,Paramètres!$A$1:$I$88,3,0)*0.475*44/12</f>
        <v>0</v>
      </c>
      <c r="AB4" s="23">
        <f>EXP(-LN(2)/2)*AB3+(1-EXP(-LN(2)/2))/(LN(2)/2)*V4*Y4*VLOOKUP('Données projet'!$B$9,Paramètres!$A$1:$I$88,3,0)*0.475*44/12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61.401792937930608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3.6500000000000004</v>
      </c>
      <c r="AI4" s="14">
        <f>IF('Données projet'!$A$62&gt;35,AI3+AH4-AQ3,IF(A4&lt;'Données projet'!$A$62,$AF$205^A4,IF(A4='Données projet'!$A$62,'Données projet'!$B$62,AI3+AH4-AQ3)))</f>
        <v>1.2894390039345114</v>
      </c>
      <c r="AJ4" s="14">
        <f>AI4*VLOOKUP('Données projet'!$B$10,Paramètres!$A$1:$I$88,3,0)*VLOOKUP('Données projet'!$B$10,Paramètres!$A$1:$I$88,5,0)</f>
        <v>0.77108452435283781</v>
      </c>
      <c r="AK4" s="14">
        <f>EXP(-1.0587+0.8836*LN(AJ4)+0.284)</f>
        <v>0.36626496687366694</v>
      </c>
      <c r="AL4" s="22">
        <f t="shared" ref="AL4:AL67" si="4">(AJ4+AK4)*0.475*44/12</f>
        <v>1.9808836972194956</v>
      </c>
      <c r="AM4" s="62">
        <f t="shared" ref="AM4:AM67" si="5">AL4+(AD4+AE4)*44/12</f>
        <v>228.34301335852061</v>
      </c>
      <c r="AN4" s="62">
        <f ca="1">AVERAGE(OFFSET($AM$3,0,0,'Données projet'!$E$10+1,1))-AVERAGE(OFFSET($H$3,0,0,'Données projet'!$E$10+1,1))</f>
        <v>231.96474801342879</v>
      </c>
      <c r="AO4" s="62">
        <f>$AO$3</f>
        <v>237.75726086383668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projet'!$B$10,Paramètres!$A$1:$I$88,7,0))</f>
        <v>0</v>
      </c>
      <c r="AS4" s="17">
        <f>IF(ISNA(VLOOKUP(A4,'Données projet'!$A$61:$I$81,6,0)),0%,VLOOKUP(A4,'Données projet'!$A$61:$I$81,6,0)*VLOOKUP('Données projet'!$B$10,Paramètres!$A$1:$I$88,7,0))</f>
        <v>0</v>
      </c>
      <c r="AT4" s="17">
        <f>IF(ISNA(VLOOKUP(A4,'Données projet'!$A$61:$I$81,7,0)),0%,VLOOKUP(A4,'Données projet'!$A$61:$I$81,7,0))</f>
        <v>0</v>
      </c>
      <c r="AU4" s="23">
        <f>EXP(-LN(2)/35)*AU3+(1-EXP(-LN(2)/35))/(LN(2)/35)*AQ4*AR4*VLOOKUP('Données projet'!$B$10,Paramètres!$A$1:$I$88,3,0)*0.475*44/12</f>
        <v>0</v>
      </c>
      <c r="AV4" s="23">
        <f>EXP(-LN(2)/25)*AV3+(1-EXP(-LN(2)/25))/(LN(2)/25)*Calculateur!AQ4*Calculateur!AS4*VLOOKUP('Données projet'!$B$10,Paramètres!$A$1:$I$88,3,0)*0.475*44/12</f>
        <v>0</v>
      </c>
      <c r="AW4" s="23">
        <f>EXP(-LN(2)/2)*AW3+(1-EXP(-LN(2)/2))/(LN(2)/2)*AQ4*AT4*VLOOKUP('Données projet'!$B$10,Paramètres!$A$1:$I$88,3,0)*0.475*44/12</f>
        <v>0</v>
      </c>
      <c r="AX4" s="23">
        <f t="shared" ref="AX4:AX67" si="6">SUM(AU4:AW4)</f>
        <v>0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61.401792937930608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6.5217391304347823</v>
      </c>
      <c r="BD4" s="13">
        <f>IF('Données projet'!$A$88&gt;35,BD3+BC4-BL3,IF(A4&lt;'Données projet'!$A$88,$BA$205^A4,IF(A4='Données projet'!$A$88,'Données projet'!$B$88,BD3+BC4-BL3)))</f>
        <v>6.5217391304347823</v>
      </c>
      <c r="BE4" s="14">
        <f>BD4*VLOOKUP('Données projet'!$B$11,Paramètres!$A$1:$I$88,3,0)*VLOOKUP('Données projet'!$B$11,Paramètres!$A$1:$I$88,5,0)</f>
        <v>3.052173913043478</v>
      </c>
      <c r="BF4" s="14">
        <f>EXP(-1.0587+0.8836*LN(BE4)+0.284)</f>
        <v>1.2352441939544194</v>
      </c>
      <c r="BG4" s="22">
        <f t="shared" ref="BG4:BG67" si="7">(BE4+BF4)*0.475*44/12</f>
        <v>7.467253203021337</v>
      </c>
      <c r="BH4" s="62">
        <f t="shared" ref="BH4:BH67" si="8">BG4+(AY4+AZ4)*44/12</f>
        <v>233.82938286432244</v>
      </c>
      <c r="BI4" s="62">
        <f ca="1">AVERAGE(OFFSET($BH$3,0,0,'Données projet'!$E$11+1,1))-AVERAGE(OFFSET($H$3,0,0,'Données projet'!$E$11+1,1))</f>
        <v>364.96458059055169</v>
      </c>
      <c r="BJ4" s="62">
        <f>$BJ$3</f>
        <v>246.27159120786257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projet'!$B$11,Paramètres!$A$1:$I$88,7,0))</f>
        <v>0</v>
      </c>
      <c r="BN4" s="17">
        <f>IF(ISNA(VLOOKUP(A4,'Données projet'!$A$87:$I$107,6,0)),0%,VLOOKUP(A4,'Données projet'!$A$87:$I$107,6,0)*VLOOKUP('Données projet'!$B$11,Paramètres!$A$1:$I$88,7,0))</f>
        <v>0</v>
      </c>
      <c r="BO4" s="17">
        <f>IF(ISNA(VLOOKUP(A4,'Données projet'!$A$87:$I$107,7,0)),0%,VLOOKUP(A4,'Données projet'!$A$87:$I$107,7,0))</f>
        <v>0</v>
      </c>
      <c r="BP4" s="23">
        <f>EXP(-LN(2)/35)*BP3+(1-EXP(-LN(2)/35))/(LN(2)/35)*BL4*BM4*VLOOKUP('Données projet'!$B$11,Paramètres!$A$1:$I$88,3,0)*0.475*44/12</f>
        <v>0</v>
      </c>
      <c r="BQ4" s="23">
        <f>EXP(-LN(2)/25)*BQ3+(1-EXP(-LN(2)/25))/(LN(2)/25)*Calculateur!BL4*Calculateur!BN4*VLOOKUP('Données projet'!$B$11,Paramètres!$A$1:$I$88,3,0)*0.475*44/12</f>
        <v>0</v>
      </c>
      <c r="BR4" s="23">
        <f>EXP(-LN(2)/2)*BR3+(1-EXP(-LN(2)/2))/(LN(2)/2)*BL4*BO4*VLOOKUP('Données projet'!$B$11,Paramètres!$A$1:$I$88,3,0)*0.475*44/12</f>
        <v>0</v>
      </c>
      <c r="BS4" s="24">
        <f t="shared" ref="BS4:BS67" si="9">SUM(BP4:BR4)</f>
        <v>0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61.401792937930608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4.1666667007873768</v>
      </c>
      <c r="BY4" s="13">
        <f>IF('Données projet'!$A$114&gt;35,BY3+BX4-CG3,IF(A4&lt;'Données projet'!$A$114,$BV$205^A4,IF(A4='Données projet'!$A$114,'Données projet'!$B$114,BY3+BX4-CG3)))</f>
        <v>4.1666667007873768</v>
      </c>
      <c r="BZ4" s="14">
        <f>BY4*VLOOKUP('Données projet'!$B$12,Paramètres!$A$1:$I$88,3,0)*VLOOKUP('Données projet'!$B$12,Paramètres!$A$1:$I$88,5,0)</f>
        <v>4.2250000345984011</v>
      </c>
      <c r="CA4" s="14">
        <f>EXP(-1.0587+0.8836*LN(BZ4)+0.284)</f>
        <v>1.6463893642723748</v>
      </c>
      <c r="CB4" s="22">
        <f t="shared" ref="CB4:CB67" si="10">(BZ4+CA4)*0.475*44/12</f>
        <v>10.226003203033267</v>
      </c>
      <c r="CC4" s="62">
        <f t="shared" ref="CC4:CC67" si="11">CB4+(BT4+BU4)*44/12</f>
        <v>236.58813286433437</v>
      </c>
      <c r="CD4" s="62">
        <f ca="1">AVERAGE(OFFSET($CC$3,0,0,'Données projet'!$E$12+1,1))-AVERAGE(OFFSET($H$3,0,0,'Données projet'!$E$12+1,1))</f>
        <v>310.53598044763282</v>
      </c>
      <c r="CE4" s="62">
        <f>$CE$3</f>
        <v>322.01096634040596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projet'!$B$12,Paramètres!$A$1:$I$88,7,0))</f>
        <v>0</v>
      </c>
      <c r="CI4" s="17">
        <f>IF(ISNA(VLOOKUP(A4,'Données projet'!$A$113:$I$133,6,0)),0%,VLOOKUP(A4,'Données projet'!$A$113:$I$133,6,0)*VLOOKUP('Données projet'!$B$12,Paramètres!$A$1:$I$88,7,0))</f>
        <v>0</v>
      </c>
      <c r="CJ4" s="17">
        <f>IF(ISNA(VLOOKUP(A4,'Données projet'!$A$113:$I$133,7,0)),0%,VLOOKUP(A4,'Données projet'!$A$113:$I$133,7,0))</f>
        <v>0</v>
      </c>
      <c r="CK4" s="23">
        <f>EXP(-LN(2)/35)*CK3+(1-EXP(-LN(2)/35))/(LN(2)/35)*CG4*CH4*VLOOKUP('Données projet'!$B$12,Paramètres!$A$1:$I$88,3,0)*0.475*44/12</f>
        <v>0</v>
      </c>
      <c r="CL4" s="23">
        <f>EXP(-LN(2)/25)*CL3+(1-EXP(-LN(2)/25))/(LN(2)/25)*Calculateur!CG4*Calculateur!CI4*VLOOKUP('Données projet'!$B$12,Paramètres!$A$1:$I$88,3,0)*0.475*44/12</f>
        <v>0</v>
      </c>
      <c r="CM4" s="23">
        <f>EXP(-LN(2)/2)*CM3+(1-EXP(-LN(2)/2))/(LN(2)/2)*CG4*CJ4*VLOOKUP('Données projet'!$B$12,Paramètres!$A$1:$I$88,3,0)*0.475*44/12</f>
        <v>0</v>
      </c>
      <c r="CN4" s="24">
        <f t="shared" ref="CN4:CN67" si="12">SUM(CK4:CM4)</f>
        <v>0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61.401792937930608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projet'!$B$13,Paramètres!$A$1:$I$88,3,0)*VLOOKUP('Données projet'!$B$13,Paramètres!$A$1:$I$88,5,0)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projet'!$B$13,Paramètres!$A$1:$I$88,7,0))</f>
        <v>0</v>
      </c>
      <c r="DD4" s="17">
        <f>IF(ISNA(VLOOKUP(A4,'Données projet'!$A$139:$I$159,6,0)),0%,VLOOKUP(A4,'Données projet'!$A$139:$I$159,6,0)*VLOOKUP('Données projet'!$B$13,Paramètres!$A$1:$I$88,7,0))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projet'!$B$13,Paramètres!$A$1:$I$88,3,0)*0.475*44/12</f>
        <v>#N/A</v>
      </c>
      <c r="DG4" s="23" t="e">
        <f>EXP(-LN(2)/25)*DG3+(1-EXP(-LN(2)/25))/(LN(2)/25)*Calculateur!DB4*Calculateur!DD4*VLOOKUP('Données projet'!$B$13,Paramètres!$A$1:$I$88,3,0)*0.475*44/12</f>
        <v>#N/A</v>
      </c>
      <c r="DH4" s="23" t="e">
        <f>EXP(-LN(2)/2)*DH3+(1-EXP(-LN(2)/2))/(LN(2)/2)*DB4*DE4*VLOOKUP('Données projet'!$B$13,Paramètres!$A$1:$I$88,3,0)*0.475*44/12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61.401792937930608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projet'!$B$14,Paramètres!$A$1:$I$88,3,0)*VLOOKUP('Données projet'!$B$14,Paramètres!$A$1:$I$88,5,0)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projet'!$B$14,Paramètres!$A$1:$I$88,7,0))</f>
        <v>0</v>
      </c>
      <c r="DY4" s="17">
        <f>IF(ISNA(VLOOKUP(A4,'Données projet'!$A$165:$I$185,6,0)),0%,VLOOKUP(A4,'Données projet'!$A$165:$I$185,6,0)*VLOOKUP('Données projet'!$B$14,Paramètres!$A$1:$I$88,7,0))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projet'!$B$14,Paramètres!$A$1:$I$88,3,0)*0.475*44/12</f>
        <v>#N/A</v>
      </c>
      <c r="EB4" s="23" t="e">
        <f>EXP(-LN(2)/25)*EB3+(1-EXP(-LN(2)/25))/(LN(2)/25)*Calculateur!DW4*Calculateur!DY4*VLOOKUP('Données projet'!$B$14,Paramètres!$A$1:$I$88,3,0)*0.475*44/12</f>
        <v>#N/A</v>
      </c>
      <c r="EC4" s="23" t="e">
        <f>EXP(-LN(2)/2)*EC3+(1-EXP(-LN(2)/2))/(LN(2)/2)*DW4*DZ4*VLOOKUP('Données projet'!$B$14,Paramètres!$A$1:$I$88,3,0)*0.475*44/12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61.401792937930608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projet'!$B$15,Paramètres!$A$1:$I$88,3,0)*VLOOKUP('Données projet'!$B$15,Paramètres!$A$1:$I$88,5,0)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projet'!$B$15,Paramètres!$A$1:$I$88,7,0))</f>
        <v>0</v>
      </c>
      <c r="ET4" s="17">
        <f>IF(ISNA(VLOOKUP(A4,'Données projet'!$A$191:$I$211,6,0)),0%,VLOOKUP(A4,'Données projet'!$A$191:$I$211,6,0)*VLOOKUP('Données projet'!$B$15,Paramètres!$A$1:$I$88,7,0))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projet'!$B$15,Paramètres!$A$1:$I$88,3,0)*0.475*44/12</f>
        <v>#N/A</v>
      </c>
      <c r="EW4" s="23" t="e">
        <f>EXP(-LN(2)/25)*EW3+(1-EXP(-LN(2)/25))/(LN(2)/25)*Calculateur!ER4*Calculateur!ET4*VLOOKUP('Données projet'!$B$15,Paramètres!$A$1:$I$88,3,0)*0.475*44/12</f>
        <v>#N/A</v>
      </c>
      <c r="EX4" s="23" t="e">
        <f>EXP(-LN(2)/2)*EX3+(1-EXP(-LN(2)/2))/(LN(2)/2)*ER4*EU4*VLOOKUP('Données projet'!$B$15,Paramètres!$A$1:$I$88,3,0)*0.475*44/12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61.401792937930608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projet'!$B$16,Paramètres!$A$1:$I$88,3,0)*VLOOKUP('Données projet'!$B$16,Paramètres!$A$1:$I$88,5,0)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projet'!$B$16,Paramètres!$A$1:$I$88,7,0))</f>
        <v>0</v>
      </c>
      <c r="FO4" s="17">
        <f>IF(ISNA(VLOOKUP(A4,'Données projet'!$A$217:$I$237,6,0)),0%,VLOOKUP(A4,'Données projet'!$A$217:$I$237,6,0)*VLOOKUP('Données projet'!$B$16,Paramètres!$A$1:$I$88,7,0))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projet'!$B$16,Paramètres!$A$1:$I$88,3,0)*0.475*44/12</f>
        <v>#N/A</v>
      </c>
      <c r="FR4" s="23" t="e">
        <f>EXP(-LN(2)/25)*FR3+(1-EXP(-LN(2)/25))/(LN(2)/25)*Calculateur!FM4*Calculateur!FO4*VLOOKUP('Données projet'!$B$16,Paramètres!$A$1:$I$88,3,0)*0.475*44/12</f>
        <v>#N/A</v>
      </c>
      <c r="FS4" s="23" t="e">
        <f>EXP(-LN(2)/2)*FS3+(1-EXP(-LN(2)/2))/(LN(2)/2)*FM4*FP4*VLOOKUP('Données projet'!$B$16,Paramètres!$A$1:$I$88,3,0)*0.475*44/12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61.401792937930608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projet'!$B$17,Paramètres!$A$1:$I$88,3,0)*VLOOKUP('Données projet'!$B$17,Paramètres!$A$1:$I$88,5,0)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projet'!$B$17,Paramètres!$A$1:$I$88,7,0))</f>
        <v>0</v>
      </c>
      <c r="GJ4" s="17">
        <f>IF(ISNA(VLOOKUP(A4,'Données projet'!$A$243:$I$263,6,0)),0%,VLOOKUP(A4,'Données projet'!$A$243:$I$263,6,0)*VLOOKUP('Données projet'!$B$17,Paramètres!$A$1:$I$88,7,0))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projet'!$B$17,Paramètres!$A$1:$I$88,3,0)*0.475*44/12</f>
        <v>#N/A</v>
      </c>
      <c r="GM4" s="23" t="e">
        <f>EXP(-LN(2)/25)*GM3+(1-EXP(-LN(2)/25))/(LN(2)/25)*Calculateur!GH4*Calculateur!GJ4*VLOOKUP('Données projet'!$B$17,Paramètres!$A$1:$I$88,3,0)*0.475*44/12</f>
        <v>#N/A</v>
      </c>
      <c r="GN4" s="23" t="e">
        <f>EXP(-LN(2)/2)*GN3+(1-EXP(-LN(2)/2))/(LN(2)/2)*GH4*GK4*VLOOKUP('Données projet'!$B$17,Paramètres!$A$1:$I$88,3,0)*0.475*44/12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61.401792937930608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projet'!$B$18,Paramètres!$A$1:$I$88,3,0)*VLOOKUP('Données projet'!$B$18,Paramètres!$A$1:$I$88,5,0)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projet'!$B$18,Paramètres!$A$1:$I$88,7,0))</f>
        <v>0</v>
      </c>
      <c r="HE4" s="17">
        <f>IF(ISNA(VLOOKUP(A4,'Données projet'!$A$269:$I$289,6,0)),0%,VLOOKUP(A4,'Données projet'!$A$269:$I$289,6,0)*VLOOKUP('Données projet'!$B$18,Paramètres!$A$1:$I$88,7,0))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projet'!$B$18,Paramètres!$A$1:$I$88,3,0)*0.475*44/12</f>
        <v>#N/A</v>
      </c>
      <c r="HH4" s="23" t="e">
        <f>EXP(-LN(2)/25)*HH3+(1-EXP(-LN(2)/25))/(LN(2)/25)*Calculateur!HC4*Calculateur!HE4*VLOOKUP('Données projet'!$B$18,Paramètres!$A$1:$I$88,3,0)*0.475*44/12</f>
        <v>#N/A</v>
      </c>
      <c r="HI4" s="23" t="e">
        <f>EXP(-LN(2)/2)*HI3+(1-EXP(-LN(2)/2))/(LN(2)/2)*HC4*HF4*VLOOKUP('Données projet'!$B$18,Paramètres!$A$1:$I$88,3,0)*0.475*44/12</f>
        <v>#N/A</v>
      </c>
      <c r="HJ4" s="24" t="e">
        <f t="shared" ref="HJ4:HJ67" si="30">SUM(HG4:HI4)</f>
        <v>#N/A</v>
      </c>
    </row>
    <row r="5" spans="1:218" s="5" customFormat="1" x14ac:dyDescent="0.35">
      <c r="A5" s="11">
        <f t="shared" ref="A5:A68" si="31">A4+1</f>
        <v>2</v>
      </c>
      <c r="B5" s="77">
        <f>'Scénario référence'!$B$16*5+'Scénario référence'!$B$17*0+'Scénario référence'!$B$18*5</f>
        <v>1.75</v>
      </c>
      <c r="C5" s="20">
        <f>Calculateur!C4+'Scénario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5" s="12">
        <f t="shared" ref="D5:D68" si="3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6.416666666666667</v>
      </c>
      <c r="H5" s="70">
        <f t="shared" si="1"/>
        <v>231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61.550952607746297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10.119999999999999</v>
      </c>
      <c r="N5" s="14">
        <f>IF('Données projet'!$A$36&gt;35,N4+M5-V4,IF(A5&lt;'Données projet'!$A$36,$K$205^A5,IF(A5='Données projet'!$A$36,'Données projet'!$B$36,N4+M5-V4)))</f>
        <v>1.5568602908139606</v>
      </c>
      <c r="O5" s="14">
        <f>N5*VLOOKUP('Données projet'!$B$9,Paramètres!$A$1:$I$88,3,0)*VLOOKUP('Données projet'!$B$9,Paramètres!$A$1:$I$88,5,0)</f>
        <v>0.8702849025650039</v>
      </c>
      <c r="P5" s="14">
        <f t="shared" ref="P5:P68" si="33">EXP(-1.0587+0.8836*LN(O5)+0.284)</f>
        <v>0.40760257758249518</v>
      </c>
      <c r="Q5" s="22">
        <f t="shared" si="2"/>
        <v>2.2256540279235608</v>
      </c>
      <c r="R5" s="62">
        <f t="shared" si="0"/>
        <v>230.35692470077109</v>
      </c>
      <c r="S5" s="62">
        <f ca="1">AVERAGE(OFFSET($R$3,0,0,'Données projet'!$E$9+1,1))-AVERAGE(OFFSET($H$3,0,0,'Données projet'!$E$9+1,1))</f>
        <v>341.05096821796769</v>
      </c>
      <c r="T5" s="62">
        <f t="shared" ref="T5:T68" si="34">$T$3</f>
        <v>400.72519822215168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projet'!$B$9,Paramètres!$A$1:$I$88,7,0))</f>
        <v>0</v>
      </c>
      <c r="X5" s="17">
        <f>IF(ISNA(VLOOKUP(A5,'Données projet'!$A$35:$I$55,6,0)),0%,VLOOKUP(A5,'Données projet'!$A$35:$I$55,6,0)*VLOOKUP('Données projet'!$B$9,Paramètres!$A$1:$I$88,7,0))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projet'!$B$9,Paramètres!$A$1:$I$88,3,0)*0.475*44/12</f>
        <v>0</v>
      </c>
      <c r="AA5" s="23">
        <f>EXP(-LN(2)/25)*AA4+(1-EXP(-LN(2)/25))/(LN(2)/25)*Calculateur!V5*Calculateur!X5*VLOOKUP('Données projet'!$B$9,Paramètres!$A$1:$I$88,3,0)*0.475*44/12</f>
        <v>0</v>
      </c>
      <c r="AB5" s="23">
        <f>EXP(-LN(2)/2)*AB4+(1-EXP(-LN(2)/2))/(LN(2)/2)*V5*Y5*VLOOKUP('Données projet'!$B$9,Paramètres!$A$1:$I$88,3,0)*0.475*44/12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61.550952607746297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3.6500000000000004</v>
      </c>
      <c r="AI5" s="14">
        <f>IF('Données projet'!$A$62&gt;35,AI4+AH5-AQ4,IF(A5&lt;'Données projet'!$A$62,$AF$205^A5,IF(A5='Données projet'!$A$62,'Données projet'!$B$62,AI4+AH5-AQ4)))</f>
        <v>1.6626529448676248</v>
      </c>
      <c r="AJ5" s="14">
        <f>AI5*VLOOKUP('Données projet'!$B$10,Paramètres!$A$1:$I$88,3,0)*VLOOKUP('Données projet'!$B$10,Paramètres!$A$1:$I$88,5,0)</f>
        <v>0.99426646103083971</v>
      </c>
      <c r="AK5" s="14">
        <f t="shared" ref="AK5:AK68" si="35">EXP(-1.0587+0.8836*LN(AJ5)+0.284)</f>
        <v>0.4585065350470558</v>
      </c>
      <c r="AL5" s="22">
        <f t="shared" si="4"/>
        <v>2.5302463015023342</v>
      </c>
      <c r="AM5" s="62">
        <f t="shared" si="5"/>
        <v>230.66151697434987</v>
      </c>
      <c r="AN5" s="62">
        <f ca="1">AVERAGE(OFFSET($AM$3,0,0,'Données projet'!$E$10+1,1))-AVERAGE(OFFSET($H$3,0,0,'Données projet'!$E$10+1,1))</f>
        <v>231.96474801342879</v>
      </c>
      <c r="AO5" s="62">
        <f t="shared" ref="AO5:AO68" si="36">$AO$3</f>
        <v>237.75726086383668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projet'!$B$10,Paramètres!$A$1:$I$88,7,0))</f>
        <v>0</v>
      </c>
      <c r="AS5" s="17">
        <f>IF(ISNA(VLOOKUP(A5,'Données projet'!$A$61:$I$81,6,0)),0%,VLOOKUP(A5,'Données projet'!$A$61:$I$81,6,0)*VLOOKUP('Données projet'!$B$10,Paramètres!$A$1:$I$88,7,0))</f>
        <v>0</v>
      </c>
      <c r="AT5" s="17">
        <f>IF(ISNA(VLOOKUP(A5,'Données projet'!$A$61:$I$81,7,0)),0%,VLOOKUP(A5,'Données projet'!$A$61:$I$81,7,0))</f>
        <v>0</v>
      </c>
      <c r="AU5" s="23">
        <f>EXP(-LN(2)/35)*AU4+(1-EXP(-LN(2)/35))/(LN(2)/35)*AQ5*AR5*VLOOKUP('Données projet'!$B$10,Paramètres!$A$1:$I$88,3,0)*0.475*44/12</f>
        <v>0</v>
      </c>
      <c r="AV5" s="23">
        <f>EXP(-LN(2)/25)*AV4+(1-EXP(-LN(2)/25))/(LN(2)/25)*Calculateur!AQ5*Calculateur!AS5*VLOOKUP('Données projet'!$B$10,Paramètres!$A$1:$I$88,3,0)*0.475*44/12</f>
        <v>0</v>
      </c>
      <c r="AW5" s="23">
        <f>EXP(-LN(2)/2)*AW4+(1-EXP(-LN(2)/2))/(LN(2)/2)*AQ5*AT5*VLOOKUP('Données projet'!$B$10,Paramètres!$A$1:$I$88,3,0)*0.475*44/12</f>
        <v>0</v>
      </c>
      <c r="AX5" s="23">
        <f t="shared" si="6"/>
        <v>0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61.550952607746297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6.5217391304347823</v>
      </c>
      <c r="BD5" s="13">
        <f>IF('Données projet'!$A$88&gt;35,BD4+BC5-BL4,IF(A5&lt;'Données projet'!$A$88,$BA$205^A5,IF(A5='Données projet'!$A$88,'Données projet'!$B$88,BD4+BC5-BL4)))</f>
        <v>13.043478260869565</v>
      </c>
      <c r="BE5" s="14">
        <f>BD5*VLOOKUP('Données projet'!$B$11,Paramètres!$A$1:$I$88,3,0)*VLOOKUP('Données projet'!$B$11,Paramètres!$A$1:$I$88,5,0)</f>
        <v>6.1043478260869559</v>
      </c>
      <c r="BF5" s="14">
        <f t="shared" ref="BF5:BF68" si="37">EXP(-1.0587+0.8836*LN(BE5)+0.284)</f>
        <v>2.2789926545940387</v>
      </c>
      <c r="BG5" s="22">
        <f t="shared" si="7"/>
        <v>14.600984670519397</v>
      </c>
      <c r="BH5" s="62">
        <f t="shared" si="8"/>
        <v>242.73225534336694</v>
      </c>
      <c r="BI5" s="62">
        <f ca="1">AVERAGE(OFFSET($BH$3,0,0,'Données projet'!$E$11+1,1))-AVERAGE(OFFSET($H$3,0,0,'Données projet'!$E$11+1,1))</f>
        <v>364.96458059055169</v>
      </c>
      <c r="BJ5" s="62">
        <f t="shared" ref="BJ5:BJ68" si="38">$BJ$3</f>
        <v>246.27159120786257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projet'!$B$11,Paramètres!$A$1:$I$88,7,0))</f>
        <v>0</v>
      </c>
      <c r="BN5" s="17">
        <f>IF(ISNA(VLOOKUP(A5,'Données projet'!$A$87:$I$107,6,0)),0%,VLOOKUP(A5,'Données projet'!$A$87:$I$107,6,0)*VLOOKUP('Données projet'!$B$11,Paramètres!$A$1:$I$88,7,0))</f>
        <v>0</v>
      </c>
      <c r="BO5" s="17">
        <f>IF(ISNA(VLOOKUP(A5,'Données projet'!$A$87:$I$107,7,0)),0%,VLOOKUP(A5,'Données projet'!$A$87:$I$107,7,0))</f>
        <v>0</v>
      </c>
      <c r="BP5" s="23">
        <f>EXP(-LN(2)/35)*BP4+(1-EXP(-LN(2)/35))/(LN(2)/35)*BL5*BM5*VLOOKUP('Données projet'!$B$11,Paramètres!$A$1:$I$88,3,0)*0.475*44/12</f>
        <v>0</v>
      </c>
      <c r="BQ5" s="23">
        <f>EXP(-LN(2)/25)*BQ4+(1-EXP(-LN(2)/25))/(LN(2)/25)*Calculateur!BL5*Calculateur!BN5*VLOOKUP('Données projet'!$B$11,Paramètres!$A$1:$I$88,3,0)*0.475*44/12</f>
        <v>0</v>
      </c>
      <c r="BR5" s="23">
        <f>EXP(-LN(2)/2)*BR4+(1-EXP(-LN(2)/2))/(LN(2)/2)*BL5*BO5*VLOOKUP('Données projet'!$B$11,Paramètres!$A$1:$I$88,3,0)*0.475*44/12</f>
        <v>0</v>
      </c>
      <c r="BS5" s="24">
        <f t="shared" si="9"/>
        <v>0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61.550952607746297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4.1666667007873768</v>
      </c>
      <c r="BY5" s="13">
        <f>IF('Données projet'!$A$114&gt;35,BY4+BX5-CG4,IF(A5&lt;'Données projet'!$A$114,$BV$205^A5,IF(A5='Données projet'!$A$114,'Données projet'!$B$114,BY4+BX5-CG4)))</f>
        <v>8.3333334015747536</v>
      </c>
      <c r="BZ5" s="14">
        <f>BY5*VLOOKUP('Données projet'!$B$12,Paramètres!$A$1:$I$88,3,0)*VLOOKUP('Données projet'!$B$12,Paramètres!$A$1:$I$88,5,0)</f>
        <v>8.4500000691968022</v>
      </c>
      <c r="CA5" s="14">
        <f t="shared" ref="CA5:CA68" si="39">EXP(-1.0587+0.8836*LN(BZ5)+0.284)</f>
        <v>3.0375445487962724</v>
      </c>
      <c r="CB5" s="22">
        <f t="shared" si="10"/>
        <v>20.007473543004604</v>
      </c>
      <c r="CC5" s="62">
        <f t="shared" si="11"/>
        <v>248.13874421585214</v>
      </c>
      <c r="CD5" s="62">
        <f ca="1">AVERAGE(OFFSET($CC$3,0,0,'Données projet'!$E$12+1,1))-AVERAGE(OFFSET($H$3,0,0,'Données projet'!$E$12+1,1))</f>
        <v>310.53598044763282</v>
      </c>
      <c r="CE5" s="62">
        <f t="shared" ref="CE5:CE68" si="40">$CE$3</f>
        <v>322.01096634040596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projet'!$B$12,Paramètres!$A$1:$I$88,7,0))</f>
        <v>0</v>
      </c>
      <c r="CI5" s="17">
        <f>IF(ISNA(VLOOKUP(A5,'Données projet'!$A$113:$I$133,6,0)),0%,VLOOKUP(A5,'Données projet'!$A$113:$I$133,6,0)*VLOOKUP('Données projet'!$B$12,Paramètres!$A$1:$I$88,7,0))</f>
        <v>0</v>
      </c>
      <c r="CJ5" s="17">
        <f>IF(ISNA(VLOOKUP(A5,'Données projet'!$A$113:$I$133,7,0)),0%,VLOOKUP(A5,'Données projet'!$A$113:$I$133,7,0))</f>
        <v>0</v>
      </c>
      <c r="CK5" s="23">
        <f>EXP(-LN(2)/35)*CK4+(1-EXP(-LN(2)/35))/(LN(2)/35)*CG5*CH5*VLOOKUP('Données projet'!$B$12,Paramètres!$A$1:$I$88,3,0)*0.475*44/12</f>
        <v>0</v>
      </c>
      <c r="CL5" s="23">
        <f>EXP(-LN(2)/25)*CL4+(1-EXP(-LN(2)/25))/(LN(2)/25)*Calculateur!CG5*Calculateur!CI5*VLOOKUP('Données projet'!$B$12,Paramètres!$A$1:$I$88,3,0)*0.475*44/12</f>
        <v>0</v>
      </c>
      <c r="CM5" s="23">
        <f>EXP(-LN(2)/2)*CM4+(1-EXP(-LN(2)/2))/(LN(2)/2)*CG5*CJ5*VLOOKUP('Données projet'!$B$12,Paramètres!$A$1:$I$88,3,0)*0.475*44/12</f>
        <v>0</v>
      </c>
      <c r="CN5" s="24">
        <f t="shared" si="12"/>
        <v>0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61.550952607746297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projet'!$B$13,Paramètres!$A$1:$I$88,3,0)*VLOOKUP('Données projet'!$B$13,Paramètres!$A$1:$I$88,5,0)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projet'!$B$13,Paramètres!$A$1:$I$88,7,0))</f>
        <v>0</v>
      </c>
      <c r="DD5" s="17">
        <f>IF(ISNA(VLOOKUP(A5,'Données projet'!$A$139:$I$159,6,0)),0%,VLOOKUP(A5,'Données projet'!$A$139:$I$159,6,0)*VLOOKUP('Données projet'!$B$13,Paramètres!$A$1:$I$88,7,0))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projet'!$B$13,Paramètres!$A$1:$I$88,3,0)*0.475*44/12</f>
        <v>#N/A</v>
      </c>
      <c r="DG5" s="23" t="e">
        <f>EXP(-LN(2)/25)*DG4+(1-EXP(-LN(2)/25))/(LN(2)/25)*Calculateur!DB5*Calculateur!DD5*VLOOKUP('Données projet'!$B$13,Paramètres!$A$1:$I$88,3,0)*0.475*44/12</f>
        <v>#N/A</v>
      </c>
      <c r="DH5" s="23" t="e">
        <f>EXP(-LN(2)/2)*DH4+(1-EXP(-LN(2)/2))/(LN(2)/2)*DB5*DE5*VLOOKUP('Données projet'!$B$13,Paramètres!$A$1:$I$88,3,0)*0.475*44/12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61.550952607746297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projet'!$B$14,Paramètres!$A$1:$I$88,3,0)*VLOOKUP('Données projet'!$B$14,Paramètres!$A$1:$I$88,5,0)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projet'!$B$14,Paramètres!$A$1:$I$88,7,0))</f>
        <v>0</v>
      </c>
      <c r="DY5" s="17">
        <f>IF(ISNA(VLOOKUP(A5,'Données projet'!$A$165:$I$185,6,0)),0%,VLOOKUP(A5,'Données projet'!$A$165:$I$185,6,0)*VLOOKUP('Données projet'!$B$14,Paramètres!$A$1:$I$88,7,0))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projet'!$B$14,Paramètres!$A$1:$I$88,3,0)*0.475*44/12</f>
        <v>#N/A</v>
      </c>
      <c r="EB5" s="23" t="e">
        <f>EXP(-LN(2)/25)*EB4+(1-EXP(-LN(2)/25))/(LN(2)/25)*Calculateur!DW5*Calculateur!DY5*VLOOKUP('Données projet'!$B$14,Paramètres!$A$1:$I$88,3,0)*0.475*44/12</f>
        <v>#N/A</v>
      </c>
      <c r="EC5" s="23" t="e">
        <f>EXP(-LN(2)/2)*EC4+(1-EXP(-LN(2)/2))/(LN(2)/2)*DW5*DZ5*VLOOKUP('Données projet'!$B$14,Paramètres!$A$1:$I$88,3,0)*0.475*44/12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61.550952607746297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projet'!$B$15,Paramètres!$A$1:$I$88,3,0)*VLOOKUP('Données projet'!$B$15,Paramètres!$A$1:$I$88,5,0)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projet'!$B$15,Paramètres!$A$1:$I$88,7,0))</f>
        <v>0</v>
      </c>
      <c r="ET5" s="17">
        <f>IF(ISNA(VLOOKUP(A5,'Données projet'!$A$191:$I$211,6,0)),0%,VLOOKUP(A5,'Données projet'!$A$191:$I$211,6,0)*VLOOKUP('Données projet'!$B$15,Paramètres!$A$1:$I$88,7,0))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projet'!$B$15,Paramètres!$A$1:$I$88,3,0)*0.475*44/12</f>
        <v>#N/A</v>
      </c>
      <c r="EW5" s="23" t="e">
        <f>EXP(-LN(2)/25)*EW4+(1-EXP(-LN(2)/25))/(LN(2)/25)*Calculateur!ER5*Calculateur!ET5*VLOOKUP('Données projet'!$B$15,Paramètres!$A$1:$I$88,3,0)*0.475*44/12</f>
        <v>#N/A</v>
      </c>
      <c r="EX5" s="23" t="e">
        <f>EXP(-LN(2)/2)*EX4+(1-EXP(-LN(2)/2))/(LN(2)/2)*ER5*EU5*VLOOKUP('Données projet'!$B$15,Paramètres!$A$1:$I$88,3,0)*0.475*44/12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61.550952607746297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projet'!$B$16,Paramètres!$A$1:$I$88,3,0)*VLOOKUP('Données projet'!$B$16,Paramètres!$A$1:$I$88,5,0)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projet'!$B$16,Paramètres!$A$1:$I$88,7,0))</f>
        <v>0</v>
      </c>
      <c r="FO5" s="17">
        <f>IF(ISNA(VLOOKUP(A5,'Données projet'!$A$217:$I$237,6,0)),0%,VLOOKUP(A5,'Données projet'!$A$217:$I$237,6,0)*VLOOKUP('Données projet'!$B$16,Paramètres!$A$1:$I$88,7,0))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projet'!$B$16,Paramètres!$A$1:$I$88,3,0)*0.475*44/12</f>
        <v>#N/A</v>
      </c>
      <c r="FR5" s="23" t="e">
        <f>EXP(-LN(2)/25)*FR4+(1-EXP(-LN(2)/25))/(LN(2)/25)*Calculateur!FM5*Calculateur!FO5*VLOOKUP('Données projet'!$B$16,Paramètres!$A$1:$I$88,3,0)*0.475*44/12</f>
        <v>#N/A</v>
      </c>
      <c r="FS5" s="23" t="e">
        <f>EXP(-LN(2)/2)*FS4+(1-EXP(-LN(2)/2))/(LN(2)/2)*FM5*FP5*VLOOKUP('Données projet'!$B$16,Paramètres!$A$1:$I$88,3,0)*0.475*44/12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61.550952607746297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projet'!$B$17,Paramètres!$A$1:$I$88,3,0)*VLOOKUP('Données projet'!$B$17,Paramètres!$A$1:$I$88,5,0)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projet'!$B$17,Paramètres!$A$1:$I$88,7,0))</f>
        <v>0</v>
      </c>
      <c r="GJ5" s="17">
        <f>IF(ISNA(VLOOKUP(A5,'Données projet'!$A$243:$I$263,6,0)),0%,VLOOKUP(A5,'Données projet'!$A$243:$I$263,6,0)*VLOOKUP('Données projet'!$B$17,Paramètres!$A$1:$I$88,7,0))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projet'!$B$17,Paramètres!$A$1:$I$88,3,0)*0.475*44/12</f>
        <v>#N/A</v>
      </c>
      <c r="GM5" s="23" t="e">
        <f>EXP(-LN(2)/25)*GM4+(1-EXP(-LN(2)/25))/(LN(2)/25)*Calculateur!GH5*Calculateur!GJ5*VLOOKUP('Données projet'!$B$17,Paramètres!$A$1:$I$88,3,0)*0.475*44/12</f>
        <v>#N/A</v>
      </c>
      <c r="GN5" s="23" t="e">
        <f>EXP(-LN(2)/2)*GN4+(1-EXP(-LN(2)/2))/(LN(2)/2)*GH5*GK5*VLOOKUP('Données projet'!$B$17,Paramètres!$A$1:$I$88,3,0)*0.475*44/12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61.550952607746297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projet'!$B$18,Paramètres!$A$1:$I$88,3,0)*VLOOKUP('Données projet'!$B$18,Paramètres!$A$1:$I$88,5,0)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projet'!$B$18,Paramètres!$A$1:$I$88,7,0))</f>
        <v>0</v>
      </c>
      <c r="HE5" s="17">
        <f>IF(ISNA(VLOOKUP(A5,'Données projet'!$A$269:$I$289,6,0)),0%,VLOOKUP(A5,'Données projet'!$A$269:$I$289,6,0)*VLOOKUP('Données projet'!$B$18,Paramètres!$A$1:$I$88,7,0))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projet'!$B$18,Paramètres!$A$1:$I$88,3,0)*0.475*44/12</f>
        <v>#N/A</v>
      </c>
      <c r="HH5" s="23" t="e">
        <f>EXP(-LN(2)/25)*HH4+(1-EXP(-LN(2)/25))/(LN(2)/25)*Calculateur!HC5*Calculateur!HE5*VLOOKUP('Données projet'!$B$18,Paramètres!$A$1:$I$88,3,0)*0.475*44/12</f>
        <v>#N/A</v>
      </c>
      <c r="HI5" s="23" t="e">
        <f>EXP(-LN(2)/2)*HI4+(1-EXP(-LN(2)/2))/(LN(2)/2)*HC5*HF5*VLOOKUP('Données projet'!$B$18,Paramètres!$A$1:$I$88,3,0)*0.475*44/12</f>
        <v>#N/A</v>
      </c>
      <c r="HJ5" s="24" t="e">
        <f t="shared" si="30"/>
        <v>#N/A</v>
      </c>
    </row>
    <row r="6" spans="1:218" s="5" customFormat="1" x14ac:dyDescent="0.35">
      <c r="A6" s="11">
        <f t="shared" si="31"/>
        <v>3</v>
      </c>
      <c r="B6" s="77">
        <f>'Scénario référence'!$B$16*5+'Scénario référence'!$B$17*0+'Scénario référence'!$B$18*5</f>
        <v>1.75</v>
      </c>
      <c r="C6" s="20">
        <f>Calculateur!C5+'Scénario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6" s="12">
        <f t="shared" si="3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6.416666666666667</v>
      </c>
      <c r="H6" s="70">
        <f t="shared" si="1"/>
        <v>231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61.697524690761739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10.119999999999999</v>
      </c>
      <c r="N6" s="14">
        <f>IF('Données projet'!$A$36&gt;35,N5+M6-V5,IF(A6&lt;'Données projet'!$A$36,$K$205^A6,IF(A6='Données projet'!$A$36,'Données projet'!$B$36,N5+M6-V5)))</f>
        <v>1.9425600929199791</v>
      </c>
      <c r="O6" s="14">
        <f>N6*VLOOKUP('Données projet'!$B$9,Paramètres!$A$1:$I$88,3,0)*VLOOKUP('Données projet'!$B$9,Paramètres!$A$1:$I$88,5,0)</f>
        <v>1.0858910919422684</v>
      </c>
      <c r="P6" s="14">
        <f t="shared" si="33"/>
        <v>0.49564737838680845</v>
      </c>
      <c r="Q6" s="22">
        <f t="shared" si="2"/>
        <v>2.7545128358231423</v>
      </c>
      <c r="R6" s="62">
        <f t="shared" si="0"/>
        <v>232.64543670194951</v>
      </c>
      <c r="S6" s="62">
        <f ca="1">AVERAGE(OFFSET($R$3,0,0,'Données projet'!$E$9+1,1))-AVERAGE(OFFSET($H$3,0,0,'Données projet'!$E$9+1,1))</f>
        <v>341.05096821796769</v>
      </c>
      <c r="T6" s="62">
        <f t="shared" si="34"/>
        <v>400.72519822215168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projet'!$B$9,Paramètres!$A$1:$I$88,7,0))</f>
        <v>0</v>
      </c>
      <c r="X6" s="17">
        <f>IF(ISNA(VLOOKUP(A6,'Données projet'!$A$35:$I$55,6,0)),0%,VLOOKUP(A6,'Données projet'!$A$35:$I$55,6,0)*VLOOKUP('Données projet'!$B$9,Paramètres!$A$1:$I$88,7,0))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projet'!$B$9,Paramètres!$A$1:$I$88,3,0)*0.475*44/12</f>
        <v>0</v>
      </c>
      <c r="AA6" s="23">
        <f>EXP(-LN(2)/25)*AA5+(1-EXP(-LN(2)/25))/(LN(2)/25)*Calculateur!V6*Calculateur!X6*VLOOKUP('Données projet'!$B$9,Paramètres!$A$1:$I$88,3,0)*0.475*44/12</f>
        <v>0</v>
      </c>
      <c r="AB6" s="23">
        <f>EXP(-LN(2)/2)*AB5+(1-EXP(-LN(2)/2))/(LN(2)/2)*V6*Y6*VLOOKUP('Données projet'!$B$9,Paramètres!$A$1:$I$88,3,0)*0.475*44/12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61.697524690761739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3.6500000000000004</v>
      </c>
      <c r="AI6" s="14">
        <f>IF('Données projet'!$A$62&gt;35,AI5+AH6-AQ5,IF(A6&lt;'Données projet'!$A$62,$AF$205^A6,IF(A6='Données projet'!$A$62,'Données projet'!$B$62,AI5+AH6-AQ5)))</f>
        <v>2.1438895571188921</v>
      </c>
      <c r="AJ6" s="14">
        <f>AI6*VLOOKUP('Données projet'!$B$10,Paramètres!$A$1:$I$88,3,0)*VLOOKUP('Données projet'!$B$10,Paramètres!$A$1:$I$88,5,0)</f>
        <v>1.2820459551570975</v>
      </c>
      <c r="AK6" s="14">
        <f t="shared" si="35"/>
        <v>0.57397857205756042</v>
      </c>
      <c r="AL6" s="22">
        <f t="shared" si="4"/>
        <v>3.2325760515655291</v>
      </c>
      <c r="AM6" s="62">
        <f t="shared" si="5"/>
        <v>233.1234999176919</v>
      </c>
      <c r="AN6" s="62">
        <f ca="1">AVERAGE(OFFSET($AM$3,0,0,'Données projet'!$E$10+1,1))-AVERAGE(OFFSET($H$3,0,0,'Données projet'!$E$10+1,1))</f>
        <v>231.96474801342879</v>
      </c>
      <c r="AO6" s="62">
        <f t="shared" si="36"/>
        <v>237.75726086383668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projet'!$B$10,Paramètres!$A$1:$I$88,7,0))</f>
        <v>0</v>
      </c>
      <c r="AS6" s="17">
        <f>IF(ISNA(VLOOKUP(A6,'Données projet'!$A$61:$I$81,6,0)),0%,VLOOKUP(A6,'Données projet'!$A$61:$I$81,6,0)*VLOOKUP('Données projet'!$B$10,Paramètres!$A$1:$I$88,7,0))</f>
        <v>0</v>
      </c>
      <c r="AT6" s="17">
        <f>IF(ISNA(VLOOKUP(A6,'Données projet'!$A$61:$I$81,7,0)),0%,VLOOKUP(A6,'Données projet'!$A$61:$I$81,7,0))</f>
        <v>0</v>
      </c>
      <c r="AU6" s="23">
        <f>EXP(-LN(2)/35)*AU5+(1-EXP(-LN(2)/35))/(LN(2)/35)*AQ6*AR6*VLOOKUP('Données projet'!$B$10,Paramètres!$A$1:$I$88,3,0)*0.475*44/12</f>
        <v>0</v>
      </c>
      <c r="AV6" s="23">
        <f>EXP(-LN(2)/25)*AV5+(1-EXP(-LN(2)/25))/(LN(2)/25)*Calculateur!AQ6*Calculateur!AS6*VLOOKUP('Données projet'!$B$10,Paramètres!$A$1:$I$88,3,0)*0.475*44/12</f>
        <v>0</v>
      </c>
      <c r="AW6" s="23">
        <f>EXP(-LN(2)/2)*AW5+(1-EXP(-LN(2)/2))/(LN(2)/2)*AQ6*AT6*VLOOKUP('Données projet'!$B$10,Paramètres!$A$1:$I$88,3,0)*0.475*44/12</f>
        <v>0</v>
      </c>
      <c r="AX6" s="23">
        <f t="shared" si="6"/>
        <v>0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61.697524690761739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6.5217391304347823</v>
      </c>
      <c r="BD6" s="13">
        <f>IF('Données projet'!$A$88&gt;35,BD5+BC6-BL5,IF(A6&lt;'Données projet'!$A$88,$BA$205^A6,IF(A6='Données projet'!$A$88,'Données projet'!$B$88,BD5+BC6-BL5)))</f>
        <v>19.565217391304348</v>
      </c>
      <c r="BE6" s="14">
        <f>BD6*VLOOKUP('Données projet'!$B$11,Paramètres!$A$1:$I$88,3,0)*VLOOKUP('Données projet'!$B$11,Paramètres!$A$1:$I$88,5,0)</f>
        <v>9.1565217391304348</v>
      </c>
      <c r="BF6" s="14">
        <f t="shared" si="37"/>
        <v>3.2608976058574717</v>
      </c>
      <c r="BG6" s="22">
        <f t="shared" si="7"/>
        <v>21.627005359187269</v>
      </c>
      <c r="BH6" s="62">
        <f t="shared" si="8"/>
        <v>251.51792922531365</v>
      </c>
      <c r="BI6" s="62">
        <f ca="1">AVERAGE(OFFSET($BH$3,0,0,'Données projet'!$E$11+1,1))-AVERAGE(OFFSET($H$3,0,0,'Données projet'!$E$11+1,1))</f>
        <v>364.96458059055169</v>
      </c>
      <c r="BJ6" s="62">
        <f t="shared" si="38"/>
        <v>246.27159120786257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projet'!$B$11,Paramètres!$A$1:$I$88,7,0))</f>
        <v>0</v>
      </c>
      <c r="BN6" s="17">
        <f>IF(ISNA(VLOOKUP(A6,'Données projet'!$A$87:$I$107,6,0)),0%,VLOOKUP(A6,'Données projet'!$A$87:$I$107,6,0)*VLOOKUP('Données projet'!$B$11,Paramètres!$A$1:$I$88,7,0))</f>
        <v>0</v>
      </c>
      <c r="BO6" s="17">
        <f>IF(ISNA(VLOOKUP(A6,'Données projet'!$A$87:$I$107,7,0)),0%,VLOOKUP(A6,'Données projet'!$A$87:$I$107,7,0))</f>
        <v>0</v>
      </c>
      <c r="BP6" s="23">
        <f>EXP(-LN(2)/35)*BP5+(1-EXP(-LN(2)/35))/(LN(2)/35)*BL6*BM6*VLOOKUP('Données projet'!$B$11,Paramètres!$A$1:$I$88,3,0)*0.475*44/12</f>
        <v>0</v>
      </c>
      <c r="BQ6" s="23">
        <f>EXP(-LN(2)/25)*BQ5+(1-EXP(-LN(2)/25))/(LN(2)/25)*Calculateur!BL6*Calculateur!BN6*VLOOKUP('Données projet'!$B$11,Paramètres!$A$1:$I$88,3,0)*0.475*44/12</f>
        <v>0</v>
      </c>
      <c r="BR6" s="23">
        <f>EXP(-LN(2)/2)*BR5+(1-EXP(-LN(2)/2))/(LN(2)/2)*BL6*BO6*VLOOKUP('Données projet'!$B$11,Paramètres!$A$1:$I$88,3,0)*0.475*44/12</f>
        <v>0</v>
      </c>
      <c r="BS6" s="24">
        <f t="shared" si="9"/>
        <v>0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61.697524690761739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4.1666667007873768</v>
      </c>
      <c r="BY6" s="13">
        <f>IF('Données projet'!$A$114&gt;35,BY5+BX6-CG5,IF(A6&lt;'Données projet'!$A$114,$BV$205^A6,IF(A6='Données projet'!$A$114,'Données projet'!$B$114,BY5+BX6-CG5)))</f>
        <v>12.500000102362129</v>
      </c>
      <c r="BZ6" s="14">
        <f>BY6*VLOOKUP('Données projet'!$B$12,Paramètres!$A$1:$I$88,3,0)*VLOOKUP('Données projet'!$B$12,Paramètres!$A$1:$I$88,5,0)</f>
        <v>12.675000103795201</v>
      </c>
      <c r="CA6" s="14">
        <f t="shared" si="39"/>
        <v>4.3462719052157697</v>
      </c>
      <c r="CB6" s="22">
        <f t="shared" si="10"/>
        <v>29.645382082360779</v>
      </c>
      <c r="CC6" s="62">
        <f t="shared" si="11"/>
        <v>259.53630594848715</v>
      </c>
      <c r="CD6" s="62">
        <f ca="1">AVERAGE(OFFSET($CC$3,0,0,'Données projet'!$E$12+1,1))-AVERAGE(OFFSET($H$3,0,0,'Données projet'!$E$12+1,1))</f>
        <v>310.53598044763282</v>
      </c>
      <c r="CE6" s="62">
        <f t="shared" si="40"/>
        <v>322.01096634040596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projet'!$B$12,Paramètres!$A$1:$I$88,7,0))</f>
        <v>0</v>
      </c>
      <c r="CI6" s="17">
        <f>IF(ISNA(VLOOKUP(A6,'Données projet'!$A$113:$I$133,6,0)),0%,VLOOKUP(A6,'Données projet'!$A$113:$I$133,6,0)*VLOOKUP('Données projet'!$B$12,Paramètres!$A$1:$I$88,7,0))</f>
        <v>0</v>
      </c>
      <c r="CJ6" s="17">
        <f>IF(ISNA(VLOOKUP(A6,'Données projet'!$A$113:$I$133,7,0)),0%,VLOOKUP(A6,'Données projet'!$A$113:$I$133,7,0))</f>
        <v>0</v>
      </c>
      <c r="CK6" s="23">
        <f>EXP(-LN(2)/35)*CK5+(1-EXP(-LN(2)/35))/(LN(2)/35)*CG6*CH6*VLOOKUP('Données projet'!$B$12,Paramètres!$A$1:$I$88,3,0)*0.475*44/12</f>
        <v>0</v>
      </c>
      <c r="CL6" s="23">
        <f>EXP(-LN(2)/25)*CL5+(1-EXP(-LN(2)/25))/(LN(2)/25)*Calculateur!CG6*Calculateur!CI6*VLOOKUP('Données projet'!$B$12,Paramètres!$A$1:$I$88,3,0)*0.475*44/12</f>
        <v>0</v>
      </c>
      <c r="CM6" s="23">
        <f>EXP(-LN(2)/2)*CM5+(1-EXP(-LN(2)/2))/(LN(2)/2)*CG6*CJ6*VLOOKUP('Données projet'!$B$12,Paramètres!$A$1:$I$88,3,0)*0.475*44/12</f>
        <v>0</v>
      </c>
      <c r="CN6" s="24">
        <f t="shared" si="12"/>
        <v>0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61.697524690761739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projet'!$B$13,Paramètres!$A$1:$I$88,3,0)*VLOOKUP('Données projet'!$B$13,Paramètres!$A$1:$I$88,5,0)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projet'!$B$13,Paramètres!$A$1:$I$88,7,0))</f>
        <v>0</v>
      </c>
      <c r="DD6" s="17">
        <f>IF(ISNA(VLOOKUP(A6,'Données projet'!$A$139:$I$159,6,0)),0%,VLOOKUP(A6,'Données projet'!$A$139:$I$159,6,0)*VLOOKUP('Données projet'!$B$13,Paramètres!$A$1:$I$88,7,0))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projet'!$B$13,Paramètres!$A$1:$I$88,3,0)*0.475*44/12</f>
        <v>#N/A</v>
      </c>
      <c r="DG6" s="23" t="e">
        <f>EXP(-LN(2)/25)*DG5+(1-EXP(-LN(2)/25))/(LN(2)/25)*Calculateur!DB6*Calculateur!DD6*VLOOKUP('Données projet'!$B$13,Paramètres!$A$1:$I$88,3,0)*0.475*44/12</f>
        <v>#N/A</v>
      </c>
      <c r="DH6" s="23" t="e">
        <f>EXP(-LN(2)/2)*DH5+(1-EXP(-LN(2)/2))/(LN(2)/2)*DB6*DE6*VLOOKUP('Données projet'!$B$13,Paramètres!$A$1:$I$88,3,0)*0.475*44/12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61.697524690761739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projet'!$B$14,Paramètres!$A$1:$I$88,3,0)*VLOOKUP('Données projet'!$B$14,Paramètres!$A$1:$I$88,5,0)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projet'!$B$14,Paramètres!$A$1:$I$88,7,0))</f>
        <v>0</v>
      </c>
      <c r="DY6" s="17">
        <f>IF(ISNA(VLOOKUP(A6,'Données projet'!$A$165:$I$185,6,0)),0%,VLOOKUP(A6,'Données projet'!$A$165:$I$185,6,0)*VLOOKUP('Données projet'!$B$14,Paramètres!$A$1:$I$88,7,0))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projet'!$B$14,Paramètres!$A$1:$I$88,3,0)*0.475*44/12</f>
        <v>#N/A</v>
      </c>
      <c r="EB6" s="23" t="e">
        <f>EXP(-LN(2)/25)*EB5+(1-EXP(-LN(2)/25))/(LN(2)/25)*Calculateur!DW6*Calculateur!DY6*VLOOKUP('Données projet'!$B$14,Paramètres!$A$1:$I$88,3,0)*0.475*44/12</f>
        <v>#N/A</v>
      </c>
      <c r="EC6" s="23" t="e">
        <f>EXP(-LN(2)/2)*EC5+(1-EXP(-LN(2)/2))/(LN(2)/2)*DW6*DZ6*VLOOKUP('Données projet'!$B$14,Paramètres!$A$1:$I$88,3,0)*0.475*44/12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61.697524690761739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projet'!$B$15,Paramètres!$A$1:$I$88,3,0)*VLOOKUP('Données projet'!$B$15,Paramètres!$A$1:$I$88,5,0)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projet'!$B$15,Paramètres!$A$1:$I$88,7,0))</f>
        <v>0</v>
      </c>
      <c r="ET6" s="17">
        <f>IF(ISNA(VLOOKUP(A6,'Données projet'!$A$191:$I$211,6,0)),0%,VLOOKUP(A6,'Données projet'!$A$191:$I$211,6,0)*VLOOKUP('Données projet'!$B$15,Paramètres!$A$1:$I$88,7,0))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projet'!$B$15,Paramètres!$A$1:$I$88,3,0)*0.475*44/12</f>
        <v>#N/A</v>
      </c>
      <c r="EW6" s="23" t="e">
        <f>EXP(-LN(2)/25)*EW5+(1-EXP(-LN(2)/25))/(LN(2)/25)*Calculateur!ER6*Calculateur!ET6*VLOOKUP('Données projet'!$B$15,Paramètres!$A$1:$I$88,3,0)*0.475*44/12</f>
        <v>#N/A</v>
      </c>
      <c r="EX6" s="23" t="e">
        <f>EXP(-LN(2)/2)*EX5+(1-EXP(-LN(2)/2))/(LN(2)/2)*ER6*EU6*VLOOKUP('Données projet'!$B$15,Paramètres!$A$1:$I$88,3,0)*0.475*44/12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61.697524690761739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projet'!$B$16,Paramètres!$A$1:$I$88,3,0)*VLOOKUP('Données projet'!$B$16,Paramètres!$A$1:$I$88,5,0)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projet'!$B$16,Paramètres!$A$1:$I$88,7,0))</f>
        <v>0</v>
      </c>
      <c r="FO6" s="17">
        <f>IF(ISNA(VLOOKUP(A6,'Données projet'!$A$217:$I$237,6,0)),0%,VLOOKUP(A6,'Données projet'!$A$217:$I$237,6,0)*VLOOKUP('Données projet'!$B$16,Paramètres!$A$1:$I$88,7,0))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projet'!$B$16,Paramètres!$A$1:$I$88,3,0)*0.475*44/12</f>
        <v>#N/A</v>
      </c>
      <c r="FR6" s="23" t="e">
        <f>EXP(-LN(2)/25)*FR5+(1-EXP(-LN(2)/25))/(LN(2)/25)*Calculateur!FM6*Calculateur!FO6*VLOOKUP('Données projet'!$B$16,Paramètres!$A$1:$I$88,3,0)*0.475*44/12</f>
        <v>#N/A</v>
      </c>
      <c r="FS6" s="23" t="e">
        <f>EXP(-LN(2)/2)*FS5+(1-EXP(-LN(2)/2))/(LN(2)/2)*FM6*FP6*VLOOKUP('Données projet'!$B$16,Paramètres!$A$1:$I$88,3,0)*0.475*44/12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61.697524690761739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projet'!$B$17,Paramètres!$A$1:$I$88,3,0)*VLOOKUP('Données projet'!$B$17,Paramètres!$A$1:$I$88,5,0)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projet'!$B$17,Paramètres!$A$1:$I$88,7,0))</f>
        <v>0</v>
      </c>
      <c r="GJ6" s="17">
        <f>IF(ISNA(VLOOKUP(A6,'Données projet'!$A$243:$I$263,6,0)),0%,VLOOKUP(A6,'Données projet'!$A$243:$I$263,6,0)*VLOOKUP('Données projet'!$B$17,Paramètres!$A$1:$I$88,7,0))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projet'!$B$17,Paramètres!$A$1:$I$88,3,0)*0.475*44/12</f>
        <v>#N/A</v>
      </c>
      <c r="GM6" s="23" t="e">
        <f>EXP(-LN(2)/25)*GM5+(1-EXP(-LN(2)/25))/(LN(2)/25)*Calculateur!GH6*Calculateur!GJ6*VLOOKUP('Données projet'!$B$17,Paramètres!$A$1:$I$88,3,0)*0.475*44/12</f>
        <v>#N/A</v>
      </c>
      <c r="GN6" s="23" t="e">
        <f>EXP(-LN(2)/2)*GN5+(1-EXP(-LN(2)/2))/(LN(2)/2)*GH6*GK6*VLOOKUP('Données projet'!$B$17,Paramètres!$A$1:$I$88,3,0)*0.475*44/12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61.697524690761739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projet'!$B$18,Paramètres!$A$1:$I$88,3,0)*VLOOKUP('Données projet'!$B$18,Paramètres!$A$1:$I$88,5,0)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projet'!$B$18,Paramètres!$A$1:$I$88,7,0))</f>
        <v>0</v>
      </c>
      <c r="HE6" s="17">
        <f>IF(ISNA(VLOOKUP(A6,'Données projet'!$A$269:$I$289,6,0)),0%,VLOOKUP(A6,'Données projet'!$A$269:$I$289,6,0)*VLOOKUP('Données projet'!$B$18,Paramètres!$A$1:$I$88,7,0))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projet'!$B$18,Paramètres!$A$1:$I$88,3,0)*0.475*44/12</f>
        <v>#N/A</v>
      </c>
      <c r="HH6" s="23" t="e">
        <f>EXP(-LN(2)/25)*HH5+(1-EXP(-LN(2)/25))/(LN(2)/25)*Calculateur!HC6*Calculateur!HE6*VLOOKUP('Données projet'!$B$18,Paramètres!$A$1:$I$88,3,0)*0.475*44/12</f>
        <v>#N/A</v>
      </c>
      <c r="HI6" s="23" t="e">
        <f>EXP(-LN(2)/2)*HI5+(1-EXP(-LN(2)/2))/(LN(2)/2)*HC6*HF6*VLOOKUP('Données projet'!$B$18,Paramètres!$A$1:$I$88,3,0)*0.475*44/12</f>
        <v>#N/A</v>
      </c>
      <c r="HJ6" s="24" t="e">
        <f t="shared" si="30"/>
        <v>#N/A</v>
      </c>
    </row>
    <row r="7" spans="1:218" s="5" customFormat="1" x14ac:dyDescent="0.35">
      <c r="A7" s="11">
        <f t="shared" si="31"/>
        <v>4</v>
      </c>
      <c r="B7" s="77">
        <f>'Scénario référence'!$B$16*5+'Scénario référence'!$B$17*0+'Scénario référence'!$B$18*5</f>
        <v>1.75</v>
      </c>
      <c r="C7" s="20">
        <f>Calculateur!C6+'Scénario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7" s="12">
        <f t="shared" si="3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6.416666666666667</v>
      </c>
      <c r="H7" s="70">
        <f t="shared" si="1"/>
        <v>231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61.841554075822955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10.119999999999999</v>
      </c>
      <c r="N7" s="14">
        <f>IF('Données projet'!$A$36&gt;35,N6+M7-V6,IF(A7&lt;'Données projet'!$A$36,$K$205^A7,IF(A7='Données projet'!$A$36,'Données projet'!$B$36,N6+M7-V6)))</f>
        <v>2.4238139651133301</v>
      </c>
      <c r="O7" s="14">
        <f>N7*VLOOKUP('Données projet'!$B$9,Paramètres!$A$1:$I$88,3,0)*VLOOKUP('Données projet'!$B$9,Paramètres!$A$1:$I$88,5,0)</f>
        <v>1.3549120064983515</v>
      </c>
      <c r="P7" s="14">
        <f t="shared" si="33"/>
        <v>0.60271042729604751</v>
      </c>
      <c r="Q7" s="22">
        <f t="shared" si="2"/>
        <v>3.4095257388585782</v>
      </c>
      <c r="R7" s="62">
        <f t="shared" si="0"/>
        <v>235.05077957243165</v>
      </c>
      <c r="S7" s="62">
        <f ca="1">AVERAGE(OFFSET($R$3,0,0,'Données projet'!$E$9+1,1))-AVERAGE(OFFSET($H$3,0,0,'Données projet'!$E$9+1,1))</f>
        <v>341.05096821796769</v>
      </c>
      <c r="T7" s="62">
        <f t="shared" si="34"/>
        <v>400.72519822215168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projet'!$B$9,Paramètres!$A$1:$I$88,7,0))</f>
        <v>0</v>
      </c>
      <c r="X7" s="17">
        <f>IF(ISNA(VLOOKUP(A7,'Données projet'!$A$35:$I$55,6,0)),0%,VLOOKUP(A7,'Données projet'!$A$35:$I$55,6,0)*VLOOKUP('Données projet'!$B$9,Paramètres!$A$1:$I$88,7,0))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projet'!$B$9,Paramètres!$A$1:$I$88,3,0)*0.475*44/12</f>
        <v>0</v>
      </c>
      <c r="AA7" s="23">
        <f>EXP(-LN(2)/25)*AA6+(1-EXP(-LN(2)/25))/(LN(2)/25)*Calculateur!V7*Calculateur!X7*VLOOKUP('Données projet'!$B$9,Paramètres!$A$1:$I$88,3,0)*0.475*44/12</f>
        <v>0</v>
      </c>
      <c r="AB7" s="23">
        <f>EXP(-LN(2)/2)*AB6+(1-EXP(-LN(2)/2))/(LN(2)/2)*V7*Y7*VLOOKUP('Données projet'!$B$9,Paramètres!$A$1:$I$88,3,0)*0.475*44/12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61.841554075822955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3.6500000000000004</v>
      </c>
      <c r="AI7" s="14">
        <f>IF('Données projet'!$A$62&gt;35,AI6+AH7-AQ6,IF(A7&lt;'Données projet'!$A$62,$AF$205^A7,IF(A7='Données projet'!$A$62,'Données projet'!$B$62,AI6+AH7-AQ6)))</f>
        <v>2.7644148150769849</v>
      </c>
      <c r="AJ7" s="14">
        <f>AI7*VLOOKUP('Données projet'!$B$10,Paramètres!$A$1:$I$88,3,0)*VLOOKUP('Données projet'!$B$10,Paramètres!$A$1:$I$88,5,0)</f>
        <v>1.6531200594160371</v>
      </c>
      <c r="AK7" s="14">
        <f t="shared" si="35"/>
        <v>0.71853152790379515</v>
      </c>
      <c r="AL7" s="22">
        <f t="shared" si="4"/>
        <v>4.1306265145820413</v>
      </c>
      <c r="AM7" s="62">
        <f t="shared" si="5"/>
        <v>235.77188034815512</v>
      </c>
      <c r="AN7" s="62">
        <f ca="1">AVERAGE(OFFSET($AM$3,0,0,'Données projet'!$E$10+1,1))-AVERAGE(OFFSET($H$3,0,0,'Données projet'!$E$10+1,1))</f>
        <v>231.96474801342879</v>
      </c>
      <c r="AO7" s="62">
        <f t="shared" si="36"/>
        <v>237.75726086383668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projet'!$B$10,Paramètres!$A$1:$I$88,7,0))</f>
        <v>0</v>
      </c>
      <c r="AS7" s="17">
        <f>IF(ISNA(VLOOKUP(A7,'Données projet'!$A$61:$I$81,6,0)),0%,VLOOKUP(A7,'Données projet'!$A$61:$I$81,6,0)*VLOOKUP('Données projet'!$B$10,Paramètres!$A$1:$I$88,7,0))</f>
        <v>0</v>
      </c>
      <c r="AT7" s="17">
        <f>IF(ISNA(VLOOKUP(A7,'Données projet'!$A$61:$I$81,7,0)),0%,VLOOKUP(A7,'Données projet'!$A$61:$I$81,7,0))</f>
        <v>0</v>
      </c>
      <c r="AU7" s="23">
        <f>EXP(-LN(2)/35)*AU6+(1-EXP(-LN(2)/35))/(LN(2)/35)*AQ7*AR7*VLOOKUP('Données projet'!$B$10,Paramètres!$A$1:$I$88,3,0)*0.475*44/12</f>
        <v>0</v>
      </c>
      <c r="AV7" s="23">
        <f>EXP(-LN(2)/25)*AV6+(1-EXP(-LN(2)/25))/(LN(2)/25)*Calculateur!AQ7*Calculateur!AS7*VLOOKUP('Données projet'!$B$10,Paramètres!$A$1:$I$88,3,0)*0.475*44/12</f>
        <v>0</v>
      </c>
      <c r="AW7" s="23">
        <f>EXP(-LN(2)/2)*AW6+(1-EXP(-LN(2)/2))/(LN(2)/2)*AQ7*AT7*VLOOKUP('Données projet'!$B$10,Paramètres!$A$1:$I$88,3,0)*0.475*44/12</f>
        <v>0</v>
      </c>
      <c r="AX7" s="23">
        <f t="shared" si="6"/>
        <v>0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61.841554075822955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6.5217391304347823</v>
      </c>
      <c r="BD7" s="13">
        <f>IF('Données projet'!$A$88&gt;35,BD6+BC7-BL6,IF(A7&lt;'Données projet'!$A$88,$BA$205^A7,IF(A7='Données projet'!$A$88,'Données projet'!$B$88,BD6+BC7-BL6)))</f>
        <v>26.086956521739129</v>
      </c>
      <c r="BE7" s="14">
        <f>BD7*VLOOKUP('Données projet'!$B$11,Paramètres!$A$1:$I$88,3,0)*VLOOKUP('Données projet'!$B$11,Paramètres!$A$1:$I$88,5,0)</f>
        <v>12.208695652173912</v>
      </c>
      <c r="BF7" s="14">
        <f t="shared" si="37"/>
        <v>4.2046807790016931</v>
      </c>
      <c r="BG7" s="22">
        <f t="shared" si="7"/>
        <v>28.586630617630846</v>
      </c>
      <c r="BH7" s="62">
        <f t="shared" si="8"/>
        <v>260.22788445120392</v>
      </c>
      <c r="BI7" s="62">
        <f ca="1">AVERAGE(OFFSET($BH$3,0,0,'Données projet'!$E$11+1,1))-AVERAGE(OFFSET($H$3,0,0,'Données projet'!$E$11+1,1))</f>
        <v>364.96458059055169</v>
      </c>
      <c r="BJ7" s="62">
        <f t="shared" si="38"/>
        <v>246.27159120786257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projet'!$B$11,Paramètres!$A$1:$I$88,7,0))</f>
        <v>0</v>
      </c>
      <c r="BN7" s="17">
        <f>IF(ISNA(VLOOKUP(A7,'Données projet'!$A$87:$I$107,6,0)),0%,VLOOKUP(A7,'Données projet'!$A$87:$I$107,6,0)*VLOOKUP('Données projet'!$B$11,Paramètres!$A$1:$I$88,7,0))</f>
        <v>0</v>
      </c>
      <c r="BO7" s="17">
        <f>IF(ISNA(VLOOKUP(A7,'Données projet'!$A$87:$I$107,7,0)),0%,VLOOKUP(A7,'Données projet'!$A$87:$I$107,7,0))</f>
        <v>0</v>
      </c>
      <c r="BP7" s="23">
        <f>EXP(-LN(2)/35)*BP6+(1-EXP(-LN(2)/35))/(LN(2)/35)*BL7*BM7*VLOOKUP('Données projet'!$B$11,Paramètres!$A$1:$I$88,3,0)*0.475*44/12</f>
        <v>0</v>
      </c>
      <c r="BQ7" s="23">
        <f>EXP(-LN(2)/25)*BQ6+(1-EXP(-LN(2)/25))/(LN(2)/25)*Calculateur!BL7*Calculateur!BN7*VLOOKUP('Données projet'!$B$11,Paramètres!$A$1:$I$88,3,0)*0.475*44/12</f>
        <v>0</v>
      </c>
      <c r="BR7" s="23">
        <f>EXP(-LN(2)/2)*BR6+(1-EXP(-LN(2)/2))/(LN(2)/2)*BL7*BO7*VLOOKUP('Données projet'!$B$11,Paramètres!$A$1:$I$88,3,0)*0.475*44/12</f>
        <v>0</v>
      </c>
      <c r="BS7" s="24">
        <f t="shared" si="9"/>
        <v>0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61.841554075822955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4.1666667007873768</v>
      </c>
      <c r="BY7" s="13">
        <f>IF('Données projet'!$A$114&gt;35,BY6+BX7-CG6,IF(A7&lt;'Données projet'!$A$114,$BV$205^A7,IF(A7='Données projet'!$A$114,'Données projet'!$B$114,BY6+BX7-CG6)))</f>
        <v>16.666666803149507</v>
      </c>
      <c r="BZ7" s="14">
        <f>BY7*VLOOKUP('Données projet'!$B$12,Paramètres!$A$1:$I$88,3,0)*VLOOKUP('Données projet'!$B$12,Paramètres!$A$1:$I$88,5,0)</f>
        <v>16.900000138393604</v>
      </c>
      <c r="CA7" s="14">
        <f t="shared" si="39"/>
        <v>5.6041888305077201</v>
      </c>
      <c r="CB7" s="22">
        <f t="shared" si="10"/>
        <v>39.194795787503139</v>
      </c>
      <c r="CC7" s="62">
        <f t="shared" si="11"/>
        <v>270.8360496210762</v>
      </c>
      <c r="CD7" s="62">
        <f ca="1">AVERAGE(OFFSET($CC$3,0,0,'Données projet'!$E$12+1,1))-AVERAGE(OFFSET($H$3,0,0,'Données projet'!$E$12+1,1))</f>
        <v>310.53598044763282</v>
      </c>
      <c r="CE7" s="62">
        <f t="shared" si="40"/>
        <v>322.01096634040596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projet'!$B$12,Paramètres!$A$1:$I$88,7,0))</f>
        <v>0</v>
      </c>
      <c r="CI7" s="17">
        <f>IF(ISNA(VLOOKUP(A7,'Données projet'!$A$113:$I$133,6,0)),0%,VLOOKUP(A7,'Données projet'!$A$113:$I$133,6,0)*VLOOKUP('Données projet'!$B$12,Paramètres!$A$1:$I$88,7,0))</f>
        <v>0</v>
      </c>
      <c r="CJ7" s="17">
        <f>IF(ISNA(VLOOKUP(A7,'Données projet'!$A$113:$I$133,7,0)),0%,VLOOKUP(A7,'Données projet'!$A$113:$I$133,7,0))</f>
        <v>0</v>
      </c>
      <c r="CK7" s="23">
        <f>EXP(-LN(2)/35)*CK6+(1-EXP(-LN(2)/35))/(LN(2)/35)*CG7*CH7*VLOOKUP('Données projet'!$B$12,Paramètres!$A$1:$I$88,3,0)*0.475*44/12</f>
        <v>0</v>
      </c>
      <c r="CL7" s="23">
        <f>EXP(-LN(2)/25)*CL6+(1-EXP(-LN(2)/25))/(LN(2)/25)*Calculateur!CG7*Calculateur!CI7*VLOOKUP('Données projet'!$B$12,Paramètres!$A$1:$I$88,3,0)*0.475*44/12</f>
        <v>0</v>
      </c>
      <c r="CM7" s="23">
        <f>EXP(-LN(2)/2)*CM6+(1-EXP(-LN(2)/2))/(LN(2)/2)*CG7*CJ7*VLOOKUP('Données projet'!$B$12,Paramètres!$A$1:$I$88,3,0)*0.475*44/12</f>
        <v>0</v>
      </c>
      <c r="CN7" s="24">
        <f t="shared" si="12"/>
        <v>0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61.841554075822955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projet'!$B$13,Paramètres!$A$1:$I$88,3,0)*VLOOKUP('Données projet'!$B$13,Paramètres!$A$1:$I$88,5,0)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projet'!$B$13,Paramètres!$A$1:$I$88,7,0))</f>
        <v>0</v>
      </c>
      <c r="DD7" s="17">
        <f>IF(ISNA(VLOOKUP(A7,'Données projet'!$A$139:$I$159,6,0)),0%,VLOOKUP(A7,'Données projet'!$A$139:$I$159,6,0)*VLOOKUP('Données projet'!$B$13,Paramètres!$A$1:$I$88,7,0))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projet'!$B$13,Paramètres!$A$1:$I$88,3,0)*0.475*44/12</f>
        <v>#N/A</v>
      </c>
      <c r="DG7" s="23" t="e">
        <f>EXP(-LN(2)/25)*DG6+(1-EXP(-LN(2)/25))/(LN(2)/25)*Calculateur!DB7*Calculateur!DD7*VLOOKUP('Données projet'!$B$13,Paramètres!$A$1:$I$88,3,0)*0.475*44/12</f>
        <v>#N/A</v>
      </c>
      <c r="DH7" s="23" t="e">
        <f>EXP(-LN(2)/2)*DH6+(1-EXP(-LN(2)/2))/(LN(2)/2)*DB7*DE7*VLOOKUP('Données projet'!$B$13,Paramètres!$A$1:$I$88,3,0)*0.475*44/12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61.841554075822955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projet'!$B$14,Paramètres!$A$1:$I$88,3,0)*VLOOKUP('Données projet'!$B$14,Paramètres!$A$1:$I$88,5,0)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projet'!$B$14,Paramètres!$A$1:$I$88,7,0))</f>
        <v>0</v>
      </c>
      <c r="DY7" s="17">
        <f>IF(ISNA(VLOOKUP(A7,'Données projet'!$A$165:$I$185,6,0)),0%,VLOOKUP(A7,'Données projet'!$A$165:$I$185,6,0)*VLOOKUP('Données projet'!$B$14,Paramètres!$A$1:$I$88,7,0))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projet'!$B$14,Paramètres!$A$1:$I$88,3,0)*0.475*44/12</f>
        <v>#N/A</v>
      </c>
      <c r="EB7" s="23" t="e">
        <f>EXP(-LN(2)/25)*EB6+(1-EXP(-LN(2)/25))/(LN(2)/25)*Calculateur!DW7*Calculateur!DY7*VLOOKUP('Données projet'!$B$14,Paramètres!$A$1:$I$88,3,0)*0.475*44/12</f>
        <v>#N/A</v>
      </c>
      <c r="EC7" s="23" t="e">
        <f>EXP(-LN(2)/2)*EC6+(1-EXP(-LN(2)/2))/(LN(2)/2)*DW7*DZ7*VLOOKUP('Données projet'!$B$14,Paramètres!$A$1:$I$88,3,0)*0.475*44/12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61.841554075822955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projet'!$B$15,Paramètres!$A$1:$I$88,3,0)*VLOOKUP('Données projet'!$B$15,Paramètres!$A$1:$I$88,5,0)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projet'!$B$15,Paramètres!$A$1:$I$88,7,0))</f>
        <v>0</v>
      </c>
      <c r="ET7" s="17">
        <f>IF(ISNA(VLOOKUP(A7,'Données projet'!$A$191:$I$211,6,0)),0%,VLOOKUP(A7,'Données projet'!$A$191:$I$211,6,0)*VLOOKUP('Données projet'!$B$15,Paramètres!$A$1:$I$88,7,0))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projet'!$B$15,Paramètres!$A$1:$I$88,3,0)*0.475*44/12</f>
        <v>#N/A</v>
      </c>
      <c r="EW7" s="23" t="e">
        <f>EXP(-LN(2)/25)*EW6+(1-EXP(-LN(2)/25))/(LN(2)/25)*Calculateur!ER7*Calculateur!ET7*VLOOKUP('Données projet'!$B$15,Paramètres!$A$1:$I$88,3,0)*0.475*44/12</f>
        <v>#N/A</v>
      </c>
      <c r="EX7" s="23" t="e">
        <f>EXP(-LN(2)/2)*EX6+(1-EXP(-LN(2)/2))/(LN(2)/2)*ER7*EU7*VLOOKUP('Données projet'!$B$15,Paramètres!$A$1:$I$88,3,0)*0.475*44/12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61.841554075822955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projet'!$B$16,Paramètres!$A$1:$I$88,3,0)*VLOOKUP('Données projet'!$B$16,Paramètres!$A$1:$I$88,5,0)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projet'!$B$16,Paramètres!$A$1:$I$88,7,0))</f>
        <v>0</v>
      </c>
      <c r="FO7" s="17">
        <f>IF(ISNA(VLOOKUP(A7,'Données projet'!$A$217:$I$237,6,0)),0%,VLOOKUP(A7,'Données projet'!$A$217:$I$237,6,0)*VLOOKUP('Données projet'!$B$16,Paramètres!$A$1:$I$88,7,0))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projet'!$B$16,Paramètres!$A$1:$I$88,3,0)*0.475*44/12</f>
        <v>#N/A</v>
      </c>
      <c r="FR7" s="23" t="e">
        <f>EXP(-LN(2)/25)*FR6+(1-EXP(-LN(2)/25))/(LN(2)/25)*Calculateur!FM7*Calculateur!FO7*VLOOKUP('Données projet'!$B$16,Paramètres!$A$1:$I$88,3,0)*0.475*44/12</f>
        <v>#N/A</v>
      </c>
      <c r="FS7" s="23" t="e">
        <f>EXP(-LN(2)/2)*FS6+(1-EXP(-LN(2)/2))/(LN(2)/2)*FM7*FP7*VLOOKUP('Données projet'!$B$16,Paramètres!$A$1:$I$88,3,0)*0.475*44/12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61.841554075822955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projet'!$B$17,Paramètres!$A$1:$I$88,3,0)*VLOOKUP('Données projet'!$B$17,Paramètres!$A$1:$I$88,5,0)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projet'!$B$17,Paramètres!$A$1:$I$88,7,0))</f>
        <v>0</v>
      </c>
      <c r="GJ7" s="17">
        <f>IF(ISNA(VLOOKUP(A7,'Données projet'!$A$243:$I$263,6,0)),0%,VLOOKUP(A7,'Données projet'!$A$243:$I$263,6,0)*VLOOKUP('Données projet'!$B$17,Paramètres!$A$1:$I$88,7,0))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projet'!$B$17,Paramètres!$A$1:$I$88,3,0)*0.475*44/12</f>
        <v>#N/A</v>
      </c>
      <c r="GM7" s="23" t="e">
        <f>EXP(-LN(2)/25)*GM6+(1-EXP(-LN(2)/25))/(LN(2)/25)*Calculateur!GH7*Calculateur!GJ7*VLOOKUP('Données projet'!$B$17,Paramètres!$A$1:$I$88,3,0)*0.475*44/12</f>
        <v>#N/A</v>
      </c>
      <c r="GN7" s="23" t="e">
        <f>EXP(-LN(2)/2)*GN6+(1-EXP(-LN(2)/2))/(LN(2)/2)*GH7*GK7*VLOOKUP('Données projet'!$B$17,Paramètres!$A$1:$I$88,3,0)*0.475*44/12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61.841554075822955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projet'!$B$18,Paramètres!$A$1:$I$88,3,0)*VLOOKUP('Données projet'!$B$18,Paramètres!$A$1:$I$88,5,0)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projet'!$B$18,Paramètres!$A$1:$I$88,7,0))</f>
        <v>0</v>
      </c>
      <c r="HE7" s="17">
        <f>IF(ISNA(VLOOKUP(A7,'Données projet'!$A$269:$I$289,6,0)),0%,VLOOKUP(A7,'Données projet'!$A$269:$I$289,6,0)*VLOOKUP('Données projet'!$B$18,Paramètres!$A$1:$I$88,7,0))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projet'!$B$18,Paramètres!$A$1:$I$88,3,0)*0.475*44/12</f>
        <v>#N/A</v>
      </c>
      <c r="HH7" s="23" t="e">
        <f>EXP(-LN(2)/25)*HH6+(1-EXP(-LN(2)/25))/(LN(2)/25)*Calculateur!HC7*Calculateur!HE7*VLOOKUP('Données projet'!$B$18,Paramètres!$A$1:$I$88,3,0)*0.475*44/12</f>
        <v>#N/A</v>
      </c>
      <c r="HI7" s="23" t="e">
        <f>EXP(-LN(2)/2)*HI6+(1-EXP(-LN(2)/2))/(LN(2)/2)*HC7*HF7*VLOOKUP('Données projet'!$B$18,Paramètres!$A$1:$I$88,3,0)*0.475*44/12</f>
        <v>#N/A</v>
      </c>
      <c r="HJ7" s="24" t="e">
        <f t="shared" si="30"/>
        <v>#N/A</v>
      </c>
    </row>
    <row r="8" spans="1:218" s="5" customFormat="1" x14ac:dyDescent="0.35">
      <c r="A8" s="11">
        <f t="shared" si="31"/>
        <v>5</v>
      </c>
      <c r="B8" s="77">
        <f>'Scénario référence'!$B$16*5+'Scénario référence'!$B$17*0+'Scénario référence'!$B$18*5</f>
        <v>1.75</v>
      </c>
      <c r="C8" s="20">
        <f>Calculateur!C7+'Scénario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8" s="12">
        <f t="shared" si="3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6.416666666666667</v>
      </c>
      <c r="H8" s="70">
        <f t="shared" si="1"/>
        <v>231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61.983084873054821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10.119999999999999</v>
      </c>
      <c r="N8" s="14">
        <f>IF('Données projet'!$A$36&gt;35,N7+M8-V7,IF(A8&lt;'Données projet'!$A$36,$K$205^A8,IF(A8='Données projet'!$A$36,'Données projet'!$B$36,N7+M8-V7)))</f>
        <v>3.0242946711869934</v>
      </c>
      <c r="O8" s="14">
        <f>N8*VLOOKUP('Données projet'!$B$9,Paramètres!$A$1:$I$88,3,0)*VLOOKUP('Données projet'!$B$9,Paramètres!$A$1:$I$88,5,0)</f>
        <v>1.6905807211935295</v>
      </c>
      <c r="P8" s="14">
        <f t="shared" si="33"/>
        <v>0.7328997892689193</v>
      </c>
      <c r="Q8" s="22">
        <f t="shared" si="2"/>
        <v>4.2208952223887648</v>
      </c>
      <c r="R8" s="62">
        <f t="shared" si="0"/>
        <v>237.60331753470089</v>
      </c>
      <c r="S8" s="62">
        <f ca="1">AVERAGE(OFFSET($R$3,0,0,'Données projet'!$E$9+1,1))-AVERAGE(OFFSET($H$3,0,0,'Données projet'!$E$9+1,1))</f>
        <v>341.05096821796769</v>
      </c>
      <c r="T8" s="62">
        <f t="shared" si="34"/>
        <v>400.72519822215168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projet'!$B$9,Paramètres!$A$1:$I$88,7,0))</f>
        <v>0</v>
      </c>
      <c r="X8" s="17">
        <f>IF(ISNA(VLOOKUP(A8,'Données projet'!$A$35:$I$55,6,0)),0%,VLOOKUP(A8,'Données projet'!$A$35:$I$55,6,0)*VLOOKUP('Données projet'!$B$9,Paramètres!$A$1:$I$88,7,0))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projet'!$B$9,Paramètres!$A$1:$I$88,3,0)*0.475*44/12</f>
        <v>0</v>
      </c>
      <c r="AA8" s="23">
        <f>EXP(-LN(2)/25)*AA7+(1-EXP(-LN(2)/25))/(LN(2)/25)*Calculateur!V8*Calculateur!X8*VLOOKUP('Données projet'!$B$9,Paramètres!$A$1:$I$88,3,0)*0.475*44/12</f>
        <v>0</v>
      </c>
      <c r="AB8" s="23">
        <f>EXP(-LN(2)/2)*AB7+(1-EXP(-LN(2)/2))/(LN(2)/2)*V8*Y8*VLOOKUP('Données projet'!$B$9,Paramètres!$A$1:$I$88,3,0)*0.475*44/12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61.983084873054821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3.6500000000000004</v>
      </c>
      <c r="AI8" s="14">
        <f>IF('Données projet'!$A$62&gt;35,AI7+AH8-AQ7,IF(A8&lt;'Données projet'!$A$62,$AF$205^A8,IF(A8='Données projet'!$A$62,'Données projet'!$B$62,AI7+AH8-AQ7)))</f>
        <v>3.5645442856146738</v>
      </c>
      <c r="AJ8" s="14">
        <f>AI8*VLOOKUP('Données projet'!$B$10,Paramètres!$A$1:$I$88,3,0)*VLOOKUP('Données projet'!$B$10,Paramètres!$A$1:$I$88,5,0)</f>
        <v>2.131597482797575</v>
      </c>
      <c r="AK8" s="14">
        <f t="shared" si="35"/>
        <v>0.89948925225729071</v>
      </c>
      <c r="AL8" s="22">
        <f t="shared" si="4"/>
        <v>5.2791427302205571</v>
      </c>
      <c r="AM8" s="62">
        <f t="shared" si="5"/>
        <v>238.66156504253269</v>
      </c>
      <c r="AN8" s="62">
        <f ca="1">AVERAGE(OFFSET($AM$3,0,0,'Données projet'!$E$10+1,1))-AVERAGE(OFFSET($H$3,0,0,'Données projet'!$E$10+1,1))</f>
        <v>231.96474801342879</v>
      </c>
      <c r="AO8" s="62">
        <f t="shared" si="36"/>
        <v>237.75726086383668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projet'!$B$10,Paramètres!$A$1:$I$88,7,0))</f>
        <v>0</v>
      </c>
      <c r="AS8" s="17">
        <f>IF(ISNA(VLOOKUP(A8,'Données projet'!$A$61:$I$81,6,0)),0%,VLOOKUP(A8,'Données projet'!$A$61:$I$81,6,0)*VLOOKUP('Données projet'!$B$10,Paramètres!$A$1:$I$88,7,0))</f>
        <v>0</v>
      </c>
      <c r="AT8" s="17">
        <f>IF(ISNA(VLOOKUP(A8,'Données projet'!$A$61:$I$81,7,0)),0%,VLOOKUP(A8,'Données projet'!$A$61:$I$81,7,0))</f>
        <v>0</v>
      </c>
      <c r="AU8" s="23">
        <f>EXP(-LN(2)/35)*AU7+(1-EXP(-LN(2)/35))/(LN(2)/35)*AQ8*AR8*VLOOKUP('Données projet'!$B$10,Paramètres!$A$1:$I$88,3,0)*0.475*44/12</f>
        <v>0</v>
      </c>
      <c r="AV8" s="23">
        <f>EXP(-LN(2)/25)*AV7+(1-EXP(-LN(2)/25))/(LN(2)/25)*Calculateur!AQ8*Calculateur!AS8*VLOOKUP('Données projet'!$B$10,Paramètres!$A$1:$I$88,3,0)*0.475*44/12</f>
        <v>0</v>
      </c>
      <c r="AW8" s="23">
        <f>EXP(-LN(2)/2)*AW7+(1-EXP(-LN(2)/2))/(LN(2)/2)*AQ8*AT8*VLOOKUP('Données projet'!$B$10,Paramètres!$A$1:$I$88,3,0)*0.475*44/12</f>
        <v>0</v>
      </c>
      <c r="AX8" s="23">
        <f t="shared" si="6"/>
        <v>0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61.983084873054821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6.5217391304347823</v>
      </c>
      <c r="BD8" s="13">
        <f>IF('Données projet'!$A$88&gt;35,BD7+BC8-BL7,IF(A8&lt;'Données projet'!$A$88,$BA$205^A8,IF(A8='Données projet'!$A$88,'Données projet'!$B$88,BD7+BC8-BL7)))</f>
        <v>32.608695652173914</v>
      </c>
      <c r="BE8" s="14">
        <f>BD8*VLOOKUP('Données projet'!$B$11,Paramètres!$A$1:$I$88,3,0)*VLOOKUP('Données projet'!$B$11,Paramètres!$A$1:$I$88,5,0)</f>
        <v>15.260869565217392</v>
      </c>
      <c r="BF8" s="14">
        <f t="shared" si="37"/>
        <v>5.1210936402821305</v>
      </c>
      <c r="BG8" s="22">
        <f t="shared" si="7"/>
        <v>35.498585916244998</v>
      </c>
      <c r="BH8" s="62">
        <f t="shared" si="8"/>
        <v>268.88100822855711</v>
      </c>
      <c r="BI8" s="62">
        <f ca="1">AVERAGE(OFFSET($BH$3,0,0,'Données projet'!$E$11+1,1))-AVERAGE(OFFSET($H$3,0,0,'Données projet'!$E$11+1,1))</f>
        <v>364.96458059055169</v>
      </c>
      <c r="BJ8" s="62">
        <f t="shared" si="38"/>
        <v>246.27159120786257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projet'!$B$11,Paramètres!$A$1:$I$88,7,0))</f>
        <v>0</v>
      </c>
      <c r="BN8" s="17">
        <f>IF(ISNA(VLOOKUP(A8,'Données projet'!$A$87:$I$107,6,0)),0%,VLOOKUP(A8,'Données projet'!$A$87:$I$107,6,0)*VLOOKUP('Données projet'!$B$11,Paramètres!$A$1:$I$88,7,0))</f>
        <v>0</v>
      </c>
      <c r="BO8" s="17">
        <f>IF(ISNA(VLOOKUP(A8,'Données projet'!$A$87:$I$107,7,0)),0%,VLOOKUP(A8,'Données projet'!$A$87:$I$107,7,0))</f>
        <v>0</v>
      </c>
      <c r="BP8" s="23">
        <f>EXP(-LN(2)/35)*BP7+(1-EXP(-LN(2)/35))/(LN(2)/35)*BL8*BM8*VLOOKUP('Données projet'!$B$11,Paramètres!$A$1:$I$88,3,0)*0.475*44/12</f>
        <v>0</v>
      </c>
      <c r="BQ8" s="23">
        <f>EXP(-LN(2)/25)*BQ7+(1-EXP(-LN(2)/25))/(LN(2)/25)*Calculateur!BL8*Calculateur!BN8*VLOOKUP('Données projet'!$B$11,Paramètres!$A$1:$I$88,3,0)*0.475*44/12</f>
        <v>0</v>
      </c>
      <c r="BR8" s="23">
        <f>EXP(-LN(2)/2)*BR7+(1-EXP(-LN(2)/2))/(LN(2)/2)*BL8*BO8*VLOOKUP('Données projet'!$B$11,Paramètres!$A$1:$I$88,3,0)*0.475*44/12</f>
        <v>0</v>
      </c>
      <c r="BS8" s="24">
        <f t="shared" si="9"/>
        <v>0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61.983084873054821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4.1666667007873768</v>
      </c>
      <c r="BY8" s="13">
        <f>IF('Données projet'!$A$114&gt;35,BY7+BX8-CG7,IF(A8&lt;'Données projet'!$A$114,$BV$205^A8,IF(A8='Données projet'!$A$114,'Données projet'!$B$114,BY7+BX8-CG7)))</f>
        <v>20.833333503936885</v>
      </c>
      <c r="BZ8" s="14">
        <f>BY8*VLOOKUP('Données projet'!$B$12,Paramètres!$A$1:$I$88,3,0)*VLOOKUP('Données projet'!$B$12,Paramètres!$A$1:$I$88,5,0)</f>
        <v>21.125000172992003</v>
      </c>
      <c r="CA8" s="14">
        <f t="shared" si="39"/>
        <v>6.8256253654688432</v>
      </c>
      <c r="CB8" s="22">
        <f t="shared" si="10"/>
        <v>48.680672812819303</v>
      </c>
      <c r="CC8" s="62">
        <f t="shared" si="11"/>
        <v>282.06309512513144</v>
      </c>
      <c r="CD8" s="62">
        <f ca="1">AVERAGE(OFFSET($CC$3,0,0,'Données projet'!$E$12+1,1))-AVERAGE(OFFSET($H$3,0,0,'Données projet'!$E$12+1,1))</f>
        <v>310.53598044763282</v>
      </c>
      <c r="CE8" s="62">
        <f t="shared" si="40"/>
        <v>322.01096634040596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projet'!$B$12,Paramètres!$A$1:$I$88,7,0))</f>
        <v>0</v>
      </c>
      <c r="CI8" s="17">
        <f>IF(ISNA(VLOOKUP(A8,'Données projet'!$A$113:$I$133,6,0)),0%,VLOOKUP(A8,'Données projet'!$A$113:$I$133,6,0)*VLOOKUP('Données projet'!$B$12,Paramètres!$A$1:$I$88,7,0))</f>
        <v>0</v>
      </c>
      <c r="CJ8" s="17">
        <f>IF(ISNA(VLOOKUP(A8,'Données projet'!$A$113:$I$133,7,0)),0%,VLOOKUP(A8,'Données projet'!$A$113:$I$133,7,0))</f>
        <v>0</v>
      </c>
      <c r="CK8" s="23">
        <f>EXP(-LN(2)/35)*CK7+(1-EXP(-LN(2)/35))/(LN(2)/35)*CG8*CH8*VLOOKUP('Données projet'!$B$12,Paramètres!$A$1:$I$88,3,0)*0.475*44/12</f>
        <v>0</v>
      </c>
      <c r="CL8" s="23">
        <f>EXP(-LN(2)/25)*CL7+(1-EXP(-LN(2)/25))/(LN(2)/25)*Calculateur!CG8*Calculateur!CI8*VLOOKUP('Données projet'!$B$12,Paramètres!$A$1:$I$88,3,0)*0.475*44/12</f>
        <v>0</v>
      </c>
      <c r="CM8" s="23">
        <f>EXP(-LN(2)/2)*CM7+(1-EXP(-LN(2)/2))/(LN(2)/2)*CG8*CJ8*VLOOKUP('Données projet'!$B$12,Paramètres!$A$1:$I$88,3,0)*0.475*44/12</f>
        <v>0</v>
      </c>
      <c r="CN8" s="24">
        <f t="shared" si="12"/>
        <v>0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61.983084873054821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projet'!$B$13,Paramètres!$A$1:$I$88,3,0)*VLOOKUP('Données projet'!$B$13,Paramètres!$A$1:$I$88,5,0)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projet'!$B$13,Paramètres!$A$1:$I$88,7,0))</f>
        <v>0</v>
      </c>
      <c r="DD8" s="17">
        <f>IF(ISNA(VLOOKUP(A8,'Données projet'!$A$139:$I$159,6,0)),0%,VLOOKUP(A8,'Données projet'!$A$139:$I$159,6,0)*VLOOKUP('Données projet'!$B$13,Paramètres!$A$1:$I$88,7,0))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projet'!$B$13,Paramètres!$A$1:$I$88,3,0)*0.475*44/12</f>
        <v>#N/A</v>
      </c>
      <c r="DG8" s="23" t="e">
        <f>EXP(-LN(2)/25)*DG7+(1-EXP(-LN(2)/25))/(LN(2)/25)*Calculateur!DB8*Calculateur!DD8*VLOOKUP('Données projet'!$B$13,Paramètres!$A$1:$I$88,3,0)*0.475*44/12</f>
        <v>#N/A</v>
      </c>
      <c r="DH8" s="23" t="e">
        <f>EXP(-LN(2)/2)*DH7+(1-EXP(-LN(2)/2))/(LN(2)/2)*DB8*DE8*VLOOKUP('Données projet'!$B$13,Paramètres!$A$1:$I$88,3,0)*0.475*44/12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61.983084873054821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projet'!$B$14,Paramètres!$A$1:$I$88,3,0)*VLOOKUP('Données projet'!$B$14,Paramètres!$A$1:$I$88,5,0)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projet'!$B$14,Paramètres!$A$1:$I$88,7,0))</f>
        <v>0</v>
      </c>
      <c r="DY8" s="17">
        <f>IF(ISNA(VLOOKUP(A8,'Données projet'!$A$165:$I$185,6,0)),0%,VLOOKUP(A8,'Données projet'!$A$165:$I$185,6,0)*VLOOKUP('Données projet'!$B$14,Paramètres!$A$1:$I$88,7,0))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projet'!$B$14,Paramètres!$A$1:$I$88,3,0)*0.475*44/12</f>
        <v>#N/A</v>
      </c>
      <c r="EB8" s="23" t="e">
        <f>EXP(-LN(2)/25)*EB7+(1-EXP(-LN(2)/25))/(LN(2)/25)*Calculateur!DW8*Calculateur!DY8*VLOOKUP('Données projet'!$B$14,Paramètres!$A$1:$I$88,3,0)*0.475*44/12</f>
        <v>#N/A</v>
      </c>
      <c r="EC8" s="23" t="e">
        <f>EXP(-LN(2)/2)*EC7+(1-EXP(-LN(2)/2))/(LN(2)/2)*DW8*DZ8*VLOOKUP('Données projet'!$B$14,Paramètres!$A$1:$I$88,3,0)*0.475*44/12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61.983084873054821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projet'!$B$15,Paramètres!$A$1:$I$88,3,0)*VLOOKUP('Données projet'!$B$15,Paramètres!$A$1:$I$88,5,0)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projet'!$B$15,Paramètres!$A$1:$I$88,7,0))</f>
        <v>0</v>
      </c>
      <c r="ET8" s="17">
        <f>IF(ISNA(VLOOKUP(A8,'Données projet'!$A$191:$I$211,6,0)),0%,VLOOKUP(A8,'Données projet'!$A$191:$I$211,6,0)*VLOOKUP('Données projet'!$B$15,Paramètres!$A$1:$I$88,7,0))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projet'!$B$15,Paramètres!$A$1:$I$88,3,0)*0.475*44/12</f>
        <v>#N/A</v>
      </c>
      <c r="EW8" s="23" t="e">
        <f>EXP(-LN(2)/25)*EW7+(1-EXP(-LN(2)/25))/(LN(2)/25)*Calculateur!ER8*Calculateur!ET8*VLOOKUP('Données projet'!$B$15,Paramètres!$A$1:$I$88,3,0)*0.475*44/12</f>
        <v>#N/A</v>
      </c>
      <c r="EX8" s="23" t="e">
        <f>EXP(-LN(2)/2)*EX7+(1-EXP(-LN(2)/2))/(LN(2)/2)*ER8*EU8*VLOOKUP('Données projet'!$B$15,Paramètres!$A$1:$I$88,3,0)*0.475*44/12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61.983084873054821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projet'!$B$16,Paramètres!$A$1:$I$88,3,0)*VLOOKUP('Données projet'!$B$16,Paramètres!$A$1:$I$88,5,0)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projet'!$B$16,Paramètres!$A$1:$I$88,7,0))</f>
        <v>0</v>
      </c>
      <c r="FO8" s="17">
        <f>IF(ISNA(VLOOKUP(A8,'Données projet'!$A$217:$I$237,6,0)),0%,VLOOKUP(A8,'Données projet'!$A$217:$I$237,6,0)*VLOOKUP('Données projet'!$B$16,Paramètres!$A$1:$I$88,7,0))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projet'!$B$16,Paramètres!$A$1:$I$88,3,0)*0.475*44/12</f>
        <v>#N/A</v>
      </c>
      <c r="FR8" s="23" t="e">
        <f>EXP(-LN(2)/25)*FR7+(1-EXP(-LN(2)/25))/(LN(2)/25)*Calculateur!FM8*Calculateur!FO8*VLOOKUP('Données projet'!$B$16,Paramètres!$A$1:$I$88,3,0)*0.475*44/12</f>
        <v>#N/A</v>
      </c>
      <c r="FS8" s="23" t="e">
        <f>EXP(-LN(2)/2)*FS7+(1-EXP(-LN(2)/2))/(LN(2)/2)*FM8*FP8*VLOOKUP('Données projet'!$B$16,Paramètres!$A$1:$I$88,3,0)*0.475*44/12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61.983084873054821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projet'!$B$17,Paramètres!$A$1:$I$88,3,0)*VLOOKUP('Données projet'!$B$17,Paramètres!$A$1:$I$88,5,0)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projet'!$B$17,Paramètres!$A$1:$I$88,7,0))</f>
        <v>0</v>
      </c>
      <c r="GJ8" s="17">
        <f>IF(ISNA(VLOOKUP(A8,'Données projet'!$A$243:$I$263,6,0)),0%,VLOOKUP(A8,'Données projet'!$A$243:$I$263,6,0)*VLOOKUP('Données projet'!$B$17,Paramètres!$A$1:$I$88,7,0))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projet'!$B$17,Paramètres!$A$1:$I$88,3,0)*0.475*44/12</f>
        <v>#N/A</v>
      </c>
      <c r="GM8" s="23" t="e">
        <f>EXP(-LN(2)/25)*GM7+(1-EXP(-LN(2)/25))/(LN(2)/25)*Calculateur!GH8*Calculateur!GJ8*VLOOKUP('Données projet'!$B$17,Paramètres!$A$1:$I$88,3,0)*0.475*44/12</f>
        <v>#N/A</v>
      </c>
      <c r="GN8" s="23" t="e">
        <f>EXP(-LN(2)/2)*GN7+(1-EXP(-LN(2)/2))/(LN(2)/2)*GH8*GK8*VLOOKUP('Données projet'!$B$17,Paramètres!$A$1:$I$88,3,0)*0.475*44/12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61.983084873054821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projet'!$B$18,Paramètres!$A$1:$I$88,3,0)*VLOOKUP('Données projet'!$B$18,Paramètres!$A$1:$I$88,5,0)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projet'!$B$18,Paramètres!$A$1:$I$88,7,0))</f>
        <v>0</v>
      </c>
      <c r="HE8" s="17">
        <f>IF(ISNA(VLOOKUP(A8,'Données projet'!$A$269:$I$289,6,0)),0%,VLOOKUP(A8,'Données projet'!$A$269:$I$289,6,0)*VLOOKUP('Données projet'!$B$18,Paramètres!$A$1:$I$88,7,0))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projet'!$B$18,Paramètres!$A$1:$I$88,3,0)*0.475*44/12</f>
        <v>#N/A</v>
      </c>
      <c r="HH8" s="23" t="e">
        <f>EXP(-LN(2)/25)*HH7+(1-EXP(-LN(2)/25))/(LN(2)/25)*Calculateur!HC8*Calculateur!HE8*VLOOKUP('Données projet'!$B$18,Paramètres!$A$1:$I$88,3,0)*0.475*44/12</f>
        <v>#N/A</v>
      </c>
      <c r="HI8" s="23" t="e">
        <f>EXP(-LN(2)/2)*HI7+(1-EXP(-LN(2)/2))/(LN(2)/2)*HC8*HF8*VLOOKUP('Données projet'!$B$18,Paramètres!$A$1:$I$88,3,0)*0.475*44/12</f>
        <v>#N/A</v>
      </c>
      <c r="HJ8" s="24" t="e">
        <f t="shared" si="30"/>
        <v>#N/A</v>
      </c>
    </row>
    <row r="9" spans="1:218" s="5" customFormat="1" x14ac:dyDescent="0.35">
      <c r="A9" s="11">
        <f t="shared" si="31"/>
        <v>6</v>
      </c>
      <c r="B9" s="77">
        <f>'Scénario référence'!$B$16*5+'Scénario référence'!$B$17*0+'Scénario référence'!$B$18*5</f>
        <v>1.75</v>
      </c>
      <c r="C9" s="20">
        <f>Calculateur!C8+'Scénario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9" s="12">
        <f t="shared" si="3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6.416666666666667</v>
      </c>
      <c r="H9" s="70">
        <f t="shared" si="1"/>
        <v>231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62.122160427370176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10.119999999999999</v>
      </c>
      <c r="N9" s="14">
        <f>IF('Données projet'!$A$36&gt;35,N8+M9-V8,IF(A9&lt;'Données projet'!$A$36,$K$205^A9,IF(A9='Données projet'!$A$36,'Données projet'!$B$36,N8+M9-V8)))</f>
        <v>3.773539714605278</v>
      </c>
      <c r="O9" s="14">
        <f>N9*VLOOKUP('Données projet'!$B$9,Paramètres!$A$1:$I$88,3,0)*VLOOKUP('Données projet'!$B$9,Paramètres!$A$1:$I$88,5,0)</f>
        <v>2.1094087004643503</v>
      </c>
      <c r="P9" s="14">
        <f t="shared" si="33"/>
        <v>0.89121089794350827</v>
      </c>
      <c r="Q9" s="22">
        <f t="shared" si="2"/>
        <v>5.2260791338936876</v>
      </c>
      <c r="R9" s="62">
        <f t="shared" si="0"/>
        <v>240.3406673675843</v>
      </c>
      <c r="S9" s="62">
        <f ca="1">AVERAGE(OFFSET($R$3,0,0,'Données projet'!$E$9+1,1))-AVERAGE(OFFSET($H$3,0,0,'Données projet'!$E$9+1,1))</f>
        <v>341.05096821796769</v>
      </c>
      <c r="T9" s="62">
        <f t="shared" si="34"/>
        <v>400.72519822215168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projet'!$B$9,Paramètres!$A$1:$I$88,7,0))</f>
        <v>0</v>
      </c>
      <c r="X9" s="17">
        <f>IF(ISNA(VLOOKUP(A9,'Données projet'!$A$35:$I$55,6,0)),0%,VLOOKUP(A9,'Données projet'!$A$35:$I$55,6,0)*VLOOKUP('Données projet'!$B$9,Paramètres!$A$1:$I$88,7,0))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projet'!$B$9,Paramètres!$A$1:$I$88,3,0)*0.475*44/12</f>
        <v>0</v>
      </c>
      <c r="AA9" s="23">
        <f>EXP(-LN(2)/25)*AA8+(1-EXP(-LN(2)/25))/(LN(2)/25)*Calculateur!V9*Calculateur!X9*VLOOKUP('Données projet'!$B$9,Paramètres!$A$1:$I$88,3,0)*0.475*44/12</f>
        <v>0</v>
      </c>
      <c r="AB9" s="23">
        <f>EXP(-LN(2)/2)*AB8+(1-EXP(-LN(2)/2))/(LN(2)/2)*V9*Y9*VLOOKUP('Données projet'!$B$9,Paramètres!$A$1:$I$88,3,0)*0.475*44/12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62.122160427370176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3.6500000000000004</v>
      </c>
      <c r="AI9" s="14">
        <f>IF('Données projet'!$A$62&gt;35,AI8+AH9-AQ8,IF(A9&lt;'Données projet'!$A$62,$AF$205^A9,IF(A9='Données projet'!$A$62,'Données projet'!$B$62,AI8+AH9-AQ8)))</f>
        <v>4.5962624331234396</v>
      </c>
      <c r="AJ9" s="14">
        <f>AI9*VLOOKUP('Données projet'!$B$10,Paramètres!$A$1:$I$88,3,0)*VLOOKUP('Données projet'!$B$10,Paramètres!$A$1:$I$88,5,0)</f>
        <v>2.7485649350078174</v>
      </c>
      <c r="AK9" s="14">
        <f t="shared" si="35"/>
        <v>1.1260200610636375</v>
      </c>
      <c r="AL9" s="22">
        <f t="shared" si="4"/>
        <v>6.7482355348244516</v>
      </c>
      <c r="AM9" s="62">
        <f t="shared" si="5"/>
        <v>241.86282376851509</v>
      </c>
      <c r="AN9" s="62">
        <f ca="1">AVERAGE(OFFSET($AM$3,0,0,'Données projet'!$E$10+1,1))-AVERAGE(OFFSET($H$3,0,0,'Données projet'!$E$10+1,1))</f>
        <v>231.96474801342879</v>
      </c>
      <c r="AO9" s="62">
        <f t="shared" si="36"/>
        <v>237.75726086383668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projet'!$B$10,Paramètres!$A$1:$I$88,7,0))</f>
        <v>0</v>
      </c>
      <c r="AS9" s="17">
        <f>IF(ISNA(VLOOKUP(A9,'Données projet'!$A$61:$I$81,6,0)),0%,VLOOKUP(A9,'Données projet'!$A$61:$I$81,6,0)*VLOOKUP('Données projet'!$B$10,Paramètres!$A$1:$I$88,7,0))</f>
        <v>0</v>
      </c>
      <c r="AT9" s="17">
        <f>IF(ISNA(VLOOKUP(A9,'Données projet'!$A$61:$I$81,7,0)),0%,VLOOKUP(A9,'Données projet'!$A$61:$I$81,7,0))</f>
        <v>0</v>
      </c>
      <c r="AU9" s="23">
        <f>EXP(-LN(2)/35)*AU8+(1-EXP(-LN(2)/35))/(LN(2)/35)*AQ9*AR9*VLOOKUP('Données projet'!$B$10,Paramètres!$A$1:$I$88,3,0)*0.475*44/12</f>
        <v>0</v>
      </c>
      <c r="AV9" s="23">
        <f>EXP(-LN(2)/25)*AV8+(1-EXP(-LN(2)/25))/(LN(2)/25)*Calculateur!AQ9*Calculateur!AS9*VLOOKUP('Données projet'!$B$10,Paramètres!$A$1:$I$88,3,0)*0.475*44/12</f>
        <v>0</v>
      </c>
      <c r="AW9" s="23">
        <f>EXP(-LN(2)/2)*AW8+(1-EXP(-LN(2)/2))/(LN(2)/2)*AQ9*AT9*VLOOKUP('Données projet'!$B$10,Paramètres!$A$1:$I$88,3,0)*0.475*44/12</f>
        <v>0</v>
      </c>
      <c r="AX9" s="23">
        <f t="shared" si="6"/>
        <v>0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62.122160427370176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6.5217391304347823</v>
      </c>
      <c r="BD9" s="13">
        <f>IF('Données projet'!$A$88&gt;35,BD8+BC9-BL8,IF(A9&lt;'Données projet'!$A$88,$BA$205^A9,IF(A9='Données projet'!$A$88,'Données projet'!$B$88,BD8+BC9-BL8)))</f>
        <v>39.130434782608695</v>
      </c>
      <c r="BE9" s="14">
        <f>BD9*VLOOKUP('Données projet'!$B$11,Paramètres!$A$1:$I$88,3,0)*VLOOKUP('Données projet'!$B$11,Paramètres!$A$1:$I$88,5,0)</f>
        <v>18.31304347826087</v>
      </c>
      <c r="BF9" s="14">
        <f t="shared" si="37"/>
        <v>6.0162692749371383</v>
      </c>
      <c r="BG9" s="22">
        <f t="shared" si="7"/>
        <v>42.373553045153194</v>
      </c>
      <c r="BH9" s="62">
        <f t="shared" si="8"/>
        <v>277.48814127884384</v>
      </c>
      <c r="BI9" s="62">
        <f ca="1">AVERAGE(OFFSET($BH$3,0,0,'Données projet'!$E$11+1,1))-AVERAGE(OFFSET($H$3,0,0,'Données projet'!$E$11+1,1))</f>
        <v>364.96458059055169</v>
      </c>
      <c r="BJ9" s="62">
        <f t="shared" si="38"/>
        <v>246.27159120786257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projet'!$B$11,Paramètres!$A$1:$I$88,7,0))</f>
        <v>0</v>
      </c>
      <c r="BN9" s="17">
        <f>IF(ISNA(VLOOKUP(A9,'Données projet'!$A$87:$I$107,6,0)),0%,VLOOKUP(A9,'Données projet'!$A$87:$I$107,6,0)*VLOOKUP('Données projet'!$B$11,Paramètres!$A$1:$I$88,7,0))</f>
        <v>0</v>
      </c>
      <c r="BO9" s="17">
        <f>IF(ISNA(VLOOKUP(A9,'Données projet'!$A$87:$I$107,7,0)),0%,VLOOKUP(A9,'Données projet'!$A$87:$I$107,7,0))</f>
        <v>0</v>
      </c>
      <c r="BP9" s="23">
        <f>EXP(-LN(2)/35)*BP8+(1-EXP(-LN(2)/35))/(LN(2)/35)*BL9*BM9*VLOOKUP('Données projet'!$B$11,Paramètres!$A$1:$I$88,3,0)*0.475*44/12</f>
        <v>0</v>
      </c>
      <c r="BQ9" s="23">
        <f>EXP(-LN(2)/25)*BQ8+(1-EXP(-LN(2)/25))/(LN(2)/25)*Calculateur!BL9*Calculateur!BN9*VLOOKUP('Données projet'!$B$11,Paramètres!$A$1:$I$88,3,0)*0.475*44/12</f>
        <v>0</v>
      </c>
      <c r="BR9" s="23">
        <f>EXP(-LN(2)/2)*BR8+(1-EXP(-LN(2)/2))/(LN(2)/2)*BL9*BO9*VLOOKUP('Données projet'!$B$11,Paramètres!$A$1:$I$88,3,0)*0.475*44/12</f>
        <v>0</v>
      </c>
      <c r="BS9" s="24">
        <f t="shared" si="9"/>
        <v>0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62.122160427370176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4.1666667007873768</v>
      </c>
      <c r="BY9" s="13">
        <f>IF('Données projet'!$A$114&gt;35,BY8+BX9-CG8,IF(A9&lt;'Données projet'!$A$114,$BV$205^A9,IF(A9='Données projet'!$A$114,'Données projet'!$B$114,BY8+BX9-CG8)))</f>
        <v>25.000000204724262</v>
      </c>
      <c r="BZ9" s="14">
        <f>BY9*VLOOKUP('Données projet'!$B$12,Paramètres!$A$1:$I$88,3,0)*VLOOKUP('Données projet'!$B$12,Paramètres!$A$1:$I$88,5,0)</f>
        <v>25.350000207590401</v>
      </c>
      <c r="CA9" s="14">
        <f t="shared" si="39"/>
        <v>8.0187559636654928</v>
      </c>
      <c r="CB9" s="22">
        <f t="shared" si="10"/>
        <v>58.117250331604019</v>
      </c>
      <c r="CC9" s="62">
        <f t="shared" si="11"/>
        <v>293.23183856529465</v>
      </c>
      <c r="CD9" s="62">
        <f ca="1">AVERAGE(OFFSET($CC$3,0,0,'Données projet'!$E$12+1,1))-AVERAGE(OFFSET($H$3,0,0,'Données projet'!$E$12+1,1))</f>
        <v>310.53598044763282</v>
      </c>
      <c r="CE9" s="62">
        <f t="shared" si="40"/>
        <v>322.01096634040596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projet'!$B$12,Paramètres!$A$1:$I$88,7,0))</f>
        <v>0</v>
      </c>
      <c r="CI9" s="17">
        <f>IF(ISNA(VLOOKUP(A9,'Données projet'!$A$113:$I$133,6,0)),0%,VLOOKUP(A9,'Données projet'!$A$113:$I$133,6,0)*VLOOKUP('Données projet'!$B$12,Paramètres!$A$1:$I$88,7,0))</f>
        <v>0</v>
      </c>
      <c r="CJ9" s="17">
        <f>IF(ISNA(VLOOKUP(A9,'Données projet'!$A$113:$I$133,7,0)),0%,VLOOKUP(A9,'Données projet'!$A$113:$I$133,7,0))</f>
        <v>0</v>
      </c>
      <c r="CK9" s="23">
        <f>EXP(-LN(2)/35)*CK8+(1-EXP(-LN(2)/35))/(LN(2)/35)*CG9*CH9*VLOOKUP('Données projet'!$B$12,Paramètres!$A$1:$I$88,3,0)*0.475*44/12</f>
        <v>0</v>
      </c>
      <c r="CL9" s="23">
        <f>EXP(-LN(2)/25)*CL8+(1-EXP(-LN(2)/25))/(LN(2)/25)*Calculateur!CG9*Calculateur!CI9*VLOOKUP('Données projet'!$B$12,Paramètres!$A$1:$I$88,3,0)*0.475*44/12</f>
        <v>0</v>
      </c>
      <c r="CM9" s="23">
        <f>EXP(-LN(2)/2)*CM8+(1-EXP(-LN(2)/2))/(LN(2)/2)*CG9*CJ9*VLOOKUP('Données projet'!$B$12,Paramètres!$A$1:$I$88,3,0)*0.475*44/12</f>
        <v>0</v>
      </c>
      <c r="CN9" s="24">
        <f t="shared" si="12"/>
        <v>0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62.122160427370176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projet'!$B$13,Paramètres!$A$1:$I$88,3,0)*VLOOKUP('Données projet'!$B$13,Paramètres!$A$1:$I$88,5,0)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projet'!$B$13,Paramètres!$A$1:$I$88,7,0))</f>
        <v>0</v>
      </c>
      <c r="DD9" s="17">
        <f>IF(ISNA(VLOOKUP(A9,'Données projet'!$A$139:$I$159,6,0)),0%,VLOOKUP(A9,'Données projet'!$A$139:$I$159,6,0)*VLOOKUP('Données projet'!$B$13,Paramètres!$A$1:$I$88,7,0))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projet'!$B$13,Paramètres!$A$1:$I$88,3,0)*0.475*44/12</f>
        <v>#N/A</v>
      </c>
      <c r="DG9" s="23" t="e">
        <f>EXP(-LN(2)/25)*DG8+(1-EXP(-LN(2)/25))/(LN(2)/25)*Calculateur!DB9*Calculateur!DD9*VLOOKUP('Données projet'!$B$13,Paramètres!$A$1:$I$88,3,0)*0.475*44/12</f>
        <v>#N/A</v>
      </c>
      <c r="DH9" s="23" t="e">
        <f>EXP(-LN(2)/2)*DH8+(1-EXP(-LN(2)/2))/(LN(2)/2)*DB9*DE9*VLOOKUP('Données projet'!$B$13,Paramètres!$A$1:$I$88,3,0)*0.475*44/12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62.122160427370176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projet'!$B$14,Paramètres!$A$1:$I$88,3,0)*VLOOKUP('Données projet'!$B$14,Paramètres!$A$1:$I$88,5,0)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projet'!$B$14,Paramètres!$A$1:$I$88,7,0))</f>
        <v>0</v>
      </c>
      <c r="DY9" s="17">
        <f>IF(ISNA(VLOOKUP(A9,'Données projet'!$A$165:$I$185,6,0)),0%,VLOOKUP(A9,'Données projet'!$A$165:$I$185,6,0)*VLOOKUP('Données projet'!$B$14,Paramètres!$A$1:$I$88,7,0))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projet'!$B$14,Paramètres!$A$1:$I$88,3,0)*0.475*44/12</f>
        <v>#N/A</v>
      </c>
      <c r="EB9" s="23" t="e">
        <f>EXP(-LN(2)/25)*EB8+(1-EXP(-LN(2)/25))/(LN(2)/25)*Calculateur!DW9*Calculateur!DY9*VLOOKUP('Données projet'!$B$14,Paramètres!$A$1:$I$88,3,0)*0.475*44/12</f>
        <v>#N/A</v>
      </c>
      <c r="EC9" s="23" t="e">
        <f>EXP(-LN(2)/2)*EC8+(1-EXP(-LN(2)/2))/(LN(2)/2)*DW9*DZ9*VLOOKUP('Données projet'!$B$14,Paramètres!$A$1:$I$88,3,0)*0.475*44/12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62.122160427370176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projet'!$B$15,Paramètres!$A$1:$I$88,3,0)*VLOOKUP('Données projet'!$B$15,Paramètres!$A$1:$I$88,5,0)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projet'!$B$15,Paramètres!$A$1:$I$88,7,0))</f>
        <v>0</v>
      </c>
      <c r="ET9" s="17">
        <f>IF(ISNA(VLOOKUP(A9,'Données projet'!$A$191:$I$211,6,0)),0%,VLOOKUP(A9,'Données projet'!$A$191:$I$211,6,0)*VLOOKUP('Données projet'!$B$15,Paramètres!$A$1:$I$88,7,0))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projet'!$B$15,Paramètres!$A$1:$I$88,3,0)*0.475*44/12</f>
        <v>#N/A</v>
      </c>
      <c r="EW9" s="23" t="e">
        <f>EXP(-LN(2)/25)*EW8+(1-EXP(-LN(2)/25))/(LN(2)/25)*Calculateur!ER9*Calculateur!ET9*VLOOKUP('Données projet'!$B$15,Paramètres!$A$1:$I$88,3,0)*0.475*44/12</f>
        <v>#N/A</v>
      </c>
      <c r="EX9" s="23" t="e">
        <f>EXP(-LN(2)/2)*EX8+(1-EXP(-LN(2)/2))/(LN(2)/2)*ER9*EU9*VLOOKUP('Données projet'!$B$15,Paramètres!$A$1:$I$88,3,0)*0.475*44/12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62.122160427370176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projet'!$B$16,Paramètres!$A$1:$I$88,3,0)*VLOOKUP('Données projet'!$B$16,Paramètres!$A$1:$I$88,5,0)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projet'!$B$16,Paramètres!$A$1:$I$88,7,0))</f>
        <v>0</v>
      </c>
      <c r="FO9" s="17">
        <f>IF(ISNA(VLOOKUP(A9,'Données projet'!$A$217:$I$237,6,0)),0%,VLOOKUP(A9,'Données projet'!$A$217:$I$237,6,0)*VLOOKUP('Données projet'!$B$16,Paramètres!$A$1:$I$88,7,0))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projet'!$B$16,Paramètres!$A$1:$I$88,3,0)*0.475*44/12</f>
        <v>#N/A</v>
      </c>
      <c r="FR9" s="23" t="e">
        <f>EXP(-LN(2)/25)*FR8+(1-EXP(-LN(2)/25))/(LN(2)/25)*Calculateur!FM9*Calculateur!FO9*VLOOKUP('Données projet'!$B$16,Paramètres!$A$1:$I$88,3,0)*0.475*44/12</f>
        <v>#N/A</v>
      </c>
      <c r="FS9" s="23" t="e">
        <f>EXP(-LN(2)/2)*FS8+(1-EXP(-LN(2)/2))/(LN(2)/2)*FM9*FP9*VLOOKUP('Données projet'!$B$16,Paramètres!$A$1:$I$88,3,0)*0.475*44/12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62.122160427370176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projet'!$B$17,Paramètres!$A$1:$I$88,3,0)*VLOOKUP('Données projet'!$B$17,Paramètres!$A$1:$I$88,5,0)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projet'!$B$17,Paramètres!$A$1:$I$88,7,0))</f>
        <v>0</v>
      </c>
      <c r="GJ9" s="17">
        <f>IF(ISNA(VLOOKUP(A9,'Données projet'!$A$243:$I$263,6,0)),0%,VLOOKUP(A9,'Données projet'!$A$243:$I$263,6,0)*VLOOKUP('Données projet'!$B$17,Paramètres!$A$1:$I$88,7,0))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projet'!$B$17,Paramètres!$A$1:$I$88,3,0)*0.475*44/12</f>
        <v>#N/A</v>
      </c>
      <c r="GM9" s="23" t="e">
        <f>EXP(-LN(2)/25)*GM8+(1-EXP(-LN(2)/25))/(LN(2)/25)*Calculateur!GH9*Calculateur!GJ9*VLOOKUP('Données projet'!$B$17,Paramètres!$A$1:$I$88,3,0)*0.475*44/12</f>
        <v>#N/A</v>
      </c>
      <c r="GN9" s="23" t="e">
        <f>EXP(-LN(2)/2)*GN8+(1-EXP(-LN(2)/2))/(LN(2)/2)*GH9*GK9*VLOOKUP('Données projet'!$B$17,Paramètres!$A$1:$I$88,3,0)*0.475*44/12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62.122160427370176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projet'!$B$18,Paramètres!$A$1:$I$88,3,0)*VLOOKUP('Données projet'!$B$18,Paramètres!$A$1:$I$88,5,0)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projet'!$B$18,Paramètres!$A$1:$I$88,7,0))</f>
        <v>0</v>
      </c>
      <c r="HE9" s="17">
        <f>IF(ISNA(VLOOKUP(A9,'Données projet'!$A$269:$I$289,6,0)),0%,VLOOKUP(A9,'Données projet'!$A$269:$I$289,6,0)*VLOOKUP('Données projet'!$B$18,Paramètres!$A$1:$I$88,7,0))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projet'!$B$18,Paramètres!$A$1:$I$88,3,0)*0.475*44/12</f>
        <v>#N/A</v>
      </c>
      <c r="HH9" s="23" t="e">
        <f>EXP(-LN(2)/25)*HH8+(1-EXP(-LN(2)/25))/(LN(2)/25)*Calculateur!HC9*Calculateur!HE9*VLOOKUP('Données projet'!$B$18,Paramètres!$A$1:$I$88,3,0)*0.475*44/12</f>
        <v>#N/A</v>
      </c>
      <c r="HI9" s="23" t="e">
        <f>EXP(-LN(2)/2)*HI8+(1-EXP(-LN(2)/2))/(LN(2)/2)*HC9*HF9*VLOOKUP('Données projet'!$B$18,Paramètres!$A$1:$I$88,3,0)*0.475*44/12</f>
        <v>#N/A</v>
      </c>
      <c r="HJ9" s="24" t="e">
        <f t="shared" si="30"/>
        <v>#N/A</v>
      </c>
    </row>
    <row r="10" spans="1:218" s="5" customFormat="1" x14ac:dyDescent="0.35">
      <c r="A10" s="11">
        <f t="shared" si="31"/>
        <v>7</v>
      </c>
      <c r="B10" s="77">
        <f>'Scénario référence'!$B$16*5+'Scénario référence'!$B$17*0+'Scénario référence'!$B$18*5</f>
        <v>1.75</v>
      </c>
      <c r="C10" s="20">
        <f>Calculateur!C9+'Scénario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0" s="12">
        <f t="shared" si="3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6.416666666666667</v>
      </c>
      <c r="H10" s="70">
        <f t="shared" si="1"/>
        <v>231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62.258823331744523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10.119999999999999</v>
      </c>
      <c r="N10" s="14">
        <f>IF('Données projet'!$A$36&gt;35,N9+M10-V9,IF(A10&lt;'Données projet'!$A$36,$K$205^A10,IF(A10='Données projet'!$A$36,'Données projet'!$B$36,N9+M10-V9)))</f>
        <v>4.7084042812912932</v>
      </c>
      <c r="O10" s="14">
        <f>N10*VLOOKUP('Données projet'!$B$9,Paramètres!$A$1:$I$88,3,0)*VLOOKUP('Données projet'!$B$9,Paramètres!$A$1:$I$88,5,0)</f>
        <v>2.6319979932418329</v>
      </c>
      <c r="P10" s="14">
        <f t="shared" si="33"/>
        <v>1.0837182330282291</v>
      </c>
      <c r="Q10" s="22">
        <f t="shared" si="2"/>
        <v>6.4715390940870243</v>
      </c>
      <c r="R10" s="62">
        <f t="shared" si="0"/>
        <v>243.30944686603917</v>
      </c>
      <c r="S10" s="62">
        <f ca="1">AVERAGE(OFFSET($R$3,0,0,'Données projet'!$E$9+1,1))-AVERAGE(OFFSET($H$3,0,0,'Données projet'!$E$9+1,1))</f>
        <v>341.05096821796769</v>
      </c>
      <c r="T10" s="62">
        <f t="shared" si="34"/>
        <v>400.72519822215168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projet'!$B$9,Paramètres!$A$1:$I$88,7,0))</f>
        <v>0</v>
      </c>
      <c r="X10" s="17">
        <f>IF(ISNA(VLOOKUP(A10,'Données projet'!$A$35:$I$55,6,0)),0%,VLOOKUP(A10,'Données projet'!$A$35:$I$55,6,0)*VLOOKUP('Données projet'!$B$9,Paramètres!$A$1:$I$88,7,0))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projet'!$B$9,Paramètres!$A$1:$I$88,3,0)*0.475*44/12</f>
        <v>0</v>
      </c>
      <c r="AA10" s="23">
        <f>EXP(-LN(2)/25)*AA9+(1-EXP(-LN(2)/25))/(LN(2)/25)*Calculateur!V10*Calculateur!X10*VLOOKUP('Données projet'!$B$9,Paramètres!$A$1:$I$88,3,0)*0.475*44/12</f>
        <v>0</v>
      </c>
      <c r="AB10" s="23">
        <f>EXP(-LN(2)/2)*AB9+(1-EXP(-LN(2)/2))/(LN(2)/2)*V10*Y10*VLOOKUP('Données projet'!$B$9,Paramètres!$A$1:$I$88,3,0)*0.475*44/12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62.258823331744523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3.6500000000000004</v>
      </c>
      <c r="AI10" s="14">
        <f>IF('Données projet'!$A$62&gt;35,AI9+AH10-AQ9,IF(A10&lt;'Données projet'!$A$62,$AF$205^A10,IF(A10='Données projet'!$A$62,'Données projet'!$B$62,AI9+AH10-AQ9)))</f>
        <v>5.9266000535883014</v>
      </c>
      <c r="AJ10" s="14">
        <f>AI10*VLOOKUP('Données projet'!$B$10,Paramètres!$A$1:$I$88,3,0)*VLOOKUP('Données projet'!$B$10,Paramètres!$A$1:$I$88,5,0)</f>
        <v>3.5441068320458049</v>
      </c>
      <c r="AK10" s="14">
        <f t="shared" si="35"/>
        <v>1.4096012539737164</v>
      </c>
      <c r="AL10" s="22">
        <f t="shared" si="4"/>
        <v>8.6277082498173314</v>
      </c>
      <c r="AM10" s="62">
        <f t="shared" si="5"/>
        <v>245.46561602176945</v>
      </c>
      <c r="AN10" s="62">
        <f ca="1">AVERAGE(OFFSET($AM$3,0,0,'Données projet'!$E$10+1,1))-AVERAGE(OFFSET($H$3,0,0,'Données projet'!$E$10+1,1))</f>
        <v>231.96474801342879</v>
      </c>
      <c r="AO10" s="62">
        <f t="shared" si="36"/>
        <v>237.75726086383668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projet'!$B$10,Paramètres!$A$1:$I$88,7,0))</f>
        <v>0</v>
      </c>
      <c r="AS10" s="17">
        <f>IF(ISNA(VLOOKUP(A10,'Données projet'!$A$61:$I$81,6,0)),0%,VLOOKUP(A10,'Données projet'!$A$61:$I$81,6,0)*VLOOKUP('Données projet'!$B$10,Paramètres!$A$1:$I$88,7,0))</f>
        <v>0</v>
      </c>
      <c r="AT10" s="17">
        <f>IF(ISNA(VLOOKUP(A10,'Données projet'!$A$61:$I$81,7,0)),0%,VLOOKUP(A10,'Données projet'!$A$61:$I$81,7,0))</f>
        <v>0</v>
      </c>
      <c r="AU10" s="23">
        <f>EXP(-LN(2)/35)*AU9+(1-EXP(-LN(2)/35))/(LN(2)/35)*AQ10*AR10*VLOOKUP('Données projet'!$B$10,Paramètres!$A$1:$I$88,3,0)*0.475*44/12</f>
        <v>0</v>
      </c>
      <c r="AV10" s="23">
        <f>EXP(-LN(2)/25)*AV9+(1-EXP(-LN(2)/25))/(LN(2)/25)*Calculateur!AQ10*Calculateur!AS10*VLOOKUP('Données projet'!$B$10,Paramètres!$A$1:$I$88,3,0)*0.475*44/12</f>
        <v>0</v>
      </c>
      <c r="AW10" s="23">
        <f>EXP(-LN(2)/2)*AW9+(1-EXP(-LN(2)/2))/(LN(2)/2)*AQ10*AT10*VLOOKUP('Données projet'!$B$10,Paramètres!$A$1:$I$88,3,0)*0.475*44/12</f>
        <v>0</v>
      </c>
      <c r="AX10" s="23">
        <f t="shared" si="6"/>
        <v>0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62.258823331744523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6.5217391304347823</v>
      </c>
      <c r="BD10" s="13">
        <f>IF('Données projet'!$A$88&gt;35,BD9+BC10-BL9,IF(A10&lt;'Données projet'!$A$88,$BA$205^A10,IF(A10='Données projet'!$A$88,'Données projet'!$B$88,BD9+BC10-BL9)))</f>
        <v>45.652173913043477</v>
      </c>
      <c r="BE10" s="14">
        <f>BD10*VLOOKUP('Données projet'!$B$11,Paramètres!$A$1:$I$88,3,0)*VLOOKUP('Données projet'!$B$11,Paramètres!$A$1:$I$88,5,0)</f>
        <v>21.365217391304348</v>
      </c>
      <c r="BF10" s="14">
        <f t="shared" si="37"/>
        <v>6.8941614458806892</v>
      </c>
      <c r="BG10" s="22">
        <f t="shared" si="7"/>
        <v>49.218418141430611</v>
      </c>
      <c r="BH10" s="62">
        <f t="shared" si="8"/>
        <v>286.05632591338275</v>
      </c>
      <c r="BI10" s="62">
        <f ca="1">AVERAGE(OFFSET($BH$3,0,0,'Données projet'!$E$11+1,1))-AVERAGE(OFFSET($H$3,0,0,'Données projet'!$E$11+1,1))</f>
        <v>364.96458059055169</v>
      </c>
      <c r="BJ10" s="62">
        <f t="shared" si="38"/>
        <v>246.27159120786257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projet'!$B$11,Paramètres!$A$1:$I$88,7,0))</f>
        <v>0</v>
      </c>
      <c r="BN10" s="17">
        <f>IF(ISNA(VLOOKUP(A10,'Données projet'!$A$87:$I$107,6,0)),0%,VLOOKUP(A10,'Données projet'!$A$87:$I$107,6,0)*VLOOKUP('Données projet'!$B$11,Paramètres!$A$1:$I$88,7,0))</f>
        <v>0</v>
      </c>
      <c r="BO10" s="17">
        <f>IF(ISNA(VLOOKUP(A10,'Données projet'!$A$87:$I$107,7,0)),0%,VLOOKUP(A10,'Données projet'!$A$87:$I$107,7,0))</f>
        <v>0</v>
      </c>
      <c r="BP10" s="23">
        <f>EXP(-LN(2)/35)*BP9+(1-EXP(-LN(2)/35))/(LN(2)/35)*BL10*BM10*VLOOKUP('Données projet'!$B$11,Paramètres!$A$1:$I$88,3,0)*0.475*44/12</f>
        <v>0</v>
      </c>
      <c r="BQ10" s="23">
        <f>EXP(-LN(2)/25)*BQ9+(1-EXP(-LN(2)/25))/(LN(2)/25)*Calculateur!BL10*Calculateur!BN10*VLOOKUP('Données projet'!$B$11,Paramètres!$A$1:$I$88,3,0)*0.475*44/12</f>
        <v>0</v>
      </c>
      <c r="BR10" s="23">
        <f>EXP(-LN(2)/2)*BR9+(1-EXP(-LN(2)/2))/(LN(2)/2)*BL10*BO10*VLOOKUP('Données projet'!$B$11,Paramètres!$A$1:$I$88,3,0)*0.475*44/12</f>
        <v>0</v>
      </c>
      <c r="BS10" s="24">
        <f t="shared" si="9"/>
        <v>0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62.258823331744523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4.1666667007873768</v>
      </c>
      <c r="BY10" s="13">
        <f>IF('Données projet'!$A$114&gt;35,BY9+BX10-CG9,IF(A10&lt;'Données projet'!$A$114,$BV$205^A10,IF(A10='Données projet'!$A$114,'Données projet'!$B$114,BY9+BX10-CG9)))</f>
        <v>29.16666690551164</v>
      </c>
      <c r="BZ10" s="14">
        <f>BY10*VLOOKUP('Données projet'!$B$12,Paramètres!$A$1:$I$88,3,0)*VLOOKUP('Données projet'!$B$12,Paramètres!$A$1:$I$88,5,0)</f>
        <v>29.575000242188807</v>
      </c>
      <c r="CA10" s="14">
        <f t="shared" si="39"/>
        <v>9.1888503792420604</v>
      </c>
      <c r="CB10" s="22">
        <f t="shared" si="10"/>
        <v>67.513706498992107</v>
      </c>
      <c r="CC10" s="62">
        <f t="shared" si="11"/>
        <v>304.35161427094425</v>
      </c>
      <c r="CD10" s="62">
        <f ca="1">AVERAGE(OFFSET($CC$3,0,0,'Données projet'!$E$12+1,1))-AVERAGE(OFFSET($H$3,0,0,'Données projet'!$E$12+1,1))</f>
        <v>310.53598044763282</v>
      </c>
      <c r="CE10" s="62">
        <f t="shared" si="40"/>
        <v>322.01096634040596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projet'!$B$12,Paramètres!$A$1:$I$88,7,0))</f>
        <v>0</v>
      </c>
      <c r="CI10" s="17">
        <f>IF(ISNA(VLOOKUP(A10,'Données projet'!$A$113:$I$133,6,0)),0%,VLOOKUP(A10,'Données projet'!$A$113:$I$133,6,0)*VLOOKUP('Données projet'!$B$12,Paramètres!$A$1:$I$88,7,0))</f>
        <v>0</v>
      </c>
      <c r="CJ10" s="17">
        <f>IF(ISNA(VLOOKUP(A10,'Données projet'!$A$113:$I$133,7,0)),0%,VLOOKUP(A10,'Données projet'!$A$113:$I$133,7,0))</f>
        <v>0</v>
      </c>
      <c r="CK10" s="23">
        <f>EXP(-LN(2)/35)*CK9+(1-EXP(-LN(2)/35))/(LN(2)/35)*CG10*CH10*VLOOKUP('Données projet'!$B$12,Paramètres!$A$1:$I$88,3,0)*0.475*44/12</f>
        <v>0</v>
      </c>
      <c r="CL10" s="23">
        <f>EXP(-LN(2)/25)*CL9+(1-EXP(-LN(2)/25))/(LN(2)/25)*Calculateur!CG10*Calculateur!CI10*VLOOKUP('Données projet'!$B$12,Paramètres!$A$1:$I$88,3,0)*0.475*44/12</f>
        <v>0</v>
      </c>
      <c r="CM10" s="23">
        <f>EXP(-LN(2)/2)*CM9+(1-EXP(-LN(2)/2))/(LN(2)/2)*CG10*CJ10*VLOOKUP('Données projet'!$B$12,Paramètres!$A$1:$I$88,3,0)*0.475*44/12</f>
        <v>0</v>
      </c>
      <c r="CN10" s="24">
        <f t="shared" si="12"/>
        <v>0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62.258823331744523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projet'!$B$13,Paramètres!$A$1:$I$88,3,0)*VLOOKUP('Données projet'!$B$13,Paramètres!$A$1:$I$88,5,0)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projet'!$B$13,Paramètres!$A$1:$I$88,7,0))</f>
        <v>0</v>
      </c>
      <c r="DD10" s="17">
        <f>IF(ISNA(VLOOKUP(A10,'Données projet'!$A$139:$I$159,6,0)),0%,VLOOKUP(A10,'Données projet'!$A$139:$I$159,6,0)*VLOOKUP('Données projet'!$B$13,Paramètres!$A$1:$I$88,7,0))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projet'!$B$13,Paramètres!$A$1:$I$88,3,0)*0.475*44/12</f>
        <v>#N/A</v>
      </c>
      <c r="DG10" s="23" t="e">
        <f>EXP(-LN(2)/25)*DG9+(1-EXP(-LN(2)/25))/(LN(2)/25)*Calculateur!DB10*Calculateur!DD10*VLOOKUP('Données projet'!$B$13,Paramètres!$A$1:$I$88,3,0)*0.475*44/12</f>
        <v>#N/A</v>
      </c>
      <c r="DH10" s="23" t="e">
        <f>EXP(-LN(2)/2)*DH9+(1-EXP(-LN(2)/2))/(LN(2)/2)*DB10*DE10*VLOOKUP('Données projet'!$B$13,Paramètres!$A$1:$I$88,3,0)*0.475*44/12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62.258823331744523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projet'!$B$14,Paramètres!$A$1:$I$88,3,0)*VLOOKUP('Données projet'!$B$14,Paramètres!$A$1:$I$88,5,0)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projet'!$B$14,Paramètres!$A$1:$I$88,7,0))</f>
        <v>0</v>
      </c>
      <c r="DY10" s="17">
        <f>IF(ISNA(VLOOKUP(A10,'Données projet'!$A$165:$I$185,6,0)),0%,VLOOKUP(A10,'Données projet'!$A$165:$I$185,6,0)*VLOOKUP('Données projet'!$B$14,Paramètres!$A$1:$I$88,7,0))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projet'!$B$14,Paramètres!$A$1:$I$88,3,0)*0.475*44/12</f>
        <v>#N/A</v>
      </c>
      <c r="EB10" s="23" t="e">
        <f>EXP(-LN(2)/25)*EB9+(1-EXP(-LN(2)/25))/(LN(2)/25)*Calculateur!DW10*Calculateur!DY10*VLOOKUP('Données projet'!$B$14,Paramètres!$A$1:$I$88,3,0)*0.475*44/12</f>
        <v>#N/A</v>
      </c>
      <c r="EC10" s="23" t="e">
        <f>EXP(-LN(2)/2)*EC9+(1-EXP(-LN(2)/2))/(LN(2)/2)*DW10*DZ10*VLOOKUP('Données projet'!$B$14,Paramètres!$A$1:$I$88,3,0)*0.475*44/12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62.258823331744523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projet'!$B$15,Paramètres!$A$1:$I$88,3,0)*VLOOKUP('Données projet'!$B$15,Paramètres!$A$1:$I$88,5,0)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projet'!$B$15,Paramètres!$A$1:$I$88,7,0))</f>
        <v>0</v>
      </c>
      <c r="ET10" s="17">
        <f>IF(ISNA(VLOOKUP(A10,'Données projet'!$A$191:$I$211,6,0)),0%,VLOOKUP(A10,'Données projet'!$A$191:$I$211,6,0)*VLOOKUP('Données projet'!$B$15,Paramètres!$A$1:$I$88,7,0))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projet'!$B$15,Paramètres!$A$1:$I$88,3,0)*0.475*44/12</f>
        <v>#N/A</v>
      </c>
      <c r="EW10" s="23" t="e">
        <f>EXP(-LN(2)/25)*EW9+(1-EXP(-LN(2)/25))/(LN(2)/25)*Calculateur!ER10*Calculateur!ET10*VLOOKUP('Données projet'!$B$15,Paramètres!$A$1:$I$88,3,0)*0.475*44/12</f>
        <v>#N/A</v>
      </c>
      <c r="EX10" s="23" t="e">
        <f>EXP(-LN(2)/2)*EX9+(1-EXP(-LN(2)/2))/(LN(2)/2)*ER10*EU10*VLOOKUP('Données projet'!$B$15,Paramètres!$A$1:$I$88,3,0)*0.475*44/12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62.258823331744523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projet'!$B$16,Paramètres!$A$1:$I$88,3,0)*VLOOKUP('Données projet'!$B$16,Paramètres!$A$1:$I$88,5,0)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projet'!$B$16,Paramètres!$A$1:$I$88,7,0))</f>
        <v>0</v>
      </c>
      <c r="FO10" s="17">
        <f>IF(ISNA(VLOOKUP(A10,'Données projet'!$A$217:$I$237,6,0)),0%,VLOOKUP(A10,'Données projet'!$A$217:$I$237,6,0)*VLOOKUP('Données projet'!$B$16,Paramètres!$A$1:$I$88,7,0))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projet'!$B$16,Paramètres!$A$1:$I$88,3,0)*0.475*44/12</f>
        <v>#N/A</v>
      </c>
      <c r="FR10" s="23" t="e">
        <f>EXP(-LN(2)/25)*FR9+(1-EXP(-LN(2)/25))/(LN(2)/25)*Calculateur!FM10*Calculateur!FO10*VLOOKUP('Données projet'!$B$16,Paramètres!$A$1:$I$88,3,0)*0.475*44/12</f>
        <v>#N/A</v>
      </c>
      <c r="FS10" s="23" t="e">
        <f>EXP(-LN(2)/2)*FS9+(1-EXP(-LN(2)/2))/(LN(2)/2)*FM10*FP10*VLOOKUP('Données projet'!$B$16,Paramètres!$A$1:$I$88,3,0)*0.475*44/12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62.258823331744523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projet'!$B$17,Paramètres!$A$1:$I$88,3,0)*VLOOKUP('Données projet'!$B$17,Paramètres!$A$1:$I$88,5,0)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projet'!$B$17,Paramètres!$A$1:$I$88,7,0))</f>
        <v>0</v>
      </c>
      <c r="GJ10" s="17">
        <f>IF(ISNA(VLOOKUP(A10,'Données projet'!$A$243:$I$263,6,0)),0%,VLOOKUP(A10,'Données projet'!$A$243:$I$263,6,0)*VLOOKUP('Données projet'!$B$17,Paramètres!$A$1:$I$88,7,0))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projet'!$B$17,Paramètres!$A$1:$I$88,3,0)*0.475*44/12</f>
        <v>#N/A</v>
      </c>
      <c r="GM10" s="23" t="e">
        <f>EXP(-LN(2)/25)*GM9+(1-EXP(-LN(2)/25))/(LN(2)/25)*Calculateur!GH10*Calculateur!GJ10*VLOOKUP('Données projet'!$B$17,Paramètres!$A$1:$I$88,3,0)*0.475*44/12</f>
        <v>#N/A</v>
      </c>
      <c r="GN10" s="23" t="e">
        <f>EXP(-LN(2)/2)*GN9+(1-EXP(-LN(2)/2))/(LN(2)/2)*GH10*GK10*VLOOKUP('Données projet'!$B$17,Paramètres!$A$1:$I$88,3,0)*0.475*44/12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62.258823331744523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projet'!$B$18,Paramètres!$A$1:$I$88,3,0)*VLOOKUP('Données projet'!$B$18,Paramètres!$A$1:$I$88,5,0)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projet'!$B$18,Paramètres!$A$1:$I$88,7,0))</f>
        <v>0</v>
      </c>
      <c r="HE10" s="17">
        <f>IF(ISNA(VLOOKUP(A10,'Données projet'!$A$269:$I$289,6,0)),0%,VLOOKUP(A10,'Données projet'!$A$269:$I$289,6,0)*VLOOKUP('Données projet'!$B$18,Paramètres!$A$1:$I$88,7,0))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projet'!$B$18,Paramètres!$A$1:$I$88,3,0)*0.475*44/12</f>
        <v>#N/A</v>
      </c>
      <c r="HH10" s="23" t="e">
        <f>EXP(-LN(2)/25)*HH9+(1-EXP(-LN(2)/25))/(LN(2)/25)*Calculateur!HC10*Calculateur!HE10*VLOOKUP('Données projet'!$B$18,Paramètres!$A$1:$I$88,3,0)*0.475*44/12</f>
        <v>#N/A</v>
      </c>
      <c r="HI10" s="23" t="e">
        <f>EXP(-LN(2)/2)*HI9+(1-EXP(-LN(2)/2))/(LN(2)/2)*HC10*HF10*VLOOKUP('Données projet'!$B$18,Paramètres!$A$1:$I$88,3,0)*0.475*44/12</f>
        <v>#N/A</v>
      </c>
      <c r="HJ10" s="24" t="e">
        <f t="shared" si="30"/>
        <v>#N/A</v>
      </c>
    </row>
    <row r="11" spans="1:218" s="5" customFormat="1" x14ac:dyDescent="0.35">
      <c r="A11" s="11">
        <f t="shared" si="31"/>
        <v>8</v>
      </c>
      <c r="B11" s="77">
        <f>'Scénario référence'!$B$16*5+'Scénario référence'!$B$17*0+'Scénario référence'!$B$18*5</f>
        <v>1.75</v>
      </c>
      <c r="C11" s="20">
        <f>Calculateur!C10+'Scénario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1" s="12">
        <f t="shared" si="3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6.416666666666667</v>
      </c>
      <c r="H11" s="70">
        <f t="shared" si="1"/>
        <v>231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62.393115440260445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10.119999999999999</v>
      </c>
      <c r="N11" s="14">
        <f>IF('Données projet'!$A$36&gt;35,N10+M11-V10,IF(A11&lt;'Données projet'!$A$36,$K$205^A11,IF(A11='Données projet'!$A$36,'Données projet'!$B$36,N10+M11-V10)))</f>
        <v>5.8748741374784039</v>
      </c>
      <c r="O11" s="14">
        <f>N11*VLOOKUP('Données projet'!$B$9,Paramètres!$A$1:$I$88,3,0)*VLOOKUP('Données projet'!$B$9,Paramètres!$A$1:$I$88,5,0)</f>
        <v>3.2840546428504278</v>
      </c>
      <c r="P11" s="14">
        <f t="shared" si="33"/>
        <v>1.3178084012525983</v>
      </c>
      <c r="Q11" s="22">
        <f t="shared" si="2"/>
        <v>8.0149114684794363</v>
      </c>
      <c r="R11" s="62">
        <f t="shared" si="0"/>
        <v>246.56744586054555</v>
      </c>
      <c r="S11" s="62">
        <f ca="1">AVERAGE(OFFSET($R$3,0,0,'Données projet'!$E$9+1,1))-AVERAGE(OFFSET($H$3,0,0,'Données projet'!$E$9+1,1))</f>
        <v>341.05096821796769</v>
      </c>
      <c r="T11" s="62">
        <f t="shared" si="34"/>
        <v>400.72519822215168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projet'!$B$9,Paramètres!$A$1:$I$88,7,0))</f>
        <v>0</v>
      </c>
      <c r="X11" s="17">
        <f>IF(ISNA(VLOOKUP(A11,'Données projet'!$A$35:$I$55,6,0)),0%,VLOOKUP(A11,'Données projet'!$A$35:$I$55,6,0)*VLOOKUP('Données projet'!$B$9,Paramètres!$A$1:$I$88,7,0))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projet'!$B$9,Paramètres!$A$1:$I$88,3,0)*0.475*44/12</f>
        <v>0</v>
      </c>
      <c r="AA11" s="23">
        <f>EXP(-LN(2)/25)*AA10+(1-EXP(-LN(2)/25))/(LN(2)/25)*Calculateur!V11*Calculateur!X11*VLOOKUP('Données projet'!$B$9,Paramètres!$A$1:$I$88,3,0)*0.475*44/12</f>
        <v>0</v>
      </c>
      <c r="AB11" s="23">
        <f>EXP(-LN(2)/2)*AB10+(1-EXP(-LN(2)/2))/(LN(2)/2)*V11*Y11*VLOOKUP('Données projet'!$B$9,Paramètres!$A$1:$I$88,3,0)*0.475*44/12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62.393115440260445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3.6500000000000004</v>
      </c>
      <c r="AI11" s="14">
        <f>IF('Données projet'!$A$62&gt;35,AI10+AH11-AQ10,IF(A11&lt;'Données projet'!$A$62,$AF$205^A11,IF(A11='Données projet'!$A$62,'Données projet'!$B$62,AI10+AH11-AQ10)))</f>
        <v>7.6419892698171212</v>
      </c>
      <c r="AJ11" s="14">
        <f>AI11*VLOOKUP('Données projet'!$B$10,Paramètres!$A$1:$I$88,3,0)*VLOOKUP('Données projet'!$B$10,Paramètres!$A$1:$I$88,5,0)</f>
        <v>4.5699095833506389</v>
      </c>
      <c r="AK11" s="14">
        <f t="shared" si="35"/>
        <v>1.764600617618995</v>
      </c>
      <c r="AL11" s="22">
        <f t="shared" si="4"/>
        <v>11.032605266688778</v>
      </c>
      <c r="AM11" s="62">
        <f t="shared" si="5"/>
        <v>249.58513965875491</v>
      </c>
      <c r="AN11" s="62">
        <f ca="1">AVERAGE(OFFSET($AM$3,0,0,'Données projet'!$E$10+1,1))-AVERAGE(OFFSET($H$3,0,0,'Données projet'!$E$10+1,1))</f>
        <v>231.96474801342879</v>
      </c>
      <c r="AO11" s="62">
        <f t="shared" si="36"/>
        <v>237.75726086383668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projet'!$B$10,Paramètres!$A$1:$I$88,7,0))</f>
        <v>0</v>
      </c>
      <c r="AS11" s="17">
        <f>IF(ISNA(VLOOKUP(A11,'Données projet'!$A$61:$I$81,6,0)),0%,VLOOKUP(A11,'Données projet'!$A$61:$I$81,6,0)*VLOOKUP('Données projet'!$B$10,Paramètres!$A$1:$I$88,7,0))</f>
        <v>0</v>
      </c>
      <c r="AT11" s="17">
        <f>IF(ISNA(VLOOKUP(A11,'Données projet'!$A$61:$I$81,7,0)),0%,VLOOKUP(A11,'Données projet'!$A$61:$I$81,7,0))</f>
        <v>0</v>
      </c>
      <c r="AU11" s="23">
        <f>EXP(-LN(2)/35)*AU10+(1-EXP(-LN(2)/35))/(LN(2)/35)*AQ11*AR11*VLOOKUP('Données projet'!$B$10,Paramètres!$A$1:$I$88,3,0)*0.475*44/12</f>
        <v>0</v>
      </c>
      <c r="AV11" s="23">
        <f>EXP(-LN(2)/25)*AV10+(1-EXP(-LN(2)/25))/(LN(2)/25)*Calculateur!AQ11*Calculateur!AS11*VLOOKUP('Données projet'!$B$10,Paramètres!$A$1:$I$88,3,0)*0.475*44/12</f>
        <v>0</v>
      </c>
      <c r="AW11" s="23">
        <f>EXP(-LN(2)/2)*AW10+(1-EXP(-LN(2)/2))/(LN(2)/2)*AQ11*AT11*VLOOKUP('Données projet'!$B$10,Paramètres!$A$1:$I$88,3,0)*0.475*44/12</f>
        <v>0</v>
      </c>
      <c r="AX11" s="23">
        <f t="shared" si="6"/>
        <v>0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62.393115440260445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6.5217391304347823</v>
      </c>
      <c r="BD11" s="13">
        <f>IF('Données projet'!$A$88&gt;35,BD10+BC11-BL10,IF(A11&lt;'Données projet'!$A$88,$BA$205^A11,IF(A11='Données projet'!$A$88,'Données projet'!$B$88,BD10+BC11-BL10)))</f>
        <v>52.173913043478258</v>
      </c>
      <c r="BE11" s="14">
        <f>BD11*VLOOKUP('Données projet'!$B$11,Paramètres!$A$1:$I$88,3,0)*VLOOKUP('Données projet'!$B$11,Paramètres!$A$1:$I$88,5,0)</f>
        <v>24.417391304347824</v>
      </c>
      <c r="BF11" s="14">
        <f t="shared" si="37"/>
        <v>7.7575241050768193</v>
      </c>
      <c r="BG11" s="22">
        <f t="shared" si="7"/>
        <v>56.037977671414581</v>
      </c>
      <c r="BH11" s="62">
        <f t="shared" si="8"/>
        <v>294.59051206348067</v>
      </c>
      <c r="BI11" s="62">
        <f ca="1">AVERAGE(OFFSET($BH$3,0,0,'Données projet'!$E$11+1,1))-AVERAGE(OFFSET($H$3,0,0,'Données projet'!$E$11+1,1))</f>
        <v>364.96458059055169</v>
      </c>
      <c r="BJ11" s="62">
        <f t="shared" si="38"/>
        <v>246.27159120786257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projet'!$B$11,Paramètres!$A$1:$I$88,7,0))</f>
        <v>0</v>
      </c>
      <c r="BN11" s="17">
        <f>IF(ISNA(VLOOKUP(A11,'Données projet'!$A$87:$I$107,6,0)),0%,VLOOKUP(A11,'Données projet'!$A$87:$I$107,6,0)*VLOOKUP('Données projet'!$B$11,Paramètres!$A$1:$I$88,7,0))</f>
        <v>0</v>
      </c>
      <c r="BO11" s="17">
        <f>IF(ISNA(VLOOKUP(A11,'Données projet'!$A$87:$I$107,7,0)),0%,VLOOKUP(A11,'Données projet'!$A$87:$I$107,7,0))</f>
        <v>0</v>
      </c>
      <c r="BP11" s="23">
        <f>EXP(-LN(2)/35)*BP10+(1-EXP(-LN(2)/35))/(LN(2)/35)*BL11*BM11*VLOOKUP('Données projet'!$B$11,Paramètres!$A$1:$I$88,3,0)*0.475*44/12</f>
        <v>0</v>
      </c>
      <c r="BQ11" s="23">
        <f>EXP(-LN(2)/25)*BQ10+(1-EXP(-LN(2)/25))/(LN(2)/25)*Calculateur!BL11*Calculateur!BN11*VLOOKUP('Données projet'!$B$11,Paramètres!$A$1:$I$88,3,0)*0.475*44/12</f>
        <v>0</v>
      </c>
      <c r="BR11" s="23">
        <f>EXP(-LN(2)/2)*BR10+(1-EXP(-LN(2)/2))/(LN(2)/2)*BL11*BO11*VLOOKUP('Données projet'!$B$11,Paramètres!$A$1:$I$88,3,0)*0.475*44/12</f>
        <v>0</v>
      </c>
      <c r="BS11" s="24">
        <f t="shared" si="9"/>
        <v>0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62.393115440260445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4.1666667007873768</v>
      </c>
      <c r="BY11" s="13">
        <f>IF('Données projet'!$A$114&gt;35,BY10+BX11-CG10,IF(A11&lt;'Données projet'!$A$114,$BV$205^A11,IF(A11='Données projet'!$A$114,'Données projet'!$B$114,BY10+BX11-CG10)))</f>
        <v>33.333333606299014</v>
      </c>
      <c r="BZ11" s="14">
        <f>BY11*VLOOKUP('Données projet'!$B$12,Paramètres!$A$1:$I$88,3,0)*VLOOKUP('Données projet'!$B$12,Paramètres!$A$1:$I$88,5,0)</f>
        <v>33.800000276787209</v>
      </c>
      <c r="CA11" s="14">
        <f t="shared" si="39"/>
        <v>10.339579204009871</v>
      </c>
      <c r="CB11" s="22">
        <f t="shared" si="10"/>
        <v>76.876434262388244</v>
      </c>
      <c r="CC11" s="62">
        <f t="shared" si="11"/>
        <v>315.42896865445437</v>
      </c>
      <c r="CD11" s="62">
        <f ca="1">AVERAGE(OFFSET($CC$3,0,0,'Données projet'!$E$12+1,1))-AVERAGE(OFFSET($H$3,0,0,'Données projet'!$E$12+1,1))</f>
        <v>310.53598044763282</v>
      </c>
      <c r="CE11" s="62">
        <f t="shared" si="40"/>
        <v>322.01096634040596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projet'!$B$12,Paramètres!$A$1:$I$88,7,0))</f>
        <v>0</v>
      </c>
      <c r="CI11" s="17">
        <f>IF(ISNA(VLOOKUP(A11,'Données projet'!$A$113:$I$133,6,0)),0%,VLOOKUP(A11,'Données projet'!$A$113:$I$133,6,0)*VLOOKUP('Données projet'!$B$12,Paramètres!$A$1:$I$88,7,0))</f>
        <v>0</v>
      </c>
      <c r="CJ11" s="17">
        <f>IF(ISNA(VLOOKUP(A11,'Données projet'!$A$113:$I$133,7,0)),0%,VLOOKUP(A11,'Données projet'!$A$113:$I$133,7,0))</f>
        <v>0</v>
      </c>
      <c r="CK11" s="23">
        <f>EXP(-LN(2)/35)*CK10+(1-EXP(-LN(2)/35))/(LN(2)/35)*CG11*CH11*VLOOKUP('Données projet'!$B$12,Paramètres!$A$1:$I$88,3,0)*0.475*44/12</f>
        <v>0</v>
      </c>
      <c r="CL11" s="23">
        <f>EXP(-LN(2)/25)*CL10+(1-EXP(-LN(2)/25))/(LN(2)/25)*Calculateur!CG11*Calculateur!CI11*VLOOKUP('Données projet'!$B$12,Paramètres!$A$1:$I$88,3,0)*0.475*44/12</f>
        <v>0</v>
      </c>
      <c r="CM11" s="23">
        <f>EXP(-LN(2)/2)*CM10+(1-EXP(-LN(2)/2))/(LN(2)/2)*CG11*CJ11*VLOOKUP('Données projet'!$B$12,Paramètres!$A$1:$I$88,3,0)*0.475*44/12</f>
        <v>0</v>
      </c>
      <c r="CN11" s="24">
        <f t="shared" si="12"/>
        <v>0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62.393115440260445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projet'!$B$13,Paramètres!$A$1:$I$88,3,0)*VLOOKUP('Données projet'!$B$13,Paramètres!$A$1:$I$88,5,0)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projet'!$B$13,Paramètres!$A$1:$I$88,7,0))</f>
        <v>0</v>
      </c>
      <c r="DD11" s="17">
        <f>IF(ISNA(VLOOKUP(A11,'Données projet'!$A$139:$I$159,6,0)),0%,VLOOKUP(A11,'Données projet'!$A$139:$I$159,6,0)*VLOOKUP('Données projet'!$B$13,Paramètres!$A$1:$I$88,7,0))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projet'!$B$13,Paramètres!$A$1:$I$88,3,0)*0.475*44/12</f>
        <v>#N/A</v>
      </c>
      <c r="DG11" s="23" t="e">
        <f>EXP(-LN(2)/25)*DG10+(1-EXP(-LN(2)/25))/(LN(2)/25)*Calculateur!DB11*Calculateur!DD11*VLOOKUP('Données projet'!$B$13,Paramètres!$A$1:$I$88,3,0)*0.475*44/12</f>
        <v>#N/A</v>
      </c>
      <c r="DH11" s="23" t="e">
        <f>EXP(-LN(2)/2)*DH10+(1-EXP(-LN(2)/2))/(LN(2)/2)*DB11*DE11*VLOOKUP('Données projet'!$B$13,Paramètres!$A$1:$I$88,3,0)*0.475*44/12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62.393115440260445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projet'!$B$14,Paramètres!$A$1:$I$88,3,0)*VLOOKUP('Données projet'!$B$14,Paramètres!$A$1:$I$88,5,0)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projet'!$B$14,Paramètres!$A$1:$I$88,7,0))</f>
        <v>0</v>
      </c>
      <c r="DY11" s="17">
        <f>IF(ISNA(VLOOKUP(A11,'Données projet'!$A$165:$I$185,6,0)),0%,VLOOKUP(A11,'Données projet'!$A$165:$I$185,6,0)*VLOOKUP('Données projet'!$B$14,Paramètres!$A$1:$I$88,7,0))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projet'!$B$14,Paramètres!$A$1:$I$88,3,0)*0.475*44/12</f>
        <v>#N/A</v>
      </c>
      <c r="EB11" s="23" t="e">
        <f>EXP(-LN(2)/25)*EB10+(1-EXP(-LN(2)/25))/(LN(2)/25)*Calculateur!DW11*Calculateur!DY11*VLOOKUP('Données projet'!$B$14,Paramètres!$A$1:$I$88,3,0)*0.475*44/12</f>
        <v>#N/A</v>
      </c>
      <c r="EC11" s="23" t="e">
        <f>EXP(-LN(2)/2)*EC10+(1-EXP(-LN(2)/2))/(LN(2)/2)*DW11*DZ11*VLOOKUP('Données projet'!$B$14,Paramètres!$A$1:$I$88,3,0)*0.475*44/12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62.393115440260445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projet'!$B$15,Paramètres!$A$1:$I$88,3,0)*VLOOKUP('Données projet'!$B$15,Paramètres!$A$1:$I$88,5,0)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projet'!$B$15,Paramètres!$A$1:$I$88,7,0))</f>
        <v>0</v>
      </c>
      <c r="ET11" s="17">
        <f>IF(ISNA(VLOOKUP(A11,'Données projet'!$A$191:$I$211,6,0)),0%,VLOOKUP(A11,'Données projet'!$A$191:$I$211,6,0)*VLOOKUP('Données projet'!$B$15,Paramètres!$A$1:$I$88,7,0))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projet'!$B$15,Paramètres!$A$1:$I$88,3,0)*0.475*44/12</f>
        <v>#N/A</v>
      </c>
      <c r="EW11" s="23" t="e">
        <f>EXP(-LN(2)/25)*EW10+(1-EXP(-LN(2)/25))/(LN(2)/25)*Calculateur!ER11*Calculateur!ET11*VLOOKUP('Données projet'!$B$15,Paramètres!$A$1:$I$88,3,0)*0.475*44/12</f>
        <v>#N/A</v>
      </c>
      <c r="EX11" s="23" t="e">
        <f>EXP(-LN(2)/2)*EX10+(1-EXP(-LN(2)/2))/(LN(2)/2)*ER11*EU11*VLOOKUP('Données projet'!$B$15,Paramètres!$A$1:$I$88,3,0)*0.475*44/12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62.393115440260445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projet'!$B$16,Paramètres!$A$1:$I$88,3,0)*VLOOKUP('Données projet'!$B$16,Paramètres!$A$1:$I$88,5,0)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projet'!$B$16,Paramètres!$A$1:$I$88,7,0))</f>
        <v>0</v>
      </c>
      <c r="FO11" s="17">
        <f>IF(ISNA(VLOOKUP(A11,'Données projet'!$A$217:$I$237,6,0)),0%,VLOOKUP(A11,'Données projet'!$A$217:$I$237,6,0)*VLOOKUP('Données projet'!$B$16,Paramètres!$A$1:$I$88,7,0))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projet'!$B$16,Paramètres!$A$1:$I$88,3,0)*0.475*44/12</f>
        <v>#N/A</v>
      </c>
      <c r="FR11" s="23" t="e">
        <f>EXP(-LN(2)/25)*FR10+(1-EXP(-LN(2)/25))/(LN(2)/25)*Calculateur!FM11*Calculateur!FO11*VLOOKUP('Données projet'!$B$16,Paramètres!$A$1:$I$88,3,0)*0.475*44/12</f>
        <v>#N/A</v>
      </c>
      <c r="FS11" s="23" t="e">
        <f>EXP(-LN(2)/2)*FS10+(1-EXP(-LN(2)/2))/(LN(2)/2)*FM11*FP11*VLOOKUP('Données projet'!$B$16,Paramètres!$A$1:$I$88,3,0)*0.475*44/12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62.393115440260445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projet'!$B$17,Paramètres!$A$1:$I$88,3,0)*VLOOKUP('Données projet'!$B$17,Paramètres!$A$1:$I$88,5,0)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projet'!$B$17,Paramètres!$A$1:$I$88,7,0))</f>
        <v>0</v>
      </c>
      <c r="GJ11" s="17">
        <f>IF(ISNA(VLOOKUP(A11,'Données projet'!$A$243:$I$263,6,0)),0%,VLOOKUP(A11,'Données projet'!$A$243:$I$263,6,0)*VLOOKUP('Données projet'!$B$17,Paramètres!$A$1:$I$88,7,0))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projet'!$B$17,Paramètres!$A$1:$I$88,3,0)*0.475*44/12</f>
        <v>#N/A</v>
      </c>
      <c r="GM11" s="23" t="e">
        <f>EXP(-LN(2)/25)*GM10+(1-EXP(-LN(2)/25))/(LN(2)/25)*Calculateur!GH11*Calculateur!GJ11*VLOOKUP('Données projet'!$B$17,Paramètres!$A$1:$I$88,3,0)*0.475*44/12</f>
        <v>#N/A</v>
      </c>
      <c r="GN11" s="23" t="e">
        <f>EXP(-LN(2)/2)*GN10+(1-EXP(-LN(2)/2))/(LN(2)/2)*GH11*GK11*VLOOKUP('Données projet'!$B$17,Paramètres!$A$1:$I$88,3,0)*0.475*44/12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62.393115440260445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projet'!$B$18,Paramètres!$A$1:$I$88,3,0)*VLOOKUP('Données projet'!$B$18,Paramètres!$A$1:$I$88,5,0)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projet'!$B$18,Paramètres!$A$1:$I$88,7,0))</f>
        <v>0</v>
      </c>
      <c r="HE11" s="17">
        <f>IF(ISNA(VLOOKUP(A11,'Données projet'!$A$269:$I$289,6,0)),0%,VLOOKUP(A11,'Données projet'!$A$269:$I$289,6,0)*VLOOKUP('Données projet'!$B$18,Paramètres!$A$1:$I$88,7,0))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projet'!$B$18,Paramètres!$A$1:$I$88,3,0)*0.475*44/12</f>
        <v>#N/A</v>
      </c>
      <c r="HH11" s="23" t="e">
        <f>EXP(-LN(2)/25)*HH10+(1-EXP(-LN(2)/25))/(LN(2)/25)*Calculateur!HC11*Calculateur!HE11*VLOOKUP('Données projet'!$B$18,Paramètres!$A$1:$I$88,3,0)*0.475*44/12</f>
        <v>#N/A</v>
      </c>
      <c r="HI11" s="23" t="e">
        <f>EXP(-LN(2)/2)*HI10+(1-EXP(-LN(2)/2))/(LN(2)/2)*HC11*HF11*VLOOKUP('Données projet'!$B$18,Paramètres!$A$1:$I$88,3,0)*0.475*44/12</f>
        <v>#N/A</v>
      </c>
      <c r="HJ11" s="24" t="e">
        <f t="shared" si="30"/>
        <v>#N/A</v>
      </c>
    </row>
    <row r="12" spans="1:218" s="5" customFormat="1" x14ac:dyDescent="0.35">
      <c r="A12" s="11">
        <f t="shared" si="31"/>
        <v>9</v>
      </c>
      <c r="B12" s="77">
        <f>'Scénario référence'!$B$16*5+'Scénario référence'!$B$17*0+'Scénario référence'!$B$18*5</f>
        <v>1.75</v>
      </c>
      <c r="C12" s="20">
        <f>Calculateur!C11+'Scénario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2" s="12">
        <f t="shared" si="3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6.416666666666667</v>
      </c>
      <c r="H12" s="70">
        <f t="shared" si="1"/>
        <v>231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62.525077880925807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10.119999999999999</v>
      </c>
      <c r="N12" s="14">
        <f>IF('Données projet'!$A$36&gt;35,N11+M12-V11,IF(A12&lt;'Données projet'!$A$36,$K$205^A12,IF(A12='Données projet'!$A$36,'Données projet'!$B$36,N11+M12-V11)))</f>
        <v>7.3303276586408614</v>
      </c>
      <c r="O12" s="14">
        <f>N12*VLOOKUP('Données projet'!$B$9,Paramètres!$A$1:$I$88,3,0)*VLOOKUP('Données projet'!$B$9,Paramètres!$A$1:$I$88,5,0)</f>
        <v>4.0976531611802418</v>
      </c>
      <c r="P12" s="14">
        <f t="shared" si="33"/>
        <v>1.6024635643153309</v>
      </c>
      <c r="Q12" s="22">
        <f t="shared" si="2"/>
        <v>9.927703296904788</v>
      </c>
      <c r="R12" s="62">
        <f t="shared" si="0"/>
        <v>250.18632219363275</v>
      </c>
      <c r="S12" s="62">
        <f ca="1">AVERAGE(OFFSET($R$3,0,0,'Données projet'!$E$9+1,1))-AVERAGE(OFFSET($H$3,0,0,'Données projet'!$E$9+1,1))</f>
        <v>341.05096821796769</v>
      </c>
      <c r="T12" s="62">
        <f t="shared" si="34"/>
        <v>400.72519822215168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projet'!$B$9,Paramètres!$A$1:$I$88,7,0))</f>
        <v>0</v>
      </c>
      <c r="X12" s="17">
        <f>IF(ISNA(VLOOKUP(A12,'Données projet'!$A$35:$I$55,6,0)),0%,VLOOKUP(A12,'Données projet'!$A$35:$I$55,6,0)*VLOOKUP('Données projet'!$B$9,Paramètres!$A$1:$I$88,7,0))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projet'!$B$9,Paramètres!$A$1:$I$88,3,0)*0.475*44/12</f>
        <v>0</v>
      </c>
      <c r="AA12" s="23">
        <f>EXP(-LN(2)/25)*AA11+(1-EXP(-LN(2)/25))/(LN(2)/25)*Calculateur!V12*Calculateur!X12*VLOOKUP('Données projet'!$B$9,Paramètres!$A$1:$I$88,3,0)*0.475*44/12</f>
        <v>0</v>
      </c>
      <c r="AB12" s="23">
        <f>EXP(-LN(2)/2)*AB11+(1-EXP(-LN(2)/2))/(LN(2)/2)*V12*Y12*VLOOKUP('Données projet'!$B$9,Paramètres!$A$1:$I$88,3,0)*0.475*44/12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62.525077880925807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3.6500000000000004</v>
      </c>
      <c r="AI12" s="14">
        <f>IF('Données projet'!$A$62&gt;35,AI11+AH12-AQ11,IF(A12&lt;'Données projet'!$A$62,$AF$205^A12,IF(A12='Données projet'!$A$62,'Données projet'!$B$62,AI11+AH12-AQ11)))</f>
        <v>9.8538790321512124</v>
      </c>
      <c r="AJ12" s="14">
        <f>AI12*VLOOKUP('Données projet'!$B$10,Paramètres!$A$1:$I$88,3,0)*VLOOKUP('Données projet'!$B$10,Paramètres!$A$1:$I$88,5,0)</f>
        <v>5.8926196612264254</v>
      </c>
      <c r="AK12" s="14">
        <f t="shared" si="35"/>
        <v>2.2090043768926728</v>
      </c>
      <c r="AL12" s="22">
        <f t="shared" si="4"/>
        <v>14.110328533057428</v>
      </c>
      <c r="AM12" s="62">
        <f t="shared" si="5"/>
        <v>254.36894742978541</v>
      </c>
      <c r="AN12" s="62">
        <f ca="1">AVERAGE(OFFSET($AM$3,0,0,'Données projet'!$E$10+1,1))-AVERAGE(OFFSET($H$3,0,0,'Données projet'!$E$10+1,1))</f>
        <v>231.96474801342879</v>
      </c>
      <c r="AO12" s="62">
        <f t="shared" si="36"/>
        <v>237.75726086383668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projet'!$B$10,Paramètres!$A$1:$I$88,7,0))</f>
        <v>0</v>
      </c>
      <c r="AS12" s="17">
        <f>IF(ISNA(VLOOKUP(A12,'Données projet'!$A$61:$I$81,6,0)),0%,VLOOKUP(A12,'Données projet'!$A$61:$I$81,6,0)*VLOOKUP('Données projet'!$B$10,Paramètres!$A$1:$I$88,7,0))</f>
        <v>0</v>
      </c>
      <c r="AT12" s="17">
        <f>IF(ISNA(VLOOKUP(A12,'Données projet'!$A$61:$I$81,7,0)),0%,VLOOKUP(A12,'Données projet'!$A$61:$I$81,7,0))</f>
        <v>0</v>
      </c>
      <c r="AU12" s="23">
        <f>EXP(-LN(2)/35)*AU11+(1-EXP(-LN(2)/35))/(LN(2)/35)*AQ12*AR12*VLOOKUP('Données projet'!$B$10,Paramètres!$A$1:$I$88,3,0)*0.475*44/12</f>
        <v>0</v>
      </c>
      <c r="AV12" s="23">
        <f>EXP(-LN(2)/25)*AV11+(1-EXP(-LN(2)/25))/(LN(2)/25)*Calculateur!AQ12*Calculateur!AS12*VLOOKUP('Données projet'!$B$10,Paramètres!$A$1:$I$88,3,0)*0.475*44/12</f>
        <v>0</v>
      </c>
      <c r="AW12" s="23">
        <f>EXP(-LN(2)/2)*AW11+(1-EXP(-LN(2)/2))/(LN(2)/2)*AQ12*AT12*VLOOKUP('Données projet'!$B$10,Paramètres!$A$1:$I$88,3,0)*0.475*44/12</f>
        <v>0</v>
      </c>
      <c r="AX12" s="23">
        <f t="shared" si="6"/>
        <v>0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62.525077880925807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6.5217391304347823</v>
      </c>
      <c r="BD12" s="13">
        <f>IF('Données projet'!$A$88&gt;35,BD11+BC12-BL11,IF(A12&lt;'Données projet'!$A$88,$BA$205^A12,IF(A12='Données projet'!$A$88,'Données projet'!$B$88,BD11+BC12-BL11)))</f>
        <v>58.695652173913039</v>
      </c>
      <c r="BE12" s="14">
        <f>BD12*VLOOKUP('Données projet'!$B$11,Paramètres!$A$1:$I$88,3,0)*VLOOKUP('Données projet'!$B$11,Paramètres!$A$1:$I$88,5,0)</f>
        <v>27.469565217391299</v>
      </c>
      <c r="BF12" s="14">
        <f t="shared" si="37"/>
        <v>8.6083814422521865</v>
      </c>
      <c r="BG12" s="22">
        <f t="shared" si="7"/>
        <v>62.835757098879071</v>
      </c>
      <c r="BH12" s="62">
        <f t="shared" si="8"/>
        <v>303.09437599560704</v>
      </c>
      <c r="BI12" s="62">
        <f ca="1">AVERAGE(OFFSET($BH$3,0,0,'Données projet'!$E$11+1,1))-AVERAGE(OFFSET($H$3,0,0,'Données projet'!$E$11+1,1))</f>
        <v>364.96458059055169</v>
      </c>
      <c r="BJ12" s="62">
        <f t="shared" si="38"/>
        <v>246.27159120786257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projet'!$B$11,Paramètres!$A$1:$I$88,7,0))</f>
        <v>0</v>
      </c>
      <c r="BN12" s="17">
        <f>IF(ISNA(VLOOKUP(A12,'Données projet'!$A$87:$I$107,6,0)),0%,VLOOKUP(A12,'Données projet'!$A$87:$I$107,6,0)*VLOOKUP('Données projet'!$B$11,Paramètres!$A$1:$I$88,7,0))</f>
        <v>0</v>
      </c>
      <c r="BO12" s="17">
        <f>IF(ISNA(VLOOKUP(A12,'Données projet'!$A$87:$I$107,7,0)),0%,VLOOKUP(A12,'Données projet'!$A$87:$I$107,7,0))</f>
        <v>0</v>
      </c>
      <c r="BP12" s="23">
        <f>EXP(-LN(2)/35)*BP11+(1-EXP(-LN(2)/35))/(LN(2)/35)*BL12*BM12*VLOOKUP('Données projet'!$B$11,Paramètres!$A$1:$I$88,3,0)*0.475*44/12</f>
        <v>0</v>
      </c>
      <c r="BQ12" s="23">
        <f>EXP(-LN(2)/25)*BQ11+(1-EXP(-LN(2)/25))/(LN(2)/25)*Calculateur!BL12*Calculateur!BN12*VLOOKUP('Données projet'!$B$11,Paramètres!$A$1:$I$88,3,0)*0.475*44/12</f>
        <v>0</v>
      </c>
      <c r="BR12" s="23">
        <f>EXP(-LN(2)/2)*BR11+(1-EXP(-LN(2)/2))/(LN(2)/2)*BL12*BO12*VLOOKUP('Données projet'!$B$11,Paramètres!$A$1:$I$88,3,0)*0.475*44/12</f>
        <v>0</v>
      </c>
      <c r="BS12" s="24">
        <f t="shared" si="9"/>
        <v>0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62.525077880925807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4.1666667007873768</v>
      </c>
      <c r="BY12" s="13">
        <f>IF('Données projet'!$A$114&gt;35,BY11+BX12-CG11,IF(A12&lt;'Données projet'!$A$114,$BV$205^A12,IF(A12='Données projet'!$A$114,'Données projet'!$B$114,BY11+BX12-CG11)))</f>
        <v>37.500000307086388</v>
      </c>
      <c r="BZ12" s="14">
        <f>BY12*VLOOKUP('Données projet'!$B$12,Paramètres!$A$1:$I$88,3,0)*VLOOKUP('Données projet'!$B$12,Paramètres!$A$1:$I$88,5,0)</f>
        <v>38.025000311385597</v>
      </c>
      <c r="CA12" s="14">
        <f t="shared" si="39"/>
        <v>11.47364036964392</v>
      </c>
      <c r="CB12" s="22">
        <f t="shared" si="10"/>
        <v>86.210132519459719</v>
      </c>
      <c r="CC12" s="62">
        <f t="shared" si="11"/>
        <v>326.46875141618767</v>
      </c>
      <c r="CD12" s="62">
        <f ca="1">AVERAGE(OFFSET($CC$3,0,0,'Données projet'!$E$12+1,1))-AVERAGE(OFFSET($H$3,0,0,'Données projet'!$E$12+1,1))</f>
        <v>310.53598044763282</v>
      </c>
      <c r="CE12" s="62">
        <f t="shared" si="40"/>
        <v>322.01096634040596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projet'!$B$12,Paramètres!$A$1:$I$88,7,0))</f>
        <v>0</v>
      </c>
      <c r="CI12" s="17">
        <f>IF(ISNA(VLOOKUP(A12,'Données projet'!$A$113:$I$133,6,0)),0%,VLOOKUP(A12,'Données projet'!$A$113:$I$133,6,0)*VLOOKUP('Données projet'!$B$12,Paramètres!$A$1:$I$88,7,0))</f>
        <v>0</v>
      </c>
      <c r="CJ12" s="17">
        <f>IF(ISNA(VLOOKUP(A12,'Données projet'!$A$113:$I$133,7,0)),0%,VLOOKUP(A12,'Données projet'!$A$113:$I$133,7,0))</f>
        <v>0</v>
      </c>
      <c r="CK12" s="23">
        <f>EXP(-LN(2)/35)*CK11+(1-EXP(-LN(2)/35))/(LN(2)/35)*CG12*CH12*VLOOKUP('Données projet'!$B$12,Paramètres!$A$1:$I$88,3,0)*0.475*44/12</f>
        <v>0</v>
      </c>
      <c r="CL12" s="23">
        <f>EXP(-LN(2)/25)*CL11+(1-EXP(-LN(2)/25))/(LN(2)/25)*Calculateur!CG12*Calculateur!CI12*VLOOKUP('Données projet'!$B$12,Paramètres!$A$1:$I$88,3,0)*0.475*44/12</f>
        <v>0</v>
      </c>
      <c r="CM12" s="23">
        <f>EXP(-LN(2)/2)*CM11+(1-EXP(-LN(2)/2))/(LN(2)/2)*CG12*CJ12*VLOOKUP('Données projet'!$B$12,Paramètres!$A$1:$I$88,3,0)*0.475*44/12</f>
        <v>0</v>
      </c>
      <c r="CN12" s="24">
        <f t="shared" si="12"/>
        <v>0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62.525077880925807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projet'!$B$13,Paramètres!$A$1:$I$88,3,0)*VLOOKUP('Données projet'!$B$13,Paramètres!$A$1:$I$88,5,0)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projet'!$B$13,Paramètres!$A$1:$I$88,7,0))</f>
        <v>0</v>
      </c>
      <c r="DD12" s="17">
        <f>IF(ISNA(VLOOKUP(A12,'Données projet'!$A$139:$I$159,6,0)),0%,VLOOKUP(A12,'Données projet'!$A$139:$I$159,6,0)*VLOOKUP('Données projet'!$B$13,Paramètres!$A$1:$I$88,7,0))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projet'!$B$13,Paramètres!$A$1:$I$88,3,0)*0.475*44/12</f>
        <v>#N/A</v>
      </c>
      <c r="DG12" s="23" t="e">
        <f>EXP(-LN(2)/25)*DG11+(1-EXP(-LN(2)/25))/(LN(2)/25)*Calculateur!DB12*Calculateur!DD12*VLOOKUP('Données projet'!$B$13,Paramètres!$A$1:$I$88,3,0)*0.475*44/12</f>
        <v>#N/A</v>
      </c>
      <c r="DH12" s="23" t="e">
        <f>EXP(-LN(2)/2)*DH11+(1-EXP(-LN(2)/2))/(LN(2)/2)*DB12*DE12*VLOOKUP('Données projet'!$B$13,Paramètres!$A$1:$I$88,3,0)*0.475*44/12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62.525077880925807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projet'!$B$14,Paramètres!$A$1:$I$88,3,0)*VLOOKUP('Données projet'!$B$14,Paramètres!$A$1:$I$88,5,0)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projet'!$B$14,Paramètres!$A$1:$I$88,7,0))</f>
        <v>0</v>
      </c>
      <c r="DY12" s="17">
        <f>IF(ISNA(VLOOKUP(A12,'Données projet'!$A$165:$I$185,6,0)),0%,VLOOKUP(A12,'Données projet'!$A$165:$I$185,6,0)*VLOOKUP('Données projet'!$B$14,Paramètres!$A$1:$I$88,7,0))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projet'!$B$14,Paramètres!$A$1:$I$88,3,0)*0.475*44/12</f>
        <v>#N/A</v>
      </c>
      <c r="EB12" s="23" t="e">
        <f>EXP(-LN(2)/25)*EB11+(1-EXP(-LN(2)/25))/(LN(2)/25)*Calculateur!DW12*Calculateur!DY12*VLOOKUP('Données projet'!$B$14,Paramètres!$A$1:$I$88,3,0)*0.475*44/12</f>
        <v>#N/A</v>
      </c>
      <c r="EC12" s="23" t="e">
        <f>EXP(-LN(2)/2)*EC11+(1-EXP(-LN(2)/2))/(LN(2)/2)*DW12*DZ12*VLOOKUP('Données projet'!$B$14,Paramètres!$A$1:$I$88,3,0)*0.475*44/12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62.525077880925807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projet'!$B$15,Paramètres!$A$1:$I$88,3,0)*VLOOKUP('Données projet'!$B$15,Paramètres!$A$1:$I$88,5,0)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projet'!$B$15,Paramètres!$A$1:$I$88,7,0))</f>
        <v>0</v>
      </c>
      <c r="ET12" s="17">
        <f>IF(ISNA(VLOOKUP(A12,'Données projet'!$A$191:$I$211,6,0)),0%,VLOOKUP(A12,'Données projet'!$A$191:$I$211,6,0)*VLOOKUP('Données projet'!$B$15,Paramètres!$A$1:$I$88,7,0))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projet'!$B$15,Paramètres!$A$1:$I$88,3,0)*0.475*44/12</f>
        <v>#N/A</v>
      </c>
      <c r="EW12" s="23" t="e">
        <f>EXP(-LN(2)/25)*EW11+(1-EXP(-LN(2)/25))/(LN(2)/25)*Calculateur!ER12*Calculateur!ET12*VLOOKUP('Données projet'!$B$15,Paramètres!$A$1:$I$88,3,0)*0.475*44/12</f>
        <v>#N/A</v>
      </c>
      <c r="EX12" s="23" t="e">
        <f>EXP(-LN(2)/2)*EX11+(1-EXP(-LN(2)/2))/(LN(2)/2)*ER12*EU12*VLOOKUP('Données projet'!$B$15,Paramètres!$A$1:$I$88,3,0)*0.475*44/12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62.525077880925807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projet'!$B$16,Paramètres!$A$1:$I$88,3,0)*VLOOKUP('Données projet'!$B$16,Paramètres!$A$1:$I$88,5,0)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projet'!$B$16,Paramètres!$A$1:$I$88,7,0))</f>
        <v>0</v>
      </c>
      <c r="FO12" s="17">
        <f>IF(ISNA(VLOOKUP(A12,'Données projet'!$A$217:$I$237,6,0)),0%,VLOOKUP(A12,'Données projet'!$A$217:$I$237,6,0)*VLOOKUP('Données projet'!$B$16,Paramètres!$A$1:$I$88,7,0))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projet'!$B$16,Paramètres!$A$1:$I$88,3,0)*0.475*44/12</f>
        <v>#N/A</v>
      </c>
      <c r="FR12" s="23" t="e">
        <f>EXP(-LN(2)/25)*FR11+(1-EXP(-LN(2)/25))/(LN(2)/25)*Calculateur!FM12*Calculateur!FO12*VLOOKUP('Données projet'!$B$16,Paramètres!$A$1:$I$88,3,0)*0.475*44/12</f>
        <v>#N/A</v>
      </c>
      <c r="FS12" s="23" t="e">
        <f>EXP(-LN(2)/2)*FS11+(1-EXP(-LN(2)/2))/(LN(2)/2)*FM12*FP12*VLOOKUP('Données projet'!$B$16,Paramètres!$A$1:$I$88,3,0)*0.475*44/12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62.525077880925807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projet'!$B$17,Paramètres!$A$1:$I$88,3,0)*VLOOKUP('Données projet'!$B$17,Paramètres!$A$1:$I$88,5,0)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projet'!$B$17,Paramètres!$A$1:$I$88,7,0))</f>
        <v>0</v>
      </c>
      <c r="GJ12" s="17">
        <f>IF(ISNA(VLOOKUP(A12,'Données projet'!$A$243:$I$263,6,0)),0%,VLOOKUP(A12,'Données projet'!$A$243:$I$263,6,0)*VLOOKUP('Données projet'!$B$17,Paramètres!$A$1:$I$88,7,0))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projet'!$B$17,Paramètres!$A$1:$I$88,3,0)*0.475*44/12</f>
        <v>#N/A</v>
      </c>
      <c r="GM12" s="23" t="e">
        <f>EXP(-LN(2)/25)*GM11+(1-EXP(-LN(2)/25))/(LN(2)/25)*Calculateur!GH12*Calculateur!GJ12*VLOOKUP('Données projet'!$B$17,Paramètres!$A$1:$I$88,3,0)*0.475*44/12</f>
        <v>#N/A</v>
      </c>
      <c r="GN12" s="23" t="e">
        <f>EXP(-LN(2)/2)*GN11+(1-EXP(-LN(2)/2))/(LN(2)/2)*GH12*GK12*VLOOKUP('Données projet'!$B$17,Paramètres!$A$1:$I$88,3,0)*0.475*44/12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62.525077880925807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projet'!$B$18,Paramètres!$A$1:$I$88,3,0)*VLOOKUP('Données projet'!$B$18,Paramètres!$A$1:$I$88,5,0)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projet'!$B$18,Paramètres!$A$1:$I$88,7,0))</f>
        <v>0</v>
      </c>
      <c r="HE12" s="17">
        <f>IF(ISNA(VLOOKUP(A12,'Données projet'!$A$269:$I$289,6,0)),0%,VLOOKUP(A12,'Données projet'!$A$269:$I$289,6,0)*VLOOKUP('Données projet'!$B$18,Paramètres!$A$1:$I$88,7,0))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projet'!$B$18,Paramètres!$A$1:$I$88,3,0)*0.475*44/12</f>
        <v>#N/A</v>
      </c>
      <c r="HH12" s="23" t="e">
        <f>EXP(-LN(2)/25)*HH11+(1-EXP(-LN(2)/25))/(LN(2)/25)*Calculateur!HC12*Calculateur!HE12*VLOOKUP('Données projet'!$B$18,Paramètres!$A$1:$I$88,3,0)*0.475*44/12</f>
        <v>#N/A</v>
      </c>
      <c r="HI12" s="23" t="e">
        <f>EXP(-LN(2)/2)*HI11+(1-EXP(-LN(2)/2))/(LN(2)/2)*HC12*HF12*VLOOKUP('Données projet'!$B$18,Paramètres!$A$1:$I$88,3,0)*0.475*44/12</f>
        <v>#N/A</v>
      </c>
      <c r="HJ12" s="24" t="e">
        <f t="shared" si="30"/>
        <v>#N/A</v>
      </c>
    </row>
    <row r="13" spans="1:218" s="5" customFormat="1" x14ac:dyDescent="0.35">
      <c r="A13" s="11">
        <f t="shared" si="31"/>
        <v>10</v>
      </c>
      <c r="B13" s="77">
        <f>'Scénario référence'!$B$16*5+'Scénario référence'!$B$17*0+'Scénario référence'!$B$18*5</f>
        <v>1.75</v>
      </c>
      <c r="C13" s="20">
        <f>Calculateur!C12+'Scénario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3" s="12">
        <f t="shared" si="3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6.416666666666667</v>
      </c>
      <c r="H13" s="70">
        <f t="shared" si="1"/>
        <v>231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62.654751068269434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10.119999999999999</v>
      </c>
      <c r="N13" s="14">
        <f>IF('Données projet'!$A$36&gt;35,N12+M13-V12,IF(A13&lt;'Données projet'!$A$36,$K$205^A13,IF(A13='Données projet'!$A$36,'Données projet'!$B$36,N12+M13-V12)))</f>
        <v>9.1463582581700447</v>
      </c>
      <c r="O13" s="14">
        <f>N13*VLOOKUP('Données projet'!$B$9,Paramètres!$A$1:$I$88,3,0)*VLOOKUP('Données projet'!$B$9,Paramètres!$A$1:$I$88,5,0)</f>
        <v>5.1128142663170548</v>
      </c>
      <c r="P13" s="14">
        <f t="shared" si="33"/>
        <v>1.9486060891077752</v>
      </c>
      <c r="Q13" s="22">
        <f t="shared" si="2"/>
        <v>12.298640452364912</v>
      </c>
      <c r="R13" s="62">
        <f t="shared" si="0"/>
        <v>254.25494992490837</v>
      </c>
      <c r="S13" s="62">
        <f ca="1">AVERAGE(OFFSET($R$3,0,0,'Données projet'!$E$9+1,1))-AVERAGE(OFFSET($H$3,0,0,'Données projet'!$E$9+1,1))</f>
        <v>341.05096821796769</v>
      </c>
      <c r="T13" s="62">
        <f t="shared" si="34"/>
        <v>400.72519822215168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projet'!$B$9,Paramètres!$A$1:$I$88,7,0))</f>
        <v>0</v>
      </c>
      <c r="X13" s="17">
        <f>IF(ISNA(VLOOKUP(A13,'Données projet'!$A$35:$I$55,6,0)),0%,VLOOKUP(A13,'Données projet'!$A$35:$I$55,6,0)*VLOOKUP('Données projet'!$B$9,Paramètres!$A$1:$I$88,7,0))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projet'!$B$9,Paramètres!$A$1:$I$88,3,0)*0.475*44/12</f>
        <v>0</v>
      </c>
      <c r="AA13" s="23">
        <f>EXP(-LN(2)/25)*AA12+(1-EXP(-LN(2)/25))/(LN(2)/25)*Calculateur!V13*Calculateur!X13*VLOOKUP('Données projet'!$B$9,Paramètres!$A$1:$I$88,3,0)*0.475*44/12</f>
        <v>0</v>
      </c>
      <c r="AB13" s="23">
        <f>EXP(-LN(2)/2)*AB12+(1-EXP(-LN(2)/2))/(LN(2)/2)*V13*Y13*VLOOKUP('Données projet'!$B$9,Paramètres!$A$1:$I$88,3,0)*0.475*44/12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62.654751068269434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3.6500000000000004</v>
      </c>
      <c r="AI13" s="14">
        <f>IF('Données projet'!$A$62&gt;35,AI12+AH13-AQ12,IF(A13&lt;'Données projet'!$A$62,$AF$205^A13,IF(A13='Données projet'!$A$62,'Données projet'!$B$62,AI12+AH13-AQ12)))</f>
        <v>12.705975964108227</v>
      </c>
      <c r="AJ13" s="14">
        <f>AI13*VLOOKUP('Données projet'!$B$10,Paramètres!$A$1:$I$88,3,0)*VLOOKUP('Données projet'!$B$10,Paramètres!$A$1:$I$88,5,0)</f>
        <v>7.5981736265367195</v>
      </c>
      <c r="AK13" s="14">
        <f t="shared" si="35"/>
        <v>2.7653284762618107</v>
      </c>
      <c r="AL13" s="22">
        <f t="shared" si="4"/>
        <v>18.049766162374109</v>
      </c>
      <c r="AM13" s="62">
        <f t="shared" si="5"/>
        <v>260.00607563491758</v>
      </c>
      <c r="AN13" s="62">
        <f ca="1">AVERAGE(OFFSET($AM$3,0,0,'Données projet'!$E$10+1,1))-AVERAGE(OFFSET($H$3,0,0,'Données projet'!$E$10+1,1))</f>
        <v>231.96474801342879</v>
      </c>
      <c r="AO13" s="62">
        <f t="shared" si="36"/>
        <v>237.75726086383668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projet'!$B$10,Paramètres!$A$1:$I$88,7,0))</f>
        <v>0</v>
      </c>
      <c r="AS13" s="17">
        <f>IF(ISNA(VLOOKUP(A13,'Données projet'!$A$61:$I$81,6,0)),0%,VLOOKUP(A13,'Données projet'!$A$61:$I$81,6,0)*VLOOKUP('Données projet'!$B$10,Paramètres!$A$1:$I$88,7,0))</f>
        <v>0</v>
      </c>
      <c r="AT13" s="17">
        <f>IF(ISNA(VLOOKUP(A13,'Données projet'!$A$61:$I$81,7,0)),0%,VLOOKUP(A13,'Données projet'!$A$61:$I$81,7,0))</f>
        <v>0</v>
      </c>
      <c r="AU13" s="23">
        <f>EXP(-LN(2)/35)*AU12+(1-EXP(-LN(2)/35))/(LN(2)/35)*AQ13*AR13*VLOOKUP('Données projet'!$B$10,Paramètres!$A$1:$I$88,3,0)*0.475*44/12</f>
        <v>0</v>
      </c>
      <c r="AV13" s="23">
        <f>EXP(-LN(2)/25)*AV12+(1-EXP(-LN(2)/25))/(LN(2)/25)*Calculateur!AQ13*Calculateur!AS13*VLOOKUP('Données projet'!$B$10,Paramètres!$A$1:$I$88,3,0)*0.475*44/12</f>
        <v>0</v>
      </c>
      <c r="AW13" s="23">
        <f>EXP(-LN(2)/2)*AW12+(1-EXP(-LN(2)/2))/(LN(2)/2)*AQ13*AT13*VLOOKUP('Données projet'!$B$10,Paramètres!$A$1:$I$88,3,0)*0.475*44/12</f>
        <v>0</v>
      </c>
      <c r="AX13" s="23">
        <f t="shared" si="6"/>
        <v>0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62.654751068269434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6.5217391304347823</v>
      </c>
      <c r="BD13" s="13">
        <f>IF('Données projet'!$A$88&gt;35,BD12+BC13-BL12,IF(A13&lt;'Données projet'!$A$88,$BA$205^A13,IF(A13='Données projet'!$A$88,'Données projet'!$B$88,BD12+BC13-BL12)))</f>
        <v>65.217391304347828</v>
      </c>
      <c r="BE13" s="14">
        <f>BD13*VLOOKUP('Données projet'!$B$11,Paramètres!$A$1:$I$88,3,0)*VLOOKUP('Données projet'!$B$11,Paramètres!$A$1:$I$88,5,0)</f>
        <v>30.521739130434785</v>
      </c>
      <c r="BF13" s="14">
        <f t="shared" si="37"/>
        <v>9.4482814384488254</v>
      </c>
      <c r="BG13" s="22">
        <f t="shared" si="7"/>
        <v>69.614452490805618</v>
      </c>
      <c r="BH13" s="62">
        <f t="shared" si="8"/>
        <v>311.57076196334907</v>
      </c>
      <c r="BI13" s="62">
        <f ca="1">AVERAGE(OFFSET($BH$3,0,0,'Données projet'!$E$11+1,1))-AVERAGE(OFFSET($H$3,0,0,'Données projet'!$E$11+1,1))</f>
        <v>364.96458059055169</v>
      </c>
      <c r="BJ13" s="62">
        <f t="shared" si="38"/>
        <v>246.27159120786257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projet'!$B$11,Paramètres!$A$1:$I$88,7,0))</f>
        <v>0</v>
      </c>
      <c r="BN13" s="17">
        <f>IF(ISNA(VLOOKUP(A13,'Données projet'!$A$87:$I$107,6,0)),0%,VLOOKUP(A13,'Données projet'!$A$87:$I$107,6,0)*VLOOKUP('Données projet'!$B$11,Paramètres!$A$1:$I$88,7,0))</f>
        <v>0</v>
      </c>
      <c r="BO13" s="17">
        <f>IF(ISNA(VLOOKUP(A13,'Données projet'!$A$87:$I$107,7,0)),0%,VLOOKUP(A13,'Données projet'!$A$87:$I$107,7,0))</f>
        <v>0</v>
      </c>
      <c r="BP13" s="23">
        <f>EXP(-LN(2)/35)*BP12+(1-EXP(-LN(2)/35))/(LN(2)/35)*BL13*BM13*VLOOKUP('Données projet'!$B$11,Paramètres!$A$1:$I$88,3,0)*0.475*44/12</f>
        <v>0</v>
      </c>
      <c r="BQ13" s="23">
        <f>EXP(-LN(2)/25)*BQ12+(1-EXP(-LN(2)/25))/(LN(2)/25)*Calculateur!BL13*Calculateur!BN13*VLOOKUP('Données projet'!$B$11,Paramètres!$A$1:$I$88,3,0)*0.475*44/12</f>
        <v>0</v>
      </c>
      <c r="BR13" s="23">
        <f>EXP(-LN(2)/2)*BR12+(1-EXP(-LN(2)/2))/(LN(2)/2)*BL13*BO13*VLOOKUP('Données projet'!$B$11,Paramètres!$A$1:$I$88,3,0)*0.475*44/12</f>
        <v>0</v>
      </c>
      <c r="BS13" s="24">
        <f t="shared" si="9"/>
        <v>0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62.654751068269434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4.1666667007873768</v>
      </c>
      <c r="BY13" s="13">
        <f>IF('Données projet'!$A$114&gt;35,BY12+BX13-CG12,IF(A13&lt;'Données projet'!$A$114,$BV$205^A13,IF(A13='Données projet'!$A$114,'Données projet'!$B$114,BY12+BX13-CG12)))</f>
        <v>41.666667007873762</v>
      </c>
      <c r="BZ13" s="14">
        <f>BY13*VLOOKUP('Données projet'!$B$12,Paramètres!$A$1:$I$88,3,0)*VLOOKUP('Données projet'!$B$12,Paramètres!$A$1:$I$88,5,0)</f>
        <v>42.250000345983999</v>
      </c>
      <c r="CA13" s="14">
        <f t="shared" si="39"/>
        <v>12.593097095332906</v>
      </c>
      <c r="CB13" s="22">
        <f t="shared" si="10"/>
        <v>95.518394710293606</v>
      </c>
      <c r="CC13" s="62">
        <f t="shared" si="11"/>
        <v>337.47470418283706</v>
      </c>
      <c r="CD13" s="62">
        <f ca="1">AVERAGE(OFFSET($CC$3,0,0,'Données projet'!$E$12+1,1))-AVERAGE(OFFSET($H$3,0,0,'Données projet'!$E$12+1,1))</f>
        <v>310.53598044763282</v>
      </c>
      <c r="CE13" s="62">
        <f t="shared" si="40"/>
        <v>322.01096634040596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projet'!$B$12,Paramètres!$A$1:$I$88,7,0))</f>
        <v>0</v>
      </c>
      <c r="CI13" s="17">
        <f>IF(ISNA(VLOOKUP(A13,'Données projet'!$A$113:$I$133,6,0)),0%,VLOOKUP(A13,'Données projet'!$A$113:$I$133,6,0)*VLOOKUP('Données projet'!$B$12,Paramètres!$A$1:$I$88,7,0))</f>
        <v>0</v>
      </c>
      <c r="CJ13" s="17">
        <f>IF(ISNA(VLOOKUP(A13,'Données projet'!$A$113:$I$133,7,0)),0%,VLOOKUP(A13,'Données projet'!$A$113:$I$133,7,0))</f>
        <v>0</v>
      </c>
      <c r="CK13" s="23">
        <f>EXP(-LN(2)/35)*CK12+(1-EXP(-LN(2)/35))/(LN(2)/35)*CG13*CH13*VLOOKUP('Données projet'!$B$12,Paramètres!$A$1:$I$88,3,0)*0.475*44/12</f>
        <v>0</v>
      </c>
      <c r="CL13" s="23">
        <f>EXP(-LN(2)/25)*CL12+(1-EXP(-LN(2)/25))/(LN(2)/25)*Calculateur!CG13*Calculateur!CI13*VLOOKUP('Données projet'!$B$12,Paramètres!$A$1:$I$88,3,0)*0.475*44/12</f>
        <v>0</v>
      </c>
      <c r="CM13" s="23">
        <f>EXP(-LN(2)/2)*CM12+(1-EXP(-LN(2)/2))/(LN(2)/2)*CG13*CJ13*VLOOKUP('Données projet'!$B$12,Paramètres!$A$1:$I$88,3,0)*0.475*44/12</f>
        <v>0</v>
      </c>
      <c r="CN13" s="24">
        <f t="shared" si="12"/>
        <v>0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62.654751068269434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projet'!$B$13,Paramètres!$A$1:$I$88,3,0)*VLOOKUP('Données projet'!$B$13,Paramètres!$A$1:$I$88,5,0)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projet'!$B$13,Paramètres!$A$1:$I$88,7,0))</f>
        <v>0</v>
      </c>
      <c r="DD13" s="17">
        <f>IF(ISNA(VLOOKUP(A13,'Données projet'!$A$139:$I$159,6,0)),0%,VLOOKUP(A13,'Données projet'!$A$139:$I$159,6,0)*VLOOKUP('Données projet'!$B$13,Paramètres!$A$1:$I$88,7,0))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projet'!$B$13,Paramètres!$A$1:$I$88,3,0)*0.475*44/12</f>
        <v>#N/A</v>
      </c>
      <c r="DG13" s="23" t="e">
        <f>EXP(-LN(2)/25)*DG12+(1-EXP(-LN(2)/25))/(LN(2)/25)*Calculateur!DB13*Calculateur!DD13*VLOOKUP('Données projet'!$B$13,Paramètres!$A$1:$I$88,3,0)*0.475*44/12</f>
        <v>#N/A</v>
      </c>
      <c r="DH13" s="23" t="e">
        <f>EXP(-LN(2)/2)*DH12+(1-EXP(-LN(2)/2))/(LN(2)/2)*DB13*DE13*VLOOKUP('Données projet'!$B$13,Paramètres!$A$1:$I$88,3,0)*0.475*44/12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62.654751068269434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projet'!$B$14,Paramètres!$A$1:$I$88,3,0)*VLOOKUP('Données projet'!$B$14,Paramètres!$A$1:$I$88,5,0)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projet'!$B$14,Paramètres!$A$1:$I$88,7,0))</f>
        <v>0</v>
      </c>
      <c r="DY13" s="17">
        <f>IF(ISNA(VLOOKUP(A13,'Données projet'!$A$165:$I$185,6,0)),0%,VLOOKUP(A13,'Données projet'!$A$165:$I$185,6,0)*VLOOKUP('Données projet'!$B$14,Paramètres!$A$1:$I$88,7,0))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projet'!$B$14,Paramètres!$A$1:$I$88,3,0)*0.475*44/12</f>
        <v>#N/A</v>
      </c>
      <c r="EB13" s="23" t="e">
        <f>EXP(-LN(2)/25)*EB12+(1-EXP(-LN(2)/25))/(LN(2)/25)*Calculateur!DW13*Calculateur!DY13*VLOOKUP('Données projet'!$B$14,Paramètres!$A$1:$I$88,3,0)*0.475*44/12</f>
        <v>#N/A</v>
      </c>
      <c r="EC13" s="23" t="e">
        <f>EXP(-LN(2)/2)*EC12+(1-EXP(-LN(2)/2))/(LN(2)/2)*DW13*DZ13*VLOOKUP('Données projet'!$B$14,Paramètres!$A$1:$I$88,3,0)*0.475*44/12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62.654751068269434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projet'!$B$15,Paramètres!$A$1:$I$88,3,0)*VLOOKUP('Données projet'!$B$15,Paramètres!$A$1:$I$88,5,0)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projet'!$B$15,Paramètres!$A$1:$I$88,7,0))</f>
        <v>0</v>
      </c>
      <c r="ET13" s="17">
        <f>IF(ISNA(VLOOKUP(A13,'Données projet'!$A$191:$I$211,6,0)),0%,VLOOKUP(A13,'Données projet'!$A$191:$I$211,6,0)*VLOOKUP('Données projet'!$B$15,Paramètres!$A$1:$I$88,7,0))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projet'!$B$15,Paramètres!$A$1:$I$88,3,0)*0.475*44/12</f>
        <v>#N/A</v>
      </c>
      <c r="EW13" s="23" t="e">
        <f>EXP(-LN(2)/25)*EW12+(1-EXP(-LN(2)/25))/(LN(2)/25)*Calculateur!ER13*Calculateur!ET13*VLOOKUP('Données projet'!$B$15,Paramètres!$A$1:$I$88,3,0)*0.475*44/12</f>
        <v>#N/A</v>
      </c>
      <c r="EX13" s="23" t="e">
        <f>EXP(-LN(2)/2)*EX12+(1-EXP(-LN(2)/2))/(LN(2)/2)*ER13*EU13*VLOOKUP('Données projet'!$B$15,Paramètres!$A$1:$I$88,3,0)*0.475*44/12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62.654751068269434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projet'!$B$16,Paramètres!$A$1:$I$88,3,0)*VLOOKUP('Données projet'!$B$16,Paramètres!$A$1:$I$88,5,0)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projet'!$B$16,Paramètres!$A$1:$I$88,7,0))</f>
        <v>0</v>
      </c>
      <c r="FO13" s="17">
        <f>IF(ISNA(VLOOKUP(A13,'Données projet'!$A$217:$I$237,6,0)),0%,VLOOKUP(A13,'Données projet'!$A$217:$I$237,6,0)*VLOOKUP('Données projet'!$B$16,Paramètres!$A$1:$I$88,7,0))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projet'!$B$16,Paramètres!$A$1:$I$88,3,0)*0.475*44/12</f>
        <v>#N/A</v>
      </c>
      <c r="FR13" s="23" t="e">
        <f>EXP(-LN(2)/25)*FR12+(1-EXP(-LN(2)/25))/(LN(2)/25)*Calculateur!FM13*Calculateur!FO13*VLOOKUP('Données projet'!$B$16,Paramètres!$A$1:$I$88,3,0)*0.475*44/12</f>
        <v>#N/A</v>
      </c>
      <c r="FS13" s="23" t="e">
        <f>EXP(-LN(2)/2)*FS12+(1-EXP(-LN(2)/2))/(LN(2)/2)*FM13*FP13*VLOOKUP('Données projet'!$B$16,Paramètres!$A$1:$I$88,3,0)*0.475*44/12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62.654751068269434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projet'!$B$17,Paramètres!$A$1:$I$88,3,0)*VLOOKUP('Données projet'!$B$17,Paramètres!$A$1:$I$88,5,0)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projet'!$B$17,Paramètres!$A$1:$I$88,7,0))</f>
        <v>0</v>
      </c>
      <c r="GJ13" s="17">
        <f>IF(ISNA(VLOOKUP(A13,'Données projet'!$A$243:$I$263,6,0)),0%,VLOOKUP(A13,'Données projet'!$A$243:$I$263,6,0)*VLOOKUP('Données projet'!$B$17,Paramètres!$A$1:$I$88,7,0))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projet'!$B$17,Paramètres!$A$1:$I$88,3,0)*0.475*44/12</f>
        <v>#N/A</v>
      </c>
      <c r="GM13" s="23" t="e">
        <f>EXP(-LN(2)/25)*GM12+(1-EXP(-LN(2)/25))/(LN(2)/25)*Calculateur!GH13*Calculateur!GJ13*VLOOKUP('Données projet'!$B$17,Paramètres!$A$1:$I$88,3,0)*0.475*44/12</f>
        <v>#N/A</v>
      </c>
      <c r="GN13" s="23" t="e">
        <f>EXP(-LN(2)/2)*GN12+(1-EXP(-LN(2)/2))/(LN(2)/2)*GH13*GK13*VLOOKUP('Données projet'!$B$17,Paramètres!$A$1:$I$88,3,0)*0.475*44/12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62.654751068269434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projet'!$B$18,Paramètres!$A$1:$I$88,3,0)*VLOOKUP('Données projet'!$B$18,Paramètres!$A$1:$I$88,5,0)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projet'!$B$18,Paramètres!$A$1:$I$88,7,0))</f>
        <v>0</v>
      </c>
      <c r="HE13" s="17">
        <f>IF(ISNA(VLOOKUP(A13,'Données projet'!$A$269:$I$289,6,0)),0%,VLOOKUP(A13,'Données projet'!$A$269:$I$289,6,0)*VLOOKUP('Données projet'!$B$18,Paramètres!$A$1:$I$88,7,0))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projet'!$B$18,Paramètres!$A$1:$I$88,3,0)*0.475*44/12</f>
        <v>#N/A</v>
      </c>
      <c r="HH13" s="23" t="e">
        <f>EXP(-LN(2)/25)*HH12+(1-EXP(-LN(2)/25))/(LN(2)/25)*Calculateur!HC13*Calculateur!HE13*VLOOKUP('Données projet'!$B$18,Paramètres!$A$1:$I$88,3,0)*0.475*44/12</f>
        <v>#N/A</v>
      </c>
      <c r="HI13" s="23" t="e">
        <f>EXP(-LN(2)/2)*HI12+(1-EXP(-LN(2)/2))/(LN(2)/2)*HC13*HF13*VLOOKUP('Données projet'!$B$18,Paramètres!$A$1:$I$88,3,0)*0.475*44/12</f>
        <v>#N/A</v>
      </c>
      <c r="HJ13" s="24" t="e">
        <f t="shared" si="30"/>
        <v>#N/A</v>
      </c>
    </row>
    <row r="14" spans="1:218" s="5" customFormat="1" x14ac:dyDescent="0.35">
      <c r="A14" s="11">
        <f t="shared" si="31"/>
        <v>11</v>
      </c>
      <c r="B14" s="77">
        <f>'Scénario référence'!$B$16*5+'Scénario référence'!$B$17*0+'Scénario référence'!$B$18*5</f>
        <v>1.75</v>
      </c>
      <c r="C14" s="20">
        <f>Calculateur!C13+'Scénario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4" s="12">
        <f t="shared" si="3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6.416666666666667</v>
      </c>
      <c r="H14" s="70">
        <f t="shared" si="1"/>
        <v>231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62.782174715718469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10.119999999999999</v>
      </c>
      <c r="N14" s="14">
        <f>IF('Données projet'!$A$36&gt;35,N13+M14-V13,IF(A14&lt;'Données projet'!$A$36,$K$205^A14,IF(A14='Données projet'!$A$36,'Données projet'!$B$36,N13+M14-V13)))</f>
        <v>11.41229605039323</v>
      </c>
      <c r="O14" s="14">
        <f>N14*VLOOKUP('Données projet'!$B$9,Paramètres!$A$1:$I$88,3,0)*VLOOKUP('Données projet'!$B$9,Paramètres!$A$1:$I$88,5,0)</f>
        <v>6.379473492169816</v>
      </c>
      <c r="P14" s="14">
        <f t="shared" si="33"/>
        <v>2.3695176446212898</v>
      </c>
      <c r="Q14" s="22">
        <f t="shared" si="2"/>
        <v>15.237826229911176</v>
      </c>
      <c r="R14" s="62">
        <f t="shared" si="0"/>
        <v>258.88357796532335</v>
      </c>
      <c r="S14" s="62">
        <f ca="1">AVERAGE(OFFSET($R$3,0,0,'Données projet'!$E$9+1,1))-AVERAGE(OFFSET($H$3,0,0,'Données projet'!$E$9+1,1))</f>
        <v>341.05096821796769</v>
      </c>
      <c r="T14" s="62">
        <f t="shared" si="34"/>
        <v>400.72519822215168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projet'!$B$9,Paramètres!$A$1:$I$88,7,0))</f>
        <v>0</v>
      </c>
      <c r="X14" s="17">
        <f>IF(ISNA(VLOOKUP(A14,'Données projet'!$A$35:$I$55,6,0)),0%,VLOOKUP(A14,'Données projet'!$A$35:$I$55,6,0)*VLOOKUP('Données projet'!$B$9,Paramètres!$A$1:$I$88,7,0))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projet'!$B$9,Paramètres!$A$1:$I$88,3,0)*0.475*44/12</f>
        <v>0</v>
      </c>
      <c r="AA14" s="23">
        <f>EXP(-LN(2)/25)*AA13+(1-EXP(-LN(2)/25))/(LN(2)/25)*Calculateur!V14*Calculateur!X14*VLOOKUP('Données projet'!$B$9,Paramètres!$A$1:$I$88,3,0)*0.475*44/12</f>
        <v>0</v>
      </c>
      <c r="AB14" s="23">
        <f>EXP(-LN(2)/2)*AB13+(1-EXP(-LN(2)/2))/(LN(2)/2)*V14*Y14*VLOOKUP('Données projet'!$B$9,Paramètres!$A$1:$I$88,3,0)*0.475*44/12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62.782174715718469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3.6500000000000004</v>
      </c>
      <c r="AI14" s="14">
        <f>IF('Données projet'!$A$62&gt;35,AI13+AH14-AQ13,IF(A14&lt;'Données projet'!$A$62,$AF$205^A14,IF(A14='Données projet'!$A$62,'Données projet'!$B$62,AI13+AH14-AQ13)))</f>
        <v>16.383580991175553</v>
      </c>
      <c r="AJ14" s="14">
        <f>AI14*VLOOKUP('Données projet'!$B$10,Paramètres!$A$1:$I$88,3,0)*VLOOKUP('Données projet'!$B$10,Paramètres!$A$1:$I$88,5,0)</f>
        <v>9.7973814327229807</v>
      </c>
      <c r="AK14" s="14">
        <f t="shared" si="35"/>
        <v>3.4617593616456688</v>
      </c>
      <c r="AL14" s="22">
        <f t="shared" si="4"/>
        <v>23.093003550192062</v>
      </c>
      <c r="AM14" s="62">
        <f t="shared" si="5"/>
        <v>266.73875528560421</v>
      </c>
      <c r="AN14" s="62">
        <f ca="1">AVERAGE(OFFSET($AM$3,0,0,'Données projet'!$E$10+1,1))-AVERAGE(OFFSET($H$3,0,0,'Données projet'!$E$10+1,1))</f>
        <v>231.96474801342879</v>
      </c>
      <c r="AO14" s="62">
        <f t="shared" si="36"/>
        <v>237.75726086383668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projet'!$B$10,Paramètres!$A$1:$I$88,7,0))</f>
        <v>0</v>
      </c>
      <c r="AS14" s="17">
        <f>IF(ISNA(VLOOKUP(A14,'Données projet'!$A$61:$I$81,6,0)),0%,VLOOKUP(A14,'Données projet'!$A$61:$I$81,6,0)*VLOOKUP('Données projet'!$B$10,Paramètres!$A$1:$I$88,7,0))</f>
        <v>0</v>
      </c>
      <c r="AT14" s="17">
        <f>IF(ISNA(VLOOKUP(A14,'Données projet'!$A$61:$I$81,7,0)),0%,VLOOKUP(A14,'Données projet'!$A$61:$I$81,7,0))</f>
        <v>0</v>
      </c>
      <c r="AU14" s="23">
        <f>EXP(-LN(2)/35)*AU13+(1-EXP(-LN(2)/35))/(LN(2)/35)*AQ14*AR14*VLOOKUP('Données projet'!$B$10,Paramètres!$A$1:$I$88,3,0)*0.475*44/12</f>
        <v>0</v>
      </c>
      <c r="AV14" s="23">
        <f>EXP(-LN(2)/25)*AV13+(1-EXP(-LN(2)/25))/(LN(2)/25)*Calculateur!AQ14*Calculateur!AS14*VLOOKUP('Données projet'!$B$10,Paramètres!$A$1:$I$88,3,0)*0.475*44/12</f>
        <v>0</v>
      </c>
      <c r="AW14" s="23">
        <f>EXP(-LN(2)/2)*AW13+(1-EXP(-LN(2)/2))/(LN(2)/2)*AQ14*AT14*VLOOKUP('Données projet'!$B$10,Paramètres!$A$1:$I$88,3,0)*0.475*44/12</f>
        <v>0</v>
      </c>
      <c r="AX14" s="23">
        <f t="shared" si="6"/>
        <v>0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62.782174715718469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6.5217391304347823</v>
      </c>
      <c r="BD14" s="13">
        <f>IF('Données projet'!$A$88&gt;35,BD13+BC14-BL13,IF(A14&lt;'Données projet'!$A$88,$BA$205^A14,IF(A14='Données projet'!$A$88,'Données projet'!$B$88,BD13+BC14-BL13)))</f>
        <v>71.739130434782609</v>
      </c>
      <c r="BE14" s="14">
        <f>BD14*VLOOKUP('Données projet'!$B$11,Paramètres!$A$1:$I$88,3,0)*VLOOKUP('Données projet'!$B$11,Paramètres!$A$1:$I$88,5,0)</f>
        <v>33.573913043478264</v>
      </c>
      <c r="BF14" s="14">
        <f t="shared" si="37"/>
        <v>10.278444562995208</v>
      </c>
      <c r="BG14" s="22">
        <f t="shared" si="7"/>
        <v>76.376189497941297</v>
      </c>
      <c r="BH14" s="62">
        <f t="shared" si="8"/>
        <v>320.02194123335346</v>
      </c>
      <c r="BI14" s="62">
        <f ca="1">AVERAGE(OFFSET($BH$3,0,0,'Données projet'!$E$11+1,1))-AVERAGE(OFFSET($H$3,0,0,'Données projet'!$E$11+1,1))</f>
        <v>364.96458059055169</v>
      </c>
      <c r="BJ14" s="62">
        <f t="shared" si="38"/>
        <v>246.27159120786257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projet'!$B$11,Paramètres!$A$1:$I$88,7,0))</f>
        <v>0</v>
      </c>
      <c r="BN14" s="17">
        <f>IF(ISNA(VLOOKUP(A14,'Données projet'!$A$87:$I$107,6,0)),0%,VLOOKUP(A14,'Données projet'!$A$87:$I$107,6,0)*VLOOKUP('Données projet'!$B$11,Paramètres!$A$1:$I$88,7,0))</f>
        <v>0</v>
      </c>
      <c r="BO14" s="17">
        <f>IF(ISNA(VLOOKUP(A14,'Données projet'!$A$87:$I$107,7,0)),0%,VLOOKUP(A14,'Données projet'!$A$87:$I$107,7,0))</f>
        <v>0</v>
      </c>
      <c r="BP14" s="23">
        <f>EXP(-LN(2)/35)*BP13+(1-EXP(-LN(2)/35))/(LN(2)/35)*BL14*BM14*VLOOKUP('Données projet'!$B$11,Paramètres!$A$1:$I$88,3,0)*0.475*44/12</f>
        <v>0</v>
      </c>
      <c r="BQ14" s="23">
        <f>EXP(-LN(2)/25)*BQ13+(1-EXP(-LN(2)/25))/(LN(2)/25)*Calculateur!BL14*Calculateur!BN14*VLOOKUP('Données projet'!$B$11,Paramètres!$A$1:$I$88,3,0)*0.475*44/12</f>
        <v>0</v>
      </c>
      <c r="BR14" s="23">
        <f>EXP(-LN(2)/2)*BR13+(1-EXP(-LN(2)/2))/(LN(2)/2)*BL14*BO14*VLOOKUP('Données projet'!$B$11,Paramètres!$A$1:$I$88,3,0)*0.475*44/12</f>
        <v>0</v>
      </c>
      <c r="BS14" s="24">
        <f t="shared" si="9"/>
        <v>0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62.782174715718469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4.1666667007873768</v>
      </c>
      <c r="BY14" s="13">
        <f>IF('Données projet'!$A$114&gt;35,BY13+BX14-CG13,IF(A14&lt;'Données projet'!$A$114,$BV$205^A14,IF(A14='Données projet'!$A$114,'Données projet'!$B$114,BY13+BX14-CG13)))</f>
        <v>45.833333708661137</v>
      </c>
      <c r="BZ14" s="14">
        <f>BY14*VLOOKUP('Données projet'!$B$12,Paramètres!$A$1:$I$88,3,0)*VLOOKUP('Données projet'!$B$12,Paramètres!$A$1:$I$88,5,0)</f>
        <v>46.475000380582394</v>
      </c>
      <c r="CA14" s="14">
        <f t="shared" si="39"/>
        <v>13.699576077831749</v>
      </c>
      <c r="CB14" s="22">
        <f t="shared" si="10"/>
        <v>104.80405399840463</v>
      </c>
      <c r="CC14" s="62">
        <f t="shared" si="11"/>
        <v>348.44980573381679</v>
      </c>
      <c r="CD14" s="62">
        <f ca="1">AVERAGE(OFFSET($CC$3,0,0,'Données projet'!$E$12+1,1))-AVERAGE(OFFSET($H$3,0,0,'Données projet'!$E$12+1,1))</f>
        <v>310.53598044763282</v>
      </c>
      <c r="CE14" s="62">
        <f t="shared" si="40"/>
        <v>322.01096634040596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projet'!$B$12,Paramètres!$A$1:$I$88,7,0))</f>
        <v>0</v>
      </c>
      <c r="CI14" s="17">
        <f>IF(ISNA(VLOOKUP(A14,'Données projet'!$A$113:$I$133,6,0)),0%,VLOOKUP(A14,'Données projet'!$A$113:$I$133,6,0)*VLOOKUP('Données projet'!$B$12,Paramètres!$A$1:$I$88,7,0))</f>
        <v>0</v>
      </c>
      <c r="CJ14" s="17">
        <f>IF(ISNA(VLOOKUP(A14,'Données projet'!$A$113:$I$133,7,0)),0%,VLOOKUP(A14,'Données projet'!$A$113:$I$133,7,0))</f>
        <v>0</v>
      </c>
      <c r="CK14" s="23">
        <f>EXP(-LN(2)/35)*CK13+(1-EXP(-LN(2)/35))/(LN(2)/35)*CG14*CH14*VLOOKUP('Données projet'!$B$12,Paramètres!$A$1:$I$88,3,0)*0.475*44/12</f>
        <v>0</v>
      </c>
      <c r="CL14" s="23">
        <f>EXP(-LN(2)/25)*CL13+(1-EXP(-LN(2)/25))/(LN(2)/25)*Calculateur!CG14*Calculateur!CI14*VLOOKUP('Données projet'!$B$12,Paramètres!$A$1:$I$88,3,0)*0.475*44/12</f>
        <v>0</v>
      </c>
      <c r="CM14" s="23">
        <f>EXP(-LN(2)/2)*CM13+(1-EXP(-LN(2)/2))/(LN(2)/2)*CG14*CJ14*VLOOKUP('Données projet'!$B$12,Paramètres!$A$1:$I$88,3,0)*0.475*44/12</f>
        <v>0</v>
      </c>
      <c r="CN14" s="24">
        <f t="shared" si="12"/>
        <v>0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62.782174715718469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projet'!$B$13,Paramètres!$A$1:$I$88,3,0)*VLOOKUP('Données projet'!$B$13,Paramètres!$A$1:$I$88,5,0)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projet'!$B$13,Paramètres!$A$1:$I$88,7,0))</f>
        <v>0</v>
      </c>
      <c r="DD14" s="17">
        <f>IF(ISNA(VLOOKUP(A14,'Données projet'!$A$139:$I$159,6,0)),0%,VLOOKUP(A14,'Données projet'!$A$139:$I$159,6,0)*VLOOKUP('Données projet'!$B$13,Paramètres!$A$1:$I$88,7,0))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projet'!$B$13,Paramètres!$A$1:$I$88,3,0)*0.475*44/12</f>
        <v>#N/A</v>
      </c>
      <c r="DG14" s="23" t="e">
        <f>EXP(-LN(2)/25)*DG13+(1-EXP(-LN(2)/25))/(LN(2)/25)*Calculateur!DB14*Calculateur!DD14*VLOOKUP('Données projet'!$B$13,Paramètres!$A$1:$I$88,3,0)*0.475*44/12</f>
        <v>#N/A</v>
      </c>
      <c r="DH14" s="23" t="e">
        <f>EXP(-LN(2)/2)*DH13+(1-EXP(-LN(2)/2))/(LN(2)/2)*DB14*DE14*VLOOKUP('Données projet'!$B$13,Paramètres!$A$1:$I$88,3,0)*0.475*44/12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62.782174715718469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projet'!$B$14,Paramètres!$A$1:$I$88,3,0)*VLOOKUP('Données projet'!$B$14,Paramètres!$A$1:$I$88,5,0)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projet'!$B$14,Paramètres!$A$1:$I$88,7,0))</f>
        <v>0</v>
      </c>
      <c r="DY14" s="17">
        <f>IF(ISNA(VLOOKUP(A14,'Données projet'!$A$165:$I$185,6,0)),0%,VLOOKUP(A14,'Données projet'!$A$165:$I$185,6,0)*VLOOKUP('Données projet'!$B$14,Paramètres!$A$1:$I$88,7,0))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projet'!$B$14,Paramètres!$A$1:$I$88,3,0)*0.475*44/12</f>
        <v>#N/A</v>
      </c>
      <c r="EB14" s="23" t="e">
        <f>EXP(-LN(2)/25)*EB13+(1-EXP(-LN(2)/25))/(LN(2)/25)*Calculateur!DW14*Calculateur!DY14*VLOOKUP('Données projet'!$B$14,Paramètres!$A$1:$I$88,3,0)*0.475*44/12</f>
        <v>#N/A</v>
      </c>
      <c r="EC14" s="23" t="e">
        <f>EXP(-LN(2)/2)*EC13+(1-EXP(-LN(2)/2))/(LN(2)/2)*DW14*DZ14*VLOOKUP('Données projet'!$B$14,Paramètres!$A$1:$I$88,3,0)*0.475*44/12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62.782174715718469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projet'!$B$15,Paramètres!$A$1:$I$88,3,0)*VLOOKUP('Données projet'!$B$15,Paramètres!$A$1:$I$88,5,0)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projet'!$B$15,Paramètres!$A$1:$I$88,7,0))</f>
        <v>0</v>
      </c>
      <c r="ET14" s="17">
        <f>IF(ISNA(VLOOKUP(A14,'Données projet'!$A$191:$I$211,6,0)),0%,VLOOKUP(A14,'Données projet'!$A$191:$I$211,6,0)*VLOOKUP('Données projet'!$B$15,Paramètres!$A$1:$I$88,7,0))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projet'!$B$15,Paramètres!$A$1:$I$88,3,0)*0.475*44/12</f>
        <v>#N/A</v>
      </c>
      <c r="EW14" s="23" t="e">
        <f>EXP(-LN(2)/25)*EW13+(1-EXP(-LN(2)/25))/(LN(2)/25)*Calculateur!ER14*Calculateur!ET14*VLOOKUP('Données projet'!$B$15,Paramètres!$A$1:$I$88,3,0)*0.475*44/12</f>
        <v>#N/A</v>
      </c>
      <c r="EX14" s="23" t="e">
        <f>EXP(-LN(2)/2)*EX13+(1-EXP(-LN(2)/2))/(LN(2)/2)*ER14*EU14*VLOOKUP('Données projet'!$B$15,Paramètres!$A$1:$I$88,3,0)*0.475*44/12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62.782174715718469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projet'!$B$16,Paramètres!$A$1:$I$88,3,0)*VLOOKUP('Données projet'!$B$16,Paramètres!$A$1:$I$88,5,0)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projet'!$B$16,Paramètres!$A$1:$I$88,7,0))</f>
        <v>0</v>
      </c>
      <c r="FO14" s="17">
        <f>IF(ISNA(VLOOKUP(A14,'Données projet'!$A$217:$I$237,6,0)),0%,VLOOKUP(A14,'Données projet'!$A$217:$I$237,6,0)*VLOOKUP('Données projet'!$B$16,Paramètres!$A$1:$I$88,7,0))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projet'!$B$16,Paramètres!$A$1:$I$88,3,0)*0.475*44/12</f>
        <v>#N/A</v>
      </c>
      <c r="FR14" s="23" t="e">
        <f>EXP(-LN(2)/25)*FR13+(1-EXP(-LN(2)/25))/(LN(2)/25)*Calculateur!FM14*Calculateur!FO14*VLOOKUP('Données projet'!$B$16,Paramètres!$A$1:$I$88,3,0)*0.475*44/12</f>
        <v>#N/A</v>
      </c>
      <c r="FS14" s="23" t="e">
        <f>EXP(-LN(2)/2)*FS13+(1-EXP(-LN(2)/2))/(LN(2)/2)*FM14*FP14*VLOOKUP('Données projet'!$B$16,Paramètres!$A$1:$I$88,3,0)*0.475*44/12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62.782174715718469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projet'!$B$17,Paramètres!$A$1:$I$88,3,0)*VLOOKUP('Données projet'!$B$17,Paramètres!$A$1:$I$88,5,0)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projet'!$B$17,Paramètres!$A$1:$I$88,7,0))</f>
        <v>0</v>
      </c>
      <c r="GJ14" s="17">
        <f>IF(ISNA(VLOOKUP(A14,'Données projet'!$A$243:$I$263,6,0)),0%,VLOOKUP(A14,'Données projet'!$A$243:$I$263,6,0)*VLOOKUP('Données projet'!$B$17,Paramètres!$A$1:$I$88,7,0))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projet'!$B$17,Paramètres!$A$1:$I$88,3,0)*0.475*44/12</f>
        <v>#N/A</v>
      </c>
      <c r="GM14" s="23" t="e">
        <f>EXP(-LN(2)/25)*GM13+(1-EXP(-LN(2)/25))/(LN(2)/25)*Calculateur!GH14*Calculateur!GJ14*VLOOKUP('Données projet'!$B$17,Paramètres!$A$1:$I$88,3,0)*0.475*44/12</f>
        <v>#N/A</v>
      </c>
      <c r="GN14" s="23" t="e">
        <f>EXP(-LN(2)/2)*GN13+(1-EXP(-LN(2)/2))/(LN(2)/2)*GH14*GK14*VLOOKUP('Données projet'!$B$17,Paramètres!$A$1:$I$88,3,0)*0.475*44/12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62.782174715718469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projet'!$B$18,Paramètres!$A$1:$I$88,3,0)*VLOOKUP('Données projet'!$B$18,Paramètres!$A$1:$I$88,5,0)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projet'!$B$18,Paramètres!$A$1:$I$88,7,0))</f>
        <v>0</v>
      </c>
      <c r="HE14" s="17">
        <f>IF(ISNA(VLOOKUP(A14,'Données projet'!$A$269:$I$289,6,0)),0%,VLOOKUP(A14,'Données projet'!$A$269:$I$289,6,0)*VLOOKUP('Données projet'!$B$18,Paramètres!$A$1:$I$88,7,0))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projet'!$B$18,Paramètres!$A$1:$I$88,3,0)*0.475*44/12</f>
        <v>#N/A</v>
      </c>
      <c r="HH14" s="23" t="e">
        <f>EXP(-LN(2)/25)*HH13+(1-EXP(-LN(2)/25))/(LN(2)/25)*Calculateur!HC14*Calculateur!HE14*VLOOKUP('Données projet'!$B$18,Paramètres!$A$1:$I$88,3,0)*0.475*44/12</f>
        <v>#N/A</v>
      </c>
      <c r="HI14" s="23" t="e">
        <f>EXP(-LN(2)/2)*HI13+(1-EXP(-LN(2)/2))/(LN(2)/2)*HC14*HF14*VLOOKUP('Données projet'!$B$18,Paramètres!$A$1:$I$88,3,0)*0.475*44/12</f>
        <v>#N/A</v>
      </c>
      <c r="HJ14" s="24" t="e">
        <f t="shared" si="30"/>
        <v>#N/A</v>
      </c>
    </row>
    <row r="15" spans="1:218" s="5" customFormat="1" x14ac:dyDescent="0.35">
      <c r="A15" s="11">
        <f t="shared" si="31"/>
        <v>12</v>
      </c>
      <c r="B15" s="77">
        <f>'Scénario référence'!$B$16*5+'Scénario référence'!$B$17*0+'Scénario référence'!$B$18*5</f>
        <v>1.75</v>
      </c>
      <c r="C15" s="20">
        <f>Calculateur!C14+'Scénario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5" s="12">
        <f t="shared" si="3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6.416666666666667</v>
      </c>
      <c r="H15" s="70">
        <f t="shared" si="1"/>
        <v>231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62.907387847760859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10.119999999999999</v>
      </c>
      <c r="N15" s="14">
        <f>IF('Données projet'!$A$36&gt;35,N14+M15-V14,IF(A15&lt;'Données projet'!$A$36,$K$205^A15,IF(A15='Données projet'!$A$36,'Données projet'!$B$36,N14+M15-V14)))</f>
        <v>14.239601977703286</v>
      </c>
      <c r="O15" s="14">
        <f>N15*VLOOKUP('Données projet'!$B$9,Paramètres!$A$1:$I$88,3,0)*VLOOKUP('Données projet'!$B$9,Paramètres!$A$1:$I$88,5,0)</f>
        <v>7.9599375055361374</v>
      </c>
      <c r="P15" s="14">
        <f t="shared" si="33"/>
        <v>2.8813488265052238</v>
      </c>
      <c r="Q15" s="22">
        <f t="shared" si="2"/>
        <v>18.88190702830537</v>
      </c>
      <c r="R15" s="62">
        <f t="shared" si="0"/>
        <v>264.20899580342854</v>
      </c>
      <c r="S15" s="62">
        <f ca="1">AVERAGE(OFFSET($R$3,0,0,'Données projet'!$E$9+1,1))-AVERAGE(OFFSET($H$3,0,0,'Données projet'!$E$9+1,1))</f>
        <v>341.05096821796769</v>
      </c>
      <c r="T15" s="62">
        <f t="shared" si="34"/>
        <v>400.72519822215168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projet'!$B$9,Paramètres!$A$1:$I$88,7,0))</f>
        <v>0</v>
      </c>
      <c r="X15" s="17">
        <f>IF(ISNA(VLOOKUP(A15,'Données projet'!$A$35:$I$55,6,0)),0%,VLOOKUP(A15,'Données projet'!$A$35:$I$55,6,0)*VLOOKUP('Données projet'!$B$9,Paramètres!$A$1:$I$88,7,0))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projet'!$B$9,Paramètres!$A$1:$I$88,3,0)*0.475*44/12</f>
        <v>0</v>
      </c>
      <c r="AA15" s="23">
        <f>EXP(-LN(2)/25)*AA14+(1-EXP(-LN(2)/25))/(LN(2)/25)*Calculateur!V15*Calculateur!X15*VLOOKUP('Données projet'!$B$9,Paramètres!$A$1:$I$88,3,0)*0.475*44/12</f>
        <v>0</v>
      </c>
      <c r="AB15" s="23">
        <f>EXP(-LN(2)/2)*AB14+(1-EXP(-LN(2)/2))/(LN(2)/2)*V15*Y15*VLOOKUP('Données projet'!$B$9,Paramètres!$A$1:$I$88,3,0)*0.475*44/12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62.907387847760859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3.6500000000000004</v>
      </c>
      <c r="AI15" s="14">
        <f>IF('Données projet'!$A$62&gt;35,AI14+AH15-AQ14,IF(A15&lt;'Données projet'!$A$62,$AF$205^A15,IF(A15='Données projet'!$A$62,'Données projet'!$B$62,AI14+AH15-AQ14)))</f>
        <v>21.125628354141799</v>
      </c>
      <c r="AJ15" s="14">
        <f>AI15*VLOOKUP('Données projet'!$B$10,Paramètres!$A$1:$I$88,3,0)*VLOOKUP('Données projet'!$B$10,Paramètres!$A$1:$I$88,5,0)</f>
        <v>12.633125755776796</v>
      </c>
      <c r="AK15" s="14">
        <f t="shared" si="35"/>
        <v>4.3335820611593938</v>
      </c>
      <c r="AL15" s="22">
        <f t="shared" si="4"/>
        <v>29.550349447830531</v>
      </c>
      <c r="AM15" s="62">
        <f t="shared" si="5"/>
        <v>274.87743822295369</v>
      </c>
      <c r="AN15" s="62">
        <f ca="1">AVERAGE(OFFSET($AM$3,0,0,'Données projet'!$E$10+1,1))-AVERAGE(OFFSET($H$3,0,0,'Données projet'!$E$10+1,1))</f>
        <v>231.96474801342879</v>
      </c>
      <c r="AO15" s="62">
        <f t="shared" si="36"/>
        <v>237.75726086383668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projet'!$B$10,Paramètres!$A$1:$I$88,7,0))</f>
        <v>0</v>
      </c>
      <c r="AS15" s="17">
        <f>IF(ISNA(VLOOKUP(A15,'Données projet'!$A$61:$I$81,6,0)),0%,VLOOKUP(A15,'Données projet'!$A$61:$I$81,6,0)*VLOOKUP('Données projet'!$B$10,Paramètres!$A$1:$I$88,7,0))</f>
        <v>0</v>
      </c>
      <c r="AT15" s="17">
        <f>IF(ISNA(VLOOKUP(A15,'Données projet'!$A$61:$I$81,7,0)),0%,VLOOKUP(A15,'Données projet'!$A$61:$I$81,7,0))</f>
        <v>0</v>
      </c>
      <c r="AU15" s="23">
        <f>EXP(-LN(2)/35)*AU14+(1-EXP(-LN(2)/35))/(LN(2)/35)*AQ15*AR15*VLOOKUP('Données projet'!$B$10,Paramètres!$A$1:$I$88,3,0)*0.475*44/12</f>
        <v>0</v>
      </c>
      <c r="AV15" s="23">
        <f>EXP(-LN(2)/25)*AV14+(1-EXP(-LN(2)/25))/(LN(2)/25)*Calculateur!AQ15*Calculateur!AS15*VLOOKUP('Données projet'!$B$10,Paramètres!$A$1:$I$88,3,0)*0.475*44/12</f>
        <v>0</v>
      </c>
      <c r="AW15" s="23">
        <f>EXP(-LN(2)/2)*AW14+(1-EXP(-LN(2)/2))/(LN(2)/2)*AQ15*AT15*VLOOKUP('Données projet'!$B$10,Paramètres!$A$1:$I$88,3,0)*0.475*44/12</f>
        <v>0</v>
      </c>
      <c r="AX15" s="23">
        <f t="shared" si="6"/>
        <v>0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62.907387847760859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6.5217391304347823</v>
      </c>
      <c r="BD15" s="13">
        <f>IF('Données projet'!$A$88&gt;35,BD14+BC15-BL14,IF(A15&lt;'Données projet'!$A$88,$BA$205^A15,IF(A15='Données projet'!$A$88,'Données projet'!$B$88,BD14+BC15-BL14)))</f>
        <v>78.260869565217391</v>
      </c>
      <c r="BE15" s="14">
        <f>BD15*VLOOKUP('Données projet'!$B$11,Paramètres!$A$1:$I$88,3,0)*VLOOKUP('Données projet'!$B$11,Paramètres!$A$1:$I$88,5,0)</f>
        <v>36.626086956521739</v>
      </c>
      <c r="BF15" s="14">
        <f t="shared" si="37"/>
        <v>11.099856654049963</v>
      </c>
      <c r="BG15" s="22">
        <f t="shared" si="7"/>
        <v>83.122685121745718</v>
      </c>
      <c r="BH15" s="62">
        <f t="shared" si="8"/>
        <v>328.44977389686886</v>
      </c>
      <c r="BI15" s="62">
        <f ca="1">AVERAGE(OFFSET($BH$3,0,0,'Données projet'!$E$11+1,1))-AVERAGE(OFFSET($H$3,0,0,'Données projet'!$E$11+1,1))</f>
        <v>364.96458059055169</v>
      </c>
      <c r="BJ15" s="62">
        <f t="shared" si="38"/>
        <v>246.27159120786257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projet'!$B$11,Paramètres!$A$1:$I$88,7,0))</f>
        <v>0</v>
      </c>
      <c r="BN15" s="17">
        <f>IF(ISNA(VLOOKUP(A15,'Données projet'!$A$87:$I$107,6,0)),0%,VLOOKUP(A15,'Données projet'!$A$87:$I$107,6,0)*VLOOKUP('Données projet'!$B$11,Paramètres!$A$1:$I$88,7,0))</f>
        <v>0</v>
      </c>
      <c r="BO15" s="17">
        <f>IF(ISNA(VLOOKUP(A15,'Données projet'!$A$87:$I$107,7,0)),0%,VLOOKUP(A15,'Données projet'!$A$87:$I$107,7,0))</f>
        <v>0</v>
      </c>
      <c r="BP15" s="23">
        <f>EXP(-LN(2)/35)*BP14+(1-EXP(-LN(2)/35))/(LN(2)/35)*BL15*BM15*VLOOKUP('Données projet'!$B$11,Paramètres!$A$1:$I$88,3,0)*0.475*44/12</f>
        <v>0</v>
      </c>
      <c r="BQ15" s="23">
        <f>EXP(-LN(2)/25)*BQ14+(1-EXP(-LN(2)/25))/(LN(2)/25)*Calculateur!BL15*Calculateur!BN15*VLOOKUP('Données projet'!$B$11,Paramètres!$A$1:$I$88,3,0)*0.475*44/12</f>
        <v>0</v>
      </c>
      <c r="BR15" s="23">
        <f>EXP(-LN(2)/2)*BR14+(1-EXP(-LN(2)/2))/(LN(2)/2)*BL15*BO15*VLOOKUP('Données projet'!$B$11,Paramètres!$A$1:$I$88,3,0)*0.475*44/12</f>
        <v>0</v>
      </c>
      <c r="BS15" s="24">
        <f t="shared" si="9"/>
        <v>0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62.907387847760859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4.1666667007873768</v>
      </c>
      <c r="BY15" s="13">
        <f>IF('Données projet'!$A$114&gt;35,BY14+BX15-CG14,IF(A15&lt;'Données projet'!$A$114,$BV$205^A15,IF(A15='Données projet'!$A$114,'Données projet'!$B$114,BY14+BX15-CG14)))</f>
        <v>50.000000409448511</v>
      </c>
      <c r="BZ15" s="14">
        <f>BY15*VLOOKUP('Données projet'!$B$12,Paramètres!$A$1:$I$88,3,0)*VLOOKUP('Données projet'!$B$12,Paramètres!$A$1:$I$88,5,0)</f>
        <v>50.700000415180796</v>
      </c>
      <c r="CA15" s="14">
        <f t="shared" si="39"/>
        <v>14.794391286853635</v>
      </c>
      <c r="CB15" s="22">
        <f t="shared" si="10"/>
        <v>114.0693988810433</v>
      </c>
      <c r="CC15" s="62">
        <f t="shared" si="11"/>
        <v>359.39648765616641</v>
      </c>
      <c r="CD15" s="62">
        <f ca="1">AVERAGE(OFFSET($CC$3,0,0,'Données projet'!$E$12+1,1))-AVERAGE(OFFSET($H$3,0,0,'Données projet'!$E$12+1,1))</f>
        <v>310.53598044763282</v>
      </c>
      <c r="CE15" s="62">
        <f t="shared" si="40"/>
        <v>322.01096634040596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projet'!$B$12,Paramètres!$A$1:$I$88,7,0))</f>
        <v>0</v>
      </c>
      <c r="CI15" s="17">
        <f>IF(ISNA(VLOOKUP(A15,'Données projet'!$A$113:$I$133,6,0)),0%,VLOOKUP(A15,'Données projet'!$A$113:$I$133,6,0)*VLOOKUP('Données projet'!$B$12,Paramètres!$A$1:$I$88,7,0))</f>
        <v>0</v>
      </c>
      <c r="CJ15" s="17">
        <f>IF(ISNA(VLOOKUP(A15,'Données projet'!$A$113:$I$133,7,0)),0%,VLOOKUP(A15,'Données projet'!$A$113:$I$133,7,0))</f>
        <v>0</v>
      </c>
      <c r="CK15" s="23">
        <f>EXP(-LN(2)/35)*CK14+(1-EXP(-LN(2)/35))/(LN(2)/35)*CG15*CH15*VLOOKUP('Données projet'!$B$12,Paramètres!$A$1:$I$88,3,0)*0.475*44/12</f>
        <v>0</v>
      </c>
      <c r="CL15" s="23">
        <f>EXP(-LN(2)/25)*CL14+(1-EXP(-LN(2)/25))/(LN(2)/25)*Calculateur!CG15*Calculateur!CI15*VLOOKUP('Données projet'!$B$12,Paramètres!$A$1:$I$88,3,0)*0.475*44/12</f>
        <v>0</v>
      </c>
      <c r="CM15" s="23">
        <f>EXP(-LN(2)/2)*CM14+(1-EXP(-LN(2)/2))/(LN(2)/2)*CG15*CJ15*VLOOKUP('Données projet'!$B$12,Paramètres!$A$1:$I$88,3,0)*0.475*44/12</f>
        <v>0</v>
      </c>
      <c r="CN15" s="24">
        <f t="shared" si="12"/>
        <v>0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62.907387847760859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projet'!$B$13,Paramètres!$A$1:$I$88,3,0)*VLOOKUP('Données projet'!$B$13,Paramètres!$A$1:$I$88,5,0)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projet'!$B$13,Paramètres!$A$1:$I$88,7,0))</f>
        <v>0</v>
      </c>
      <c r="DD15" s="17">
        <f>IF(ISNA(VLOOKUP(A15,'Données projet'!$A$139:$I$159,6,0)),0%,VLOOKUP(A15,'Données projet'!$A$139:$I$159,6,0)*VLOOKUP('Données projet'!$B$13,Paramètres!$A$1:$I$88,7,0))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projet'!$B$13,Paramètres!$A$1:$I$88,3,0)*0.475*44/12</f>
        <v>#N/A</v>
      </c>
      <c r="DG15" s="23" t="e">
        <f>EXP(-LN(2)/25)*DG14+(1-EXP(-LN(2)/25))/(LN(2)/25)*Calculateur!DB15*Calculateur!DD15*VLOOKUP('Données projet'!$B$13,Paramètres!$A$1:$I$88,3,0)*0.475*44/12</f>
        <v>#N/A</v>
      </c>
      <c r="DH15" s="23" t="e">
        <f>EXP(-LN(2)/2)*DH14+(1-EXP(-LN(2)/2))/(LN(2)/2)*DB15*DE15*VLOOKUP('Données projet'!$B$13,Paramètres!$A$1:$I$88,3,0)*0.475*44/12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62.907387847760859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projet'!$B$14,Paramètres!$A$1:$I$88,3,0)*VLOOKUP('Données projet'!$B$14,Paramètres!$A$1:$I$88,5,0)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projet'!$B$14,Paramètres!$A$1:$I$88,7,0))</f>
        <v>0</v>
      </c>
      <c r="DY15" s="17">
        <f>IF(ISNA(VLOOKUP(A15,'Données projet'!$A$165:$I$185,6,0)),0%,VLOOKUP(A15,'Données projet'!$A$165:$I$185,6,0)*VLOOKUP('Données projet'!$B$14,Paramètres!$A$1:$I$88,7,0))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projet'!$B$14,Paramètres!$A$1:$I$88,3,0)*0.475*44/12</f>
        <v>#N/A</v>
      </c>
      <c r="EB15" s="23" t="e">
        <f>EXP(-LN(2)/25)*EB14+(1-EXP(-LN(2)/25))/(LN(2)/25)*Calculateur!DW15*Calculateur!DY15*VLOOKUP('Données projet'!$B$14,Paramètres!$A$1:$I$88,3,0)*0.475*44/12</f>
        <v>#N/A</v>
      </c>
      <c r="EC15" s="23" t="e">
        <f>EXP(-LN(2)/2)*EC14+(1-EXP(-LN(2)/2))/(LN(2)/2)*DW15*DZ15*VLOOKUP('Données projet'!$B$14,Paramètres!$A$1:$I$88,3,0)*0.475*44/12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62.907387847760859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projet'!$B$15,Paramètres!$A$1:$I$88,3,0)*VLOOKUP('Données projet'!$B$15,Paramètres!$A$1:$I$88,5,0)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projet'!$B$15,Paramètres!$A$1:$I$88,7,0))</f>
        <v>0</v>
      </c>
      <c r="ET15" s="17">
        <f>IF(ISNA(VLOOKUP(A15,'Données projet'!$A$191:$I$211,6,0)),0%,VLOOKUP(A15,'Données projet'!$A$191:$I$211,6,0)*VLOOKUP('Données projet'!$B$15,Paramètres!$A$1:$I$88,7,0))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projet'!$B$15,Paramètres!$A$1:$I$88,3,0)*0.475*44/12</f>
        <v>#N/A</v>
      </c>
      <c r="EW15" s="23" t="e">
        <f>EXP(-LN(2)/25)*EW14+(1-EXP(-LN(2)/25))/(LN(2)/25)*Calculateur!ER15*Calculateur!ET15*VLOOKUP('Données projet'!$B$15,Paramètres!$A$1:$I$88,3,0)*0.475*44/12</f>
        <v>#N/A</v>
      </c>
      <c r="EX15" s="23" t="e">
        <f>EXP(-LN(2)/2)*EX14+(1-EXP(-LN(2)/2))/(LN(2)/2)*ER15*EU15*VLOOKUP('Données projet'!$B$15,Paramètres!$A$1:$I$88,3,0)*0.475*44/12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62.907387847760859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projet'!$B$16,Paramètres!$A$1:$I$88,3,0)*VLOOKUP('Données projet'!$B$16,Paramètres!$A$1:$I$88,5,0)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projet'!$B$16,Paramètres!$A$1:$I$88,7,0))</f>
        <v>0</v>
      </c>
      <c r="FO15" s="17">
        <f>IF(ISNA(VLOOKUP(A15,'Données projet'!$A$217:$I$237,6,0)),0%,VLOOKUP(A15,'Données projet'!$A$217:$I$237,6,0)*VLOOKUP('Données projet'!$B$16,Paramètres!$A$1:$I$88,7,0))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projet'!$B$16,Paramètres!$A$1:$I$88,3,0)*0.475*44/12</f>
        <v>#N/A</v>
      </c>
      <c r="FR15" s="23" t="e">
        <f>EXP(-LN(2)/25)*FR14+(1-EXP(-LN(2)/25))/(LN(2)/25)*Calculateur!FM15*Calculateur!FO15*VLOOKUP('Données projet'!$B$16,Paramètres!$A$1:$I$88,3,0)*0.475*44/12</f>
        <v>#N/A</v>
      </c>
      <c r="FS15" s="23" t="e">
        <f>EXP(-LN(2)/2)*FS14+(1-EXP(-LN(2)/2))/(LN(2)/2)*FM15*FP15*VLOOKUP('Données projet'!$B$16,Paramètres!$A$1:$I$88,3,0)*0.475*44/12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62.907387847760859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projet'!$B$17,Paramètres!$A$1:$I$88,3,0)*VLOOKUP('Données projet'!$B$17,Paramètres!$A$1:$I$88,5,0)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projet'!$B$17,Paramètres!$A$1:$I$88,7,0))</f>
        <v>0</v>
      </c>
      <c r="GJ15" s="17">
        <f>IF(ISNA(VLOOKUP(A15,'Données projet'!$A$243:$I$263,6,0)),0%,VLOOKUP(A15,'Données projet'!$A$243:$I$263,6,0)*VLOOKUP('Données projet'!$B$17,Paramètres!$A$1:$I$88,7,0))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projet'!$B$17,Paramètres!$A$1:$I$88,3,0)*0.475*44/12</f>
        <v>#N/A</v>
      </c>
      <c r="GM15" s="23" t="e">
        <f>EXP(-LN(2)/25)*GM14+(1-EXP(-LN(2)/25))/(LN(2)/25)*Calculateur!GH15*Calculateur!GJ15*VLOOKUP('Données projet'!$B$17,Paramètres!$A$1:$I$88,3,0)*0.475*44/12</f>
        <v>#N/A</v>
      </c>
      <c r="GN15" s="23" t="e">
        <f>EXP(-LN(2)/2)*GN14+(1-EXP(-LN(2)/2))/(LN(2)/2)*GH15*GK15*VLOOKUP('Données projet'!$B$17,Paramètres!$A$1:$I$88,3,0)*0.475*44/12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62.907387847760859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projet'!$B$18,Paramètres!$A$1:$I$88,3,0)*VLOOKUP('Données projet'!$B$18,Paramètres!$A$1:$I$88,5,0)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projet'!$B$18,Paramètres!$A$1:$I$88,7,0))</f>
        <v>0</v>
      </c>
      <c r="HE15" s="17">
        <f>IF(ISNA(VLOOKUP(A15,'Données projet'!$A$269:$I$289,6,0)),0%,VLOOKUP(A15,'Données projet'!$A$269:$I$289,6,0)*VLOOKUP('Données projet'!$B$18,Paramètres!$A$1:$I$88,7,0))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projet'!$B$18,Paramètres!$A$1:$I$88,3,0)*0.475*44/12</f>
        <v>#N/A</v>
      </c>
      <c r="HH15" s="23" t="e">
        <f>EXP(-LN(2)/25)*HH14+(1-EXP(-LN(2)/25))/(LN(2)/25)*Calculateur!HC15*Calculateur!HE15*VLOOKUP('Données projet'!$B$18,Paramètres!$A$1:$I$88,3,0)*0.475*44/12</f>
        <v>#N/A</v>
      </c>
      <c r="HI15" s="23" t="e">
        <f>EXP(-LN(2)/2)*HI14+(1-EXP(-LN(2)/2))/(LN(2)/2)*HC15*HF15*VLOOKUP('Données projet'!$B$18,Paramètres!$A$1:$I$88,3,0)*0.475*44/12</f>
        <v>#N/A</v>
      </c>
      <c r="HJ15" s="24" t="e">
        <f t="shared" si="30"/>
        <v>#N/A</v>
      </c>
    </row>
    <row r="16" spans="1:218" s="5" customFormat="1" x14ac:dyDescent="0.35">
      <c r="A16" s="11">
        <f t="shared" si="31"/>
        <v>13</v>
      </c>
      <c r="B16" s="77">
        <f>'Scénario référence'!$B$16*5+'Scénario référence'!$B$17*0+'Scénario référence'!$B$18*5</f>
        <v>1.75</v>
      </c>
      <c r="C16" s="20">
        <f>Calculateur!C15+'Scénario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6" s="12">
        <f t="shared" si="3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6.416666666666667</v>
      </c>
      <c r="H16" s="70">
        <f t="shared" si="1"/>
        <v>231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63.030428811896947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10.119999999999999</v>
      </c>
      <c r="N16" s="14">
        <f>IF('Données projet'!$A$36&gt;35,N15+M16-V15,IF(A16&lt;'Données projet'!$A$36,$K$205^A16,IF(A16='Données projet'!$A$36,'Données projet'!$B$36,N15+M16-V15)))</f>
        <v>17.767350547870222</v>
      </c>
      <c r="O16" s="14">
        <f>N16*VLOOKUP('Données projet'!$B$9,Paramètres!$A$1:$I$88,3,0)*VLOOKUP('Données projet'!$B$9,Paramètres!$A$1:$I$88,5,0)</f>
        <v>9.9319489562594541</v>
      </c>
      <c r="P16" s="14">
        <f t="shared" si="33"/>
        <v>3.5037388638352742</v>
      </c>
      <c r="Q16" s="22">
        <f t="shared" si="2"/>
        <v>23.400489619998314</v>
      </c>
      <c r="R16" s="62">
        <f t="shared" si="0"/>
        <v>270.40095081917599</v>
      </c>
      <c r="S16" s="62">
        <f ca="1">AVERAGE(OFFSET($R$3,0,0,'Données projet'!$E$9+1,1))-AVERAGE(OFFSET($H$3,0,0,'Données projet'!$E$9+1,1))</f>
        <v>341.05096821796769</v>
      </c>
      <c r="T16" s="62">
        <f t="shared" si="34"/>
        <v>400.72519822215168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projet'!$B$9,Paramètres!$A$1:$I$88,7,0))</f>
        <v>0</v>
      </c>
      <c r="X16" s="17">
        <f>IF(ISNA(VLOOKUP(A16,'Données projet'!$A$35:$I$55,6,0)),0%,VLOOKUP(A16,'Données projet'!$A$35:$I$55,6,0)*VLOOKUP('Données projet'!$B$9,Paramètres!$A$1:$I$88,7,0))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projet'!$B$9,Paramètres!$A$1:$I$88,3,0)*0.475*44/12</f>
        <v>0</v>
      </c>
      <c r="AA16" s="23">
        <f>EXP(-LN(2)/25)*AA15+(1-EXP(-LN(2)/25))/(LN(2)/25)*Calculateur!V16*Calculateur!X16*VLOOKUP('Données projet'!$B$9,Paramètres!$A$1:$I$88,3,0)*0.475*44/12</f>
        <v>0</v>
      </c>
      <c r="AB16" s="23">
        <f>EXP(-LN(2)/2)*AB15+(1-EXP(-LN(2)/2))/(LN(2)/2)*V16*Y16*VLOOKUP('Données projet'!$B$9,Paramètres!$A$1:$I$88,3,0)*0.475*44/12</f>
        <v>0</v>
      </c>
      <c r="AC16" s="24">
        <f t="shared" si="3"/>
        <v>0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63.030428811896947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3.6500000000000004</v>
      </c>
      <c r="AI16" s="14">
        <f>IF('Données projet'!$A$62&gt;35,AI15+AH16-AQ15,IF(A16&lt;'Données projet'!$A$62,$AF$205^A16,IF(A16='Données projet'!$A$62,'Données projet'!$B$62,AI15+AH16-AQ15)))</f>
        <v>27.240209182455274</v>
      </c>
      <c r="AJ16" s="14">
        <f>AI16*VLOOKUP('Données projet'!$B$10,Paramètres!$A$1:$I$88,3,0)*VLOOKUP('Données projet'!$B$10,Paramètres!$A$1:$I$88,5,0)</f>
        <v>16.289645091108255</v>
      </c>
      <c r="AK16" s="14">
        <f t="shared" si="35"/>
        <v>5.4249679191666331</v>
      </c>
      <c r="AL16" s="22">
        <f t="shared" si="4"/>
        <v>37.819617659562091</v>
      </c>
      <c r="AM16" s="62">
        <f t="shared" si="5"/>
        <v>284.82007885873981</v>
      </c>
      <c r="AN16" s="62">
        <f ca="1">AVERAGE(OFFSET($AM$3,0,0,'Données projet'!$E$10+1,1))-AVERAGE(OFFSET($H$3,0,0,'Données projet'!$E$10+1,1))</f>
        <v>231.96474801342879</v>
      </c>
      <c r="AO16" s="62">
        <f t="shared" si="36"/>
        <v>237.75726086383668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projet'!$B$10,Paramètres!$A$1:$I$88,7,0))</f>
        <v>0</v>
      </c>
      <c r="AS16" s="17">
        <f>IF(ISNA(VLOOKUP(A16,'Données projet'!$A$61:$I$81,6,0)),0%,VLOOKUP(A16,'Données projet'!$A$61:$I$81,6,0)*VLOOKUP('Données projet'!$B$10,Paramètres!$A$1:$I$88,7,0))</f>
        <v>0</v>
      </c>
      <c r="AT16" s="17">
        <f>IF(ISNA(VLOOKUP(A16,'Données projet'!$A$61:$I$81,7,0)),0%,VLOOKUP(A16,'Données projet'!$A$61:$I$81,7,0))</f>
        <v>0</v>
      </c>
      <c r="AU16" s="23">
        <f>EXP(-LN(2)/35)*AU15+(1-EXP(-LN(2)/35))/(LN(2)/35)*AQ16*AR16*VLOOKUP('Données projet'!$B$10,Paramètres!$A$1:$I$88,3,0)*0.475*44/12</f>
        <v>0</v>
      </c>
      <c r="AV16" s="23">
        <f>EXP(-LN(2)/25)*AV15+(1-EXP(-LN(2)/25))/(LN(2)/25)*Calculateur!AQ16*Calculateur!AS16*VLOOKUP('Données projet'!$B$10,Paramètres!$A$1:$I$88,3,0)*0.475*44/12</f>
        <v>0</v>
      </c>
      <c r="AW16" s="23">
        <f>EXP(-LN(2)/2)*AW15+(1-EXP(-LN(2)/2))/(LN(2)/2)*AQ16*AT16*VLOOKUP('Données projet'!$B$10,Paramètres!$A$1:$I$88,3,0)*0.475*44/12</f>
        <v>0</v>
      </c>
      <c r="AX16" s="23">
        <f t="shared" si="6"/>
        <v>0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63.030428811896947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6.5217391304347823</v>
      </c>
      <c r="BD16" s="13">
        <f>IF('Données projet'!$A$88&gt;35,BD15+BC16-BL15,IF(A16&lt;'Données projet'!$A$88,$BA$205^A16,IF(A16='Données projet'!$A$88,'Données projet'!$B$88,BD15+BC16-BL15)))</f>
        <v>84.782608695652172</v>
      </c>
      <c r="BE16" s="14">
        <f>BD16*VLOOKUP('Données projet'!$B$11,Paramètres!$A$1:$I$88,3,0)*VLOOKUP('Données projet'!$B$11,Paramètres!$A$1:$I$88,5,0)</f>
        <v>39.678260869565214</v>
      </c>
      <c r="BF16" s="14">
        <f t="shared" si="37"/>
        <v>11.913329873970039</v>
      </c>
      <c r="BG16" s="22">
        <f t="shared" si="7"/>
        <v>89.855353878323896</v>
      </c>
      <c r="BH16" s="62">
        <f t="shared" si="8"/>
        <v>336.85581507750157</v>
      </c>
      <c r="BI16" s="62">
        <f ca="1">AVERAGE(OFFSET($BH$3,0,0,'Données projet'!$E$11+1,1))-AVERAGE(OFFSET($H$3,0,0,'Données projet'!$E$11+1,1))</f>
        <v>364.96458059055169</v>
      </c>
      <c r="BJ16" s="62">
        <f t="shared" si="38"/>
        <v>246.27159120786257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projet'!$B$11,Paramètres!$A$1:$I$88,7,0))</f>
        <v>0</v>
      </c>
      <c r="BN16" s="17">
        <f>IF(ISNA(VLOOKUP(A16,'Données projet'!$A$87:$I$107,6,0)),0%,VLOOKUP(A16,'Données projet'!$A$87:$I$107,6,0)*VLOOKUP('Données projet'!$B$11,Paramètres!$A$1:$I$88,7,0))</f>
        <v>0</v>
      </c>
      <c r="BO16" s="17">
        <f>IF(ISNA(VLOOKUP(A16,'Données projet'!$A$87:$I$107,7,0)),0%,VLOOKUP(A16,'Données projet'!$A$87:$I$107,7,0))</f>
        <v>0</v>
      </c>
      <c r="BP16" s="23">
        <f>EXP(-LN(2)/35)*BP15+(1-EXP(-LN(2)/35))/(LN(2)/35)*BL16*BM16*VLOOKUP('Données projet'!$B$11,Paramètres!$A$1:$I$88,3,0)*0.475*44/12</f>
        <v>0</v>
      </c>
      <c r="BQ16" s="23">
        <f>EXP(-LN(2)/25)*BQ15+(1-EXP(-LN(2)/25))/(LN(2)/25)*Calculateur!BL16*Calculateur!BN16*VLOOKUP('Données projet'!$B$11,Paramètres!$A$1:$I$88,3,0)*0.475*44/12</f>
        <v>0</v>
      </c>
      <c r="BR16" s="23">
        <f>EXP(-LN(2)/2)*BR15+(1-EXP(-LN(2)/2))/(LN(2)/2)*BL16*BO16*VLOOKUP('Données projet'!$B$11,Paramètres!$A$1:$I$88,3,0)*0.475*44/12</f>
        <v>0</v>
      </c>
      <c r="BS16" s="24">
        <f t="shared" si="9"/>
        <v>0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63.030428811896947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4.1666667007873768</v>
      </c>
      <c r="BY16" s="13">
        <f>IF('Données projet'!$A$114&gt;35,BY15+BX16-CG15,IF(A16&lt;'Données projet'!$A$114,$BV$205^A16,IF(A16='Données projet'!$A$114,'Données projet'!$B$114,BY15+BX16-CG15)))</f>
        <v>54.166667110235885</v>
      </c>
      <c r="BZ16" s="14">
        <f>BY16*VLOOKUP('Données projet'!$B$12,Paramètres!$A$1:$I$88,3,0)*VLOOKUP('Données projet'!$B$12,Paramètres!$A$1:$I$88,5,0)</f>
        <v>54.925000449779191</v>
      </c>
      <c r="CA16" s="14">
        <f t="shared" si="39"/>
        <v>15.878625209143365</v>
      </c>
      <c r="CB16" s="22">
        <f t="shared" si="10"/>
        <v>123.3163146892901</v>
      </c>
      <c r="CC16" s="62">
        <f t="shared" si="11"/>
        <v>370.31677588846776</v>
      </c>
      <c r="CD16" s="62">
        <f ca="1">AVERAGE(OFFSET($CC$3,0,0,'Données projet'!$E$12+1,1))-AVERAGE(OFFSET($H$3,0,0,'Données projet'!$E$12+1,1))</f>
        <v>310.53598044763282</v>
      </c>
      <c r="CE16" s="62">
        <f t="shared" si="40"/>
        <v>322.01096634040596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projet'!$B$12,Paramètres!$A$1:$I$88,7,0))</f>
        <v>0</v>
      </c>
      <c r="CI16" s="17">
        <f>IF(ISNA(VLOOKUP(A16,'Données projet'!$A$113:$I$133,6,0)),0%,VLOOKUP(A16,'Données projet'!$A$113:$I$133,6,0)*VLOOKUP('Données projet'!$B$12,Paramètres!$A$1:$I$88,7,0))</f>
        <v>0</v>
      </c>
      <c r="CJ16" s="17">
        <f>IF(ISNA(VLOOKUP(A16,'Données projet'!$A$113:$I$133,7,0)),0%,VLOOKUP(A16,'Données projet'!$A$113:$I$133,7,0))</f>
        <v>0</v>
      </c>
      <c r="CK16" s="23">
        <f>EXP(-LN(2)/35)*CK15+(1-EXP(-LN(2)/35))/(LN(2)/35)*CG16*CH16*VLOOKUP('Données projet'!$B$12,Paramètres!$A$1:$I$88,3,0)*0.475*44/12</f>
        <v>0</v>
      </c>
      <c r="CL16" s="23">
        <f>EXP(-LN(2)/25)*CL15+(1-EXP(-LN(2)/25))/(LN(2)/25)*Calculateur!CG16*Calculateur!CI16*VLOOKUP('Données projet'!$B$12,Paramètres!$A$1:$I$88,3,0)*0.475*44/12</f>
        <v>0</v>
      </c>
      <c r="CM16" s="23">
        <f>EXP(-LN(2)/2)*CM15+(1-EXP(-LN(2)/2))/(LN(2)/2)*CG16*CJ16*VLOOKUP('Données projet'!$B$12,Paramètres!$A$1:$I$88,3,0)*0.475*44/12</f>
        <v>0</v>
      </c>
      <c r="CN16" s="24">
        <f t="shared" si="12"/>
        <v>0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63.030428811896947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projet'!$B$13,Paramètres!$A$1:$I$88,3,0)*VLOOKUP('Données projet'!$B$13,Paramètres!$A$1:$I$88,5,0)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projet'!$B$13,Paramètres!$A$1:$I$88,7,0))</f>
        <v>0</v>
      </c>
      <c r="DD16" s="17">
        <f>IF(ISNA(VLOOKUP(A16,'Données projet'!$A$139:$I$159,6,0)),0%,VLOOKUP(A16,'Données projet'!$A$139:$I$159,6,0)*VLOOKUP('Données projet'!$B$13,Paramètres!$A$1:$I$88,7,0))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projet'!$B$13,Paramètres!$A$1:$I$88,3,0)*0.475*44/12</f>
        <v>#N/A</v>
      </c>
      <c r="DG16" s="23" t="e">
        <f>EXP(-LN(2)/25)*DG15+(1-EXP(-LN(2)/25))/(LN(2)/25)*Calculateur!DB16*Calculateur!DD16*VLOOKUP('Données projet'!$B$13,Paramètres!$A$1:$I$88,3,0)*0.475*44/12</f>
        <v>#N/A</v>
      </c>
      <c r="DH16" s="23" t="e">
        <f>EXP(-LN(2)/2)*DH15+(1-EXP(-LN(2)/2))/(LN(2)/2)*DB16*DE16*VLOOKUP('Données projet'!$B$13,Paramètres!$A$1:$I$88,3,0)*0.475*44/12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63.030428811896947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projet'!$B$14,Paramètres!$A$1:$I$88,3,0)*VLOOKUP('Données projet'!$B$14,Paramètres!$A$1:$I$88,5,0)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projet'!$B$14,Paramètres!$A$1:$I$88,7,0))</f>
        <v>0</v>
      </c>
      <c r="DY16" s="17">
        <f>IF(ISNA(VLOOKUP(A16,'Données projet'!$A$165:$I$185,6,0)),0%,VLOOKUP(A16,'Données projet'!$A$165:$I$185,6,0)*VLOOKUP('Données projet'!$B$14,Paramètres!$A$1:$I$88,7,0))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projet'!$B$14,Paramètres!$A$1:$I$88,3,0)*0.475*44/12</f>
        <v>#N/A</v>
      </c>
      <c r="EB16" s="23" t="e">
        <f>EXP(-LN(2)/25)*EB15+(1-EXP(-LN(2)/25))/(LN(2)/25)*Calculateur!DW16*Calculateur!DY16*VLOOKUP('Données projet'!$B$14,Paramètres!$A$1:$I$88,3,0)*0.475*44/12</f>
        <v>#N/A</v>
      </c>
      <c r="EC16" s="23" t="e">
        <f>EXP(-LN(2)/2)*EC15+(1-EXP(-LN(2)/2))/(LN(2)/2)*DW16*DZ16*VLOOKUP('Données projet'!$B$14,Paramètres!$A$1:$I$88,3,0)*0.475*44/12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63.030428811896947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projet'!$B$15,Paramètres!$A$1:$I$88,3,0)*VLOOKUP('Données projet'!$B$15,Paramètres!$A$1:$I$88,5,0)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projet'!$B$15,Paramètres!$A$1:$I$88,7,0))</f>
        <v>0</v>
      </c>
      <c r="ET16" s="17">
        <f>IF(ISNA(VLOOKUP(A16,'Données projet'!$A$191:$I$211,6,0)),0%,VLOOKUP(A16,'Données projet'!$A$191:$I$211,6,0)*VLOOKUP('Données projet'!$B$15,Paramètres!$A$1:$I$88,7,0))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projet'!$B$15,Paramètres!$A$1:$I$88,3,0)*0.475*44/12</f>
        <v>#N/A</v>
      </c>
      <c r="EW16" s="23" t="e">
        <f>EXP(-LN(2)/25)*EW15+(1-EXP(-LN(2)/25))/(LN(2)/25)*Calculateur!ER16*Calculateur!ET16*VLOOKUP('Données projet'!$B$15,Paramètres!$A$1:$I$88,3,0)*0.475*44/12</f>
        <v>#N/A</v>
      </c>
      <c r="EX16" s="23" t="e">
        <f>EXP(-LN(2)/2)*EX15+(1-EXP(-LN(2)/2))/(LN(2)/2)*ER16*EU16*VLOOKUP('Données projet'!$B$15,Paramètres!$A$1:$I$88,3,0)*0.475*44/12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63.030428811896947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projet'!$B$16,Paramètres!$A$1:$I$88,3,0)*VLOOKUP('Données projet'!$B$16,Paramètres!$A$1:$I$88,5,0)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projet'!$B$16,Paramètres!$A$1:$I$88,7,0))</f>
        <v>0</v>
      </c>
      <c r="FO16" s="17">
        <f>IF(ISNA(VLOOKUP(A16,'Données projet'!$A$217:$I$237,6,0)),0%,VLOOKUP(A16,'Données projet'!$A$217:$I$237,6,0)*VLOOKUP('Données projet'!$B$16,Paramètres!$A$1:$I$88,7,0))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projet'!$B$16,Paramètres!$A$1:$I$88,3,0)*0.475*44/12</f>
        <v>#N/A</v>
      </c>
      <c r="FR16" s="23" t="e">
        <f>EXP(-LN(2)/25)*FR15+(1-EXP(-LN(2)/25))/(LN(2)/25)*Calculateur!FM16*Calculateur!FO16*VLOOKUP('Données projet'!$B$16,Paramètres!$A$1:$I$88,3,0)*0.475*44/12</f>
        <v>#N/A</v>
      </c>
      <c r="FS16" s="23" t="e">
        <f>EXP(-LN(2)/2)*FS15+(1-EXP(-LN(2)/2))/(LN(2)/2)*FM16*FP16*VLOOKUP('Données projet'!$B$16,Paramètres!$A$1:$I$88,3,0)*0.475*44/12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63.030428811896947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projet'!$B$17,Paramètres!$A$1:$I$88,3,0)*VLOOKUP('Données projet'!$B$17,Paramètres!$A$1:$I$88,5,0)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projet'!$B$17,Paramètres!$A$1:$I$88,7,0))</f>
        <v>0</v>
      </c>
      <c r="GJ16" s="17">
        <f>IF(ISNA(VLOOKUP(A16,'Données projet'!$A$243:$I$263,6,0)),0%,VLOOKUP(A16,'Données projet'!$A$243:$I$263,6,0)*VLOOKUP('Données projet'!$B$17,Paramètres!$A$1:$I$88,7,0))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projet'!$B$17,Paramètres!$A$1:$I$88,3,0)*0.475*44/12</f>
        <v>#N/A</v>
      </c>
      <c r="GM16" s="23" t="e">
        <f>EXP(-LN(2)/25)*GM15+(1-EXP(-LN(2)/25))/(LN(2)/25)*Calculateur!GH16*Calculateur!GJ16*VLOOKUP('Données projet'!$B$17,Paramètres!$A$1:$I$88,3,0)*0.475*44/12</f>
        <v>#N/A</v>
      </c>
      <c r="GN16" s="23" t="e">
        <f>EXP(-LN(2)/2)*GN15+(1-EXP(-LN(2)/2))/(LN(2)/2)*GH16*GK16*VLOOKUP('Données projet'!$B$17,Paramètres!$A$1:$I$88,3,0)*0.475*44/12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63.030428811896947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projet'!$B$18,Paramètres!$A$1:$I$88,3,0)*VLOOKUP('Données projet'!$B$18,Paramètres!$A$1:$I$88,5,0)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projet'!$B$18,Paramètres!$A$1:$I$88,7,0))</f>
        <v>0</v>
      </c>
      <c r="HE16" s="17">
        <f>IF(ISNA(VLOOKUP(A16,'Données projet'!$A$269:$I$289,6,0)),0%,VLOOKUP(A16,'Données projet'!$A$269:$I$289,6,0)*VLOOKUP('Données projet'!$B$18,Paramètres!$A$1:$I$88,7,0))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projet'!$B$18,Paramètres!$A$1:$I$88,3,0)*0.475*44/12</f>
        <v>#N/A</v>
      </c>
      <c r="HH16" s="23" t="e">
        <f>EXP(-LN(2)/25)*HH15+(1-EXP(-LN(2)/25))/(LN(2)/25)*Calculateur!HC16*Calculateur!HE16*VLOOKUP('Données projet'!$B$18,Paramètres!$A$1:$I$88,3,0)*0.475*44/12</f>
        <v>#N/A</v>
      </c>
      <c r="HI16" s="23" t="e">
        <f>EXP(-LN(2)/2)*HI15+(1-EXP(-LN(2)/2))/(LN(2)/2)*HC16*HF16*VLOOKUP('Données projet'!$B$18,Paramètres!$A$1:$I$88,3,0)*0.475*44/12</f>
        <v>#N/A</v>
      </c>
      <c r="HJ16" s="24" t="e">
        <f t="shared" si="30"/>
        <v>#N/A</v>
      </c>
    </row>
    <row r="17" spans="1:218" s="5" customFormat="1" x14ac:dyDescent="0.35">
      <c r="A17" s="11">
        <f t="shared" si="31"/>
        <v>14</v>
      </c>
      <c r="B17" s="77">
        <f>'Scénario référence'!$B$16*5+'Scénario référence'!$B$17*0+'Scénario référence'!$B$18*5</f>
        <v>1.75</v>
      </c>
      <c r="C17" s="20">
        <f>Calculateur!C16+'Scénario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7" s="12">
        <f t="shared" si="3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6.416666666666667</v>
      </c>
      <c r="H17" s="70">
        <f t="shared" si="1"/>
        <v>231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63.151335290383656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10.119999999999999</v>
      </c>
      <c r="N17" s="14">
        <f>IF('Données projet'!$A$36&gt;35,N16+M17-V16,IF(A17&lt;'Données projet'!$A$36,$K$205^A17,IF(A17='Données projet'!$A$36,'Données projet'!$B$36,N16+M17-V16)))</f>
        <v>22.169070876082184</v>
      </c>
      <c r="O17" s="14">
        <f>N17*VLOOKUP('Données projet'!$B$9,Paramètres!$A$1:$I$88,3,0)*VLOOKUP('Données projet'!$B$9,Paramètres!$A$1:$I$88,5,0)</f>
        <v>12.392510619729942</v>
      </c>
      <c r="P17" s="14">
        <f t="shared" si="33"/>
        <v>4.260569186563723</v>
      </c>
      <c r="Q17" s="22">
        <f t="shared" si="2"/>
        <v>29.004113995961465</v>
      </c>
      <c r="R17" s="62">
        <f t="shared" si="0"/>
        <v>277.6701211718127</v>
      </c>
      <c r="S17" s="62">
        <f ca="1">AVERAGE(OFFSET($R$3,0,0,'Données projet'!$E$9+1,1))-AVERAGE(OFFSET($H$3,0,0,'Données projet'!$E$9+1,1))</f>
        <v>341.05096821796769</v>
      </c>
      <c r="T17" s="62">
        <f t="shared" si="34"/>
        <v>400.72519822215168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projet'!$B$9,Paramètres!$A$1:$I$88,7,0))</f>
        <v>0</v>
      </c>
      <c r="X17" s="17">
        <f>IF(ISNA(VLOOKUP(A17,'Données projet'!$A$35:$I$55,6,0)),0%,VLOOKUP(A17,'Données projet'!$A$35:$I$55,6,0)*VLOOKUP('Données projet'!$B$9,Paramètres!$A$1:$I$88,7,0))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projet'!$B$9,Paramètres!$A$1:$I$88,3,0)*0.475*44/12</f>
        <v>0</v>
      </c>
      <c r="AA17" s="23">
        <f>EXP(-LN(2)/25)*AA16+(1-EXP(-LN(2)/25))/(LN(2)/25)*Calculateur!V17*Calculateur!X17*VLOOKUP('Données projet'!$B$9,Paramètres!$A$1:$I$88,3,0)*0.475*44/12</f>
        <v>0</v>
      </c>
      <c r="AB17" s="23">
        <f>EXP(-LN(2)/2)*AB16+(1-EXP(-LN(2)/2))/(LN(2)/2)*V17*Y17*VLOOKUP('Données projet'!$B$9,Paramètres!$A$1:$I$88,3,0)*0.475*44/12</f>
        <v>0</v>
      </c>
      <c r="AC17" s="24">
        <f t="shared" si="3"/>
        <v>0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63.151335290383656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3.6500000000000004</v>
      </c>
      <c r="AI17" s="14">
        <f>IF('Données projet'!$A$62&gt;35,AI16+AH17-AQ16,IF(A17&lt;'Données projet'!$A$62,$AF$205^A17,IF(A17='Données projet'!$A$62,'Données projet'!$B$62,AI16+AH17-AQ16)))</f>
        <v>35.124588195192857</v>
      </c>
      <c r="AJ17" s="14">
        <f>AI17*VLOOKUP('Données projet'!$B$10,Paramètres!$A$1:$I$88,3,0)*VLOOKUP('Données projet'!$B$10,Paramètres!$A$1:$I$88,5,0)</f>
        <v>21.004503740725333</v>
      </c>
      <c r="AK17" s="14">
        <f t="shared" si="35"/>
        <v>6.791212560104019</v>
      </c>
      <c r="AL17" s="22">
        <f t="shared" si="4"/>
        <v>48.410872557277791</v>
      </c>
      <c r="AM17" s="62">
        <f t="shared" si="5"/>
        <v>297.07687973312898</v>
      </c>
      <c r="AN17" s="62">
        <f ca="1">AVERAGE(OFFSET($AM$3,0,0,'Données projet'!$E$10+1,1))-AVERAGE(OFFSET($H$3,0,0,'Données projet'!$E$10+1,1))</f>
        <v>231.96474801342879</v>
      </c>
      <c r="AO17" s="62">
        <f t="shared" si="36"/>
        <v>237.75726086383668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projet'!$B$10,Paramètres!$A$1:$I$88,7,0))</f>
        <v>0</v>
      </c>
      <c r="AS17" s="17">
        <f>IF(ISNA(VLOOKUP(A17,'Données projet'!$A$61:$I$81,6,0)),0%,VLOOKUP(A17,'Données projet'!$A$61:$I$81,6,0)*VLOOKUP('Données projet'!$B$10,Paramètres!$A$1:$I$88,7,0))</f>
        <v>0</v>
      </c>
      <c r="AT17" s="17">
        <f>IF(ISNA(VLOOKUP(A17,'Données projet'!$A$61:$I$81,7,0)),0%,VLOOKUP(A17,'Données projet'!$A$61:$I$81,7,0))</f>
        <v>0</v>
      </c>
      <c r="AU17" s="23">
        <f>EXP(-LN(2)/35)*AU16+(1-EXP(-LN(2)/35))/(LN(2)/35)*AQ17*AR17*VLOOKUP('Données projet'!$B$10,Paramètres!$A$1:$I$88,3,0)*0.475*44/12</f>
        <v>0</v>
      </c>
      <c r="AV17" s="23">
        <f>EXP(-LN(2)/25)*AV16+(1-EXP(-LN(2)/25))/(LN(2)/25)*Calculateur!AQ17*Calculateur!AS17*VLOOKUP('Données projet'!$B$10,Paramètres!$A$1:$I$88,3,0)*0.475*44/12</f>
        <v>0</v>
      </c>
      <c r="AW17" s="23">
        <f>EXP(-LN(2)/2)*AW16+(1-EXP(-LN(2)/2))/(LN(2)/2)*AQ17*AT17*VLOOKUP('Données projet'!$B$10,Paramètres!$A$1:$I$88,3,0)*0.475*44/12</f>
        <v>0</v>
      </c>
      <c r="AX17" s="23">
        <f t="shared" si="6"/>
        <v>0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63.151335290383656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6.5217391304347823</v>
      </c>
      <c r="BD17" s="13">
        <f>IF('Données projet'!$A$88&gt;35,BD16+BC17-BL16,IF(A17&lt;'Données projet'!$A$88,$BA$205^A17,IF(A17='Données projet'!$A$88,'Données projet'!$B$88,BD16+BC17-BL16)))</f>
        <v>91.304347826086953</v>
      </c>
      <c r="BE17" s="14">
        <f>BD17*VLOOKUP('Données projet'!$B$11,Paramètres!$A$1:$I$88,3,0)*VLOOKUP('Données projet'!$B$11,Paramètres!$A$1:$I$88,5,0)</f>
        <v>42.730434782608697</v>
      </c>
      <c r="BF17" s="14">
        <f t="shared" si="37"/>
        <v>12.719544339203972</v>
      </c>
      <c r="BG17" s="22">
        <f t="shared" si="7"/>
        <v>96.575380303823735</v>
      </c>
      <c r="BH17" s="62">
        <f t="shared" si="8"/>
        <v>345.24138747967493</v>
      </c>
      <c r="BI17" s="62">
        <f ca="1">AVERAGE(OFFSET($BH$3,0,0,'Données projet'!$E$11+1,1))-AVERAGE(OFFSET($H$3,0,0,'Données projet'!$E$11+1,1))</f>
        <v>364.96458059055169</v>
      </c>
      <c r="BJ17" s="62">
        <f t="shared" si="38"/>
        <v>246.27159120786257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projet'!$B$11,Paramètres!$A$1:$I$88,7,0))</f>
        <v>0</v>
      </c>
      <c r="BN17" s="17">
        <f>IF(ISNA(VLOOKUP(A17,'Données projet'!$A$87:$I$107,6,0)),0%,VLOOKUP(A17,'Données projet'!$A$87:$I$107,6,0)*VLOOKUP('Données projet'!$B$11,Paramètres!$A$1:$I$88,7,0))</f>
        <v>0</v>
      </c>
      <c r="BO17" s="17">
        <f>IF(ISNA(VLOOKUP(A17,'Données projet'!$A$87:$I$107,7,0)),0%,VLOOKUP(A17,'Données projet'!$A$87:$I$107,7,0))</f>
        <v>0</v>
      </c>
      <c r="BP17" s="23">
        <f>EXP(-LN(2)/35)*BP16+(1-EXP(-LN(2)/35))/(LN(2)/35)*BL17*BM17*VLOOKUP('Données projet'!$B$11,Paramètres!$A$1:$I$88,3,0)*0.475*44/12</f>
        <v>0</v>
      </c>
      <c r="BQ17" s="23">
        <f>EXP(-LN(2)/25)*BQ16+(1-EXP(-LN(2)/25))/(LN(2)/25)*Calculateur!BL17*Calculateur!BN17*VLOOKUP('Données projet'!$B$11,Paramètres!$A$1:$I$88,3,0)*0.475*44/12</f>
        <v>0</v>
      </c>
      <c r="BR17" s="23">
        <f>EXP(-LN(2)/2)*BR16+(1-EXP(-LN(2)/2))/(LN(2)/2)*BL17*BO17*VLOOKUP('Données projet'!$B$11,Paramètres!$A$1:$I$88,3,0)*0.475*44/12</f>
        <v>0</v>
      </c>
      <c r="BS17" s="24">
        <f t="shared" si="9"/>
        <v>0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63.151335290383656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4.1666667007873768</v>
      </c>
      <c r="BY17" s="13">
        <f>IF('Données projet'!$A$114&gt;35,BY16+BX17-CG16,IF(A17&lt;'Données projet'!$A$114,$BV$205^A17,IF(A17='Données projet'!$A$114,'Données projet'!$B$114,BY16+BX17-CG16)))</f>
        <v>58.333333811023259</v>
      </c>
      <c r="BZ17" s="14">
        <f>BY17*VLOOKUP('Données projet'!$B$12,Paramètres!$A$1:$I$88,3,0)*VLOOKUP('Données projet'!$B$12,Paramètres!$A$1:$I$88,5,0)</f>
        <v>59.150000484377593</v>
      </c>
      <c r="CA17" s="14">
        <f t="shared" si="39"/>
        <v>16.953184334683083</v>
      </c>
      <c r="CB17" s="22">
        <f t="shared" si="10"/>
        <v>132.54638022653066</v>
      </c>
      <c r="CC17" s="62">
        <f t="shared" si="11"/>
        <v>381.21238740238186</v>
      </c>
      <c r="CD17" s="62">
        <f ca="1">AVERAGE(OFFSET($CC$3,0,0,'Données projet'!$E$12+1,1))-AVERAGE(OFFSET($H$3,0,0,'Données projet'!$E$12+1,1))</f>
        <v>310.53598044763282</v>
      </c>
      <c r="CE17" s="62">
        <f t="shared" si="40"/>
        <v>322.01096634040596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projet'!$B$12,Paramètres!$A$1:$I$88,7,0))</f>
        <v>0</v>
      </c>
      <c r="CI17" s="17">
        <f>IF(ISNA(VLOOKUP(A17,'Données projet'!$A$113:$I$133,6,0)),0%,VLOOKUP(A17,'Données projet'!$A$113:$I$133,6,0)*VLOOKUP('Données projet'!$B$12,Paramètres!$A$1:$I$88,7,0))</f>
        <v>0</v>
      </c>
      <c r="CJ17" s="17">
        <f>IF(ISNA(VLOOKUP(A17,'Données projet'!$A$113:$I$133,7,0)),0%,VLOOKUP(A17,'Données projet'!$A$113:$I$133,7,0))</f>
        <v>0</v>
      </c>
      <c r="CK17" s="23">
        <f>EXP(-LN(2)/35)*CK16+(1-EXP(-LN(2)/35))/(LN(2)/35)*CG17*CH17*VLOOKUP('Données projet'!$B$12,Paramètres!$A$1:$I$88,3,0)*0.475*44/12</f>
        <v>0</v>
      </c>
      <c r="CL17" s="23">
        <f>EXP(-LN(2)/25)*CL16+(1-EXP(-LN(2)/25))/(LN(2)/25)*Calculateur!CG17*Calculateur!CI17*VLOOKUP('Données projet'!$B$12,Paramètres!$A$1:$I$88,3,0)*0.475*44/12</f>
        <v>0</v>
      </c>
      <c r="CM17" s="23">
        <f>EXP(-LN(2)/2)*CM16+(1-EXP(-LN(2)/2))/(LN(2)/2)*CG17*CJ17*VLOOKUP('Données projet'!$B$12,Paramètres!$A$1:$I$88,3,0)*0.475*44/12</f>
        <v>0</v>
      </c>
      <c r="CN17" s="24">
        <f t="shared" si="12"/>
        <v>0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63.151335290383656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projet'!$B$13,Paramètres!$A$1:$I$88,3,0)*VLOOKUP('Données projet'!$B$13,Paramètres!$A$1:$I$88,5,0)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projet'!$B$13,Paramètres!$A$1:$I$88,7,0))</f>
        <v>0</v>
      </c>
      <c r="DD17" s="17">
        <f>IF(ISNA(VLOOKUP(A17,'Données projet'!$A$139:$I$159,6,0)),0%,VLOOKUP(A17,'Données projet'!$A$139:$I$159,6,0)*VLOOKUP('Données projet'!$B$13,Paramètres!$A$1:$I$88,7,0))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projet'!$B$13,Paramètres!$A$1:$I$88,3,0)*0.475*44/12</f>
        <v>#N/A</v>
      </c>
      <c r="DG17" s="23" t="e">
        <f>EXP(-LN(2)/25)*DG16+(1-EXP(-LN(2)/25))/(LN(2)/25)*Calculateur!DB17*Calculateur!DD17*VLOOKUP('Données projet'!$B$13,Paramètres!$A$1:$I$88,3,0)*0.475*44/12</f>
        <v>#N/A</v>
      </c>
      <c r="DH17" s="23" t="e">
        <f>EXP(-LN(2)/2)*DH16+(1-EXP(-LN(2)/2))/(LN(2)/2)*DB17*DE17*VLOOKUP('Données projet'!$B$13,Paramètres!$A$1:$I$88,3,0)*0.475*44/12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63.151335290383656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projet'!$B$14,Paramètres!$A$1:$I$88,3,0)*VLOOKUP('Données projet'!$B$14,Paramètres!$A$1:$I$88,5,0)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projet'!$B$14,Paramètres!$A$1:$I$88,7,0))</f>
        <v>0</v>
      </c>
      <c r="DY17" s="17">
        <f>IF(ISNA(VLOOKUP(A17,'Données projet'!$A$165:$I$185,6,0)),0%,VLOOKUP(A17,'Données projet'!$A$165:$I$185,6,0)*VLOOKUP('Données projet'!$B$14,Paramètres!$A$1:$I$88,7,0))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projet'!$B$14,Paramètres!$A$1:$I$88,3,0)*0.475*44/12</f>
        <v>#N/A</v>
      </c>
      <c r="EB17" s="23" t="e">
        <f>EXP(-LN(2)/25)*EB16+(1-EXP(-LN(2)/25))/(LN(2)/25)*Calculateur!DW17*Calculateur!DY17*VLOOKUP('Données projet'!$B$14,Paramètres!$A$1:$I$88,3,0)*0.475*44/12</f>
        <v>#N/A</v>
      </c>
      <c r="EC17" s="23" t="e">
        <f>EXP(-LN(2)/2)*EC16+(1-EXP(-LN(2)/2))/(LN(2)/2)*DW17*DZ17*VLOOKUP('Données projet'!$B$14,Paramètres!$A$1:$I$88,3,0)*0.475*44/12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63.151335290383656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projet'!$B$15,Paramètres!$A$1:$I$88,3,0)*VLOOKUP('Données projet'!$B$15,Paramètres!$A$1:$I$88,5,0)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projet'!$B$15,Paramètres!$A$1:$I$88,7,0))</f>
        <v>0</v>
      </c>
      <c r="ET17" s="17">
        <f>IF(ISNA(VLOOKUP(A17,'Données projet'!$A$191:$I$211,6,0)),0%,VLOOKUP(A17,'Données projet'!$A$191:$I$211,6,0)*VLOOKUP('Données projet'!$B$15,Paramètres!$A$1:$I$88,7,0))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projet'!$B$15,Paramètres!$A$1:$I$88,3,0)*0.475*44/12</f>
        <v>#N/A</v>
      </c>
      <c r="EW17" s="23" t="e">
        <f>EXP(-LN(2)/25)*EW16+(1-EXP(-LN(2)/25))/(LN(2)/25)*Calculateur!ER17*Calculateur!ET17*VLOOKUP('Données projet'!$B$15,Paramètres!$A$1:$I$88,3,0)*0.475*44/12</f>
        <v>#N/A</v>
      </c>
      <c r="EX17" s="23" t="e">
        <f>EXP(-LN(2)/2)*EX16+(1-EXP(-LN(2)/2))/(LN(2)/2)*ER17*EU17*VLOOKUP('Données projet'!$B$15,Paramètres!$A$1:$I$88,3,0)*0.475*44/12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63.151335290383656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projet'!$B$16,Paramètres!$A$1:$I$88,3,0)*VLOOKUP('Données projet'!$B$16,Paramètres!$A$1:$I$88,5,0)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projet'!$B$16,Paramètres!$A$1:$I$88,7,0))</f>
        <v>0</v>
      </c>
      <c r="FO17" s="17">
        <f>IF(ISNA(VLOOKUP(A17,'Données projet'!$A$217:$I$237,6,0)),0%,VLOOKUP(A17,'Données projet'!$A$217:$I$237,6,0)*VLOOKUP('Données projet'!$B$16,Paramètres!$A$1:$I$88,7,0))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projet'!$B$16,Paramètres!$A$1:$I$88,3,0)*0.475*44/12</f>
        <v>#N/A</v>
      </c>
      <c r="FR17" s="23" t="e">
        <f>EXP(-LN(2)/25)*FR16+(1-EXP(-LN(2)/25))/(LN(2)/25)*Calculateur!FM17*Calculateur!FO17*VLOOKUP('Données projet'!$B$16,Paramètres!$A$1:$I$88,3,0)*0.475*44/12</f>
        <v>#N/A</v>
      </c>
      <c r="FS17" s="23" t="e">
        <f>EXP(-LN(2)/2)*FS16+(1-EXP(-LN(2)/2))/(LN(2)/2)*FM17*FP17*VLOOKUP('Données projet'!$B$16,Paramètres!$A$1:$I$88,3,0)*0.475*44/12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63.151335290383656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projet'!$B$17,Paramètres!$A$1:$I$88,3,0)*VLOOKUP('Données projet'!$B$17,Paramètres!$A$1:$I$88,5,0)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projet'!$B$17,Paramètres!$A$1:$I$88,7,0))</f>
        <v>0</v>
      </c>
      <c r="GJ17" s="17">
        <f>IF(ISNA(VLOOKUP(A17,'Données projet'!$A$243:$I$263,6,0)),0%,VLOOKUP(A17,'Données projet'!$A$243:$I$263,6,0)*VLOOKUP('Données projet'!$B$17,Paramètres!$A$1:$I$88,7,0))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projet'!$B$17,Paramètres!$A$1:$I$88,3,0)*0.475*44/12</f>
        <v>#N/A</v>
      </c>
      <c r="GM17" s="23" t="e">
        <f>EXP(-LN(2)/25)*GM16+(1-EXP(-LN(2)/25))/(LN(2)/25)*Calculateur!GH17*Calculateur!GJ17*VLOOKUP('Données projet'!$B$17,Paramètres!$A$1:$I$88,3,0)*0.475*44/12</f>
        <v>#N/A</v>
      </c>
      <c r="GN17" s="23" t="e">
        <f>EXP(-LN(2)/2)*GN16+(1-EXP(-LN(2)/2))/(LN(2)/2)*GH17*GK17*VLOOKUP('Données projet'!$B$17,Paramètres!$A$1:$I$88,3,0)*0.475*44/12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63.151335290383656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projet'!$B$18,Paramètres!$A$1:$I$88,3,0)*VLOOKUP('Données projet'!$B$18,Paramètres!$A$1:$I$88,5,0)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projet'!$B$18,Paramètres!$A$1:$I$88,7,0))</f>
        <v>0</v>
      </c>
      <c r="HE17" s="17">
        <f>IF(ISNA(VLOOKUP(A17,'Données projet'!$A$269:$I$289,6,0)),0%,VLOOKUP(A17,'Données projet'!$A$269:$I$289,6,0)*VLOOKUP('Données projet'!$B$18,Paramètres!$A$1:$I$88,7,0))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projet'!$B$18,Paramètres!$A$1:$I$88,3,0)*0.475*44/12</f>
        <v>#N/A</v>
      </c>
      <c r="HH17" s="23" t="e">
        <f>EXP(-LN(2)/25)*HH16+(1-EXP(-LN(2)/25))/(LN(2)/25)*Calculateur!HC17*Calculateur!HE17*VLOOKUP('Données projet'!$B$18,Paramètres!$A$1:$I$88,3,0)*0.475*44/12</f>
        <v>#N/A</v>
      </c>
      <c r="HI17" s="23" t="e">
        <f>EXP(-LN(2)/2)*HI16+(1-EXP(-LN(2)/2))/(LN(2)/2)*HC17*HF17*VLOOKUP('Données projet'!$B$18,Paramètres!$A$1:$I$88,3,0)*0.475*44/12</f>
        <v>#N/A</v>
      </c>
      <c r="HJ17" s="24" t="e">
        <f t="shared" si="30"/>
        <v>#N/A</v>
      </c>
    </row>
    <row r="18" spans="1:218" s="5" customFormat="1" x14ac:dyDescent="0.35">
      <c r="A18" s="11">
        <f t="shared" si="31"/>
        <v>15</v>
      </c>
      <c r="B18" s="77">
        <f>'Scénario référence'!$B$16*5+'Scénario référence'!$B$17*0+'Scénario référence'!$B$18*5</f>
        <v>1.75</v>
      </c>
      <c r="C18" s="20">
        <f>Calculateur!C17+'Scénario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8" s="12">
        <f t="shared" si="3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6.416666666666667</v>
      </c>
      <c r="H18" s="70">
        <f t="shared" si="1"/>
        <v>231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63.270144311775006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10.119999999999999</v>
      </c>
      <c r="N18" s="14">
        <f>IF('Données projet'!$A$36&gt;35,N17+M18-V17,IF(A18&lt;'Données projet'!$A$36,$K$205^A18,IF(A18='Données projet'!$A$36,'Données projet'!$B$36,N17+M18-V17)))</f>
        <v>27.661282540950811</v>
      </c>
      <c r="O18" s="14">
        <f>N18*VLOOKUP('Données projet'!$B$9,Paramètres!$A$1:$I$88,3,0)*VLOOKUP('Données projet'!$B$9,Paramètres!$A$1:$I$88,5,0)</f>
        <v>15.462656940391502</v>
      </c>
      <c r="P18" s="14">
        <f t="shared" si="33"/>
        <v>5.1808797684271957</v>
      </c>
      <c r="Q18" s="22">
        <f t="shared" si="2"/>
        <v>35.954159767859231</v>
      </c>
      <c r="R18" s="62">
        <f t="shared" si="0"/>
        <v>286.27802224436755</v>
      </c>
      <c r="S18" s="62">
        <f ca="1">AVERAGE(OFFSET($R$3,0,0,'Données projet'!$E$9+1,1))-AVERAGE(OFFSET($H$3,0,0,'Données projet'!$E$9+1,1))</f>
        <v>341.05096821796769</v>
      </c>
      <c r="T18" s="62">
        <f t="shared" si="34"/>
        <v>400.72519822215168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projet'!$B$9,Paramètres!$A$1:$I$88,7,0))</f>
        <v>0</v>
      </c>
      <c r="X18" s="17">
        <f>IF(ISNA(VLOOKUP(A18,'Données projet'!$A$35:$I$55,6,0)),0%,VLOOKUP(A18,'Données projet'!$A$35:$I$55,6,0)*VLOOKUP('Données projet'!$B$9,Paramètres!$A$1:$I$88,7,0))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projet'!$B$9,Paramètres!$A$1:$I$88,3,0)*0.475*44/12</f>
        <v>0</v>
      </c>
      <c r="AA18" s="23">
        <f>EXP(-LN(2)/25)*AA17+(1-EXP(-LN(2)/25))/(LN(2)/25)*Calculateur!V18*Calculateur!X18*VLOOKUP('Données projet'!$B$9,Paramètres!$A$1:$I$88,3,0)*0.475*44/12</f>
        <v>0</v>
      </c>
      <c r="AB18" s="23">
        <f>EXP(-LN(2)/2)*AB17+(1-EXP(-LN(2)/2))/(LN(2)/2)*V18*Y18*VLOOKUP('Données projet'!$B$9,Paramètres!$A$1:$I$88,3,0)*0.475*44/12</f>
        <v>0</v>
      </c>
      <c r="AC18" s="24">
        <f t="shared" si="3"/>
        <v>0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63.270144311775006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3.6500000000000004</v>
      </c>
      <c r="AI18" s="14">
        <f>IF('Données projet'!$A$62&gt;35,AI17+AH18-AQ17,IF(A18&lt;'Données projet'!$A$62,$AF$205^A18,IF(A18='Données projet'!$A$62,'Données projet'!$B$62,AI17+AH18-AQ17)))</f>
        <v>45.291014016019375</v>
      </c>
      <c r="AJ18" s="14">
        <f>AI18*VLOOKUP('Données projet'!$B$10,Paramètres!$A$1:$I$88,3,0)*VLOOKUP('Données projet'!$B$10,Paramètres!$A$1:$I$88,5,0)</f>
        <v>27.084026381579587</v>
      </c>
      <c r="AK18" s="14">
        <f t="shared" si="35"/>
        <v>8.5015374696629493</v>
      </c>
      <c r="AL18" s="22">
        <f t="shared" si="4"/>
        <v>61.978190374247419</v>
      </c>
      <c r="AM18" s="62">
        <f t="shared" si="5"/>
        <v>312.30205285075579</v>
      </c>
      <c r="AN18" s="62">
        <f ca="1">AVERAGE(OFFSET($AM$3,0,0,'Données projet'!$E$10+1,1))-AVERAGE(OFFSET($H$3,0,0,'Données projet'!$E$10+1,1))</f>
        <v>231.96474801342879</v>
      </c>
      <c r="AO18" s="62">
        <f t="shared" si="36"/>
        <v>237.75726086383668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projet'!$B$10,Paramètres!$A$1:$I$88,7,0))</f>
        <v>0</v>
      </c>
      <c r="AS18" s="17">
        <f>IF(ISNA(VLOOKUP(A18,'Données projet'!$A$61:$I$81,6,0)),0%,VLOOKUP(A18,'Données projet'!$A$61:$I$81,6,0)*VLOOKUP('Données projet'!$B$10,Paramètres!$A$1:$I$88,7,0))</f>
        <v>0</v>
      </c>
      <c r="AT18" s="17">
        <f>IF(ISNA(VLOOKUP(A18,'Données projet'!$A$61:$I$81,7,0)),0%,VLOOKUP(A18,'Données projet'!$A$61:$I$81,7,0))</f>
        <v>0</v>
      </c>
      <c r="AU18" s="23">
        <f>EXP(-LN(2)/35)*AU17+(1-EXP(-LN(2)/35))/(LN(2)/35)*AQ18*AR18*VLOOKUP('Données projet'!$B$10,Paramètres!$A$1:$I$88,3,0)*0.475*44/12</f>
        <v>0</v>
      </c>
      <c r="AV18" s="23">
        <f>EXP(-LN(2)/25)*AV17+(1-EXP(-LN(2)/25))/(LN(2)/25)*Calculateur!AQ18*Calculateur!AS18*VLOOKUP('Données projet'!$B$10,Paramètres!$A$1:$I$88,3,0)*0.475*44/12</f>
        <v>0</v>
      </c>
      <c r="AW18" s="23">
        <f>EXP(-LN(2)/2)*AW17+(1-EXP(-LN(2)/2))/(LN(2)/2)*AQ18*AT18*VLOOKUP('Données projet'!$B$10,Paramètres!$A$1:$I$88,3,0)*0.475*44/12</f>
        <v>0</v>
      </c>
      <c r="AX18" s="23">
        <f t="shared" si="6"/>
        <v>0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63.270144311775006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6.5217391304347823</v>
      </c>
      <c r="BD18" s="13">
        <f>IF('Données projet'!$A$88&gt;35,BD17+BC18-BL17,IF(A18&lt;'Données projet'!$A$88,$BA$205^A18,IF(A18='Données projet'!$A$88,'Données projet'!$B$88,BD17+BC18-BL17)))</f>
        <v>97.826086956521735</v>
      </c>
      <c r="BE18" s="14">
        <f>BD18*VLOOKUP('Données projet'!$B$11,Paramètres!$A$1:$I$88,3,0)*VLOOKUP('Données projet'!$B$11,Paramètres!$A$1:$I$88,5,0)</f>
        <v>45.782608695652172</v>
      </c>
      <c r="BF18" s="14">
        <f t="shared" si="37"/>
        <v>13.51907750119255</v>
      </c>
      <c r="BG18" s="22">
        <f t="shared" si="7"/>
        <v>103.28377012617121</v>
      </c>
      <c r="BH18" s="62">
        <f t="shared" si="8"/>
        <v>353.60763260267953</v>
      </c>
      <c r="BI18" s="62">
        <f ca="1">AVERAGE(OFFSET($BH$3,0,0,'Données projet'!$E$11+1,1))-AVERAGE(OFFSET($H$3,0,0,'Données projet'!$E$11+1,1))</f>
        <v>364.96458059055169</v>
      </c>
      <c r="BJ18" s="62">
        <f t="shared" si="38"/>
        <v>246.27159120786257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projet'!$B$11,Paramètres!$A$1:$I$88,7,0))</f>
        <v>0</v>
      </c>
      <c r="BN18" s="17">
        <f>IF(ISNA(VLOOKUP(A18,'Données projet'!$A$87:$I$107,6,0)),0%,VLOOKUP(A18,'Données projet'!$A$87:$I$107,6,0)*VLOOKUP('Données projet'!$B$11,Paramètres!$A$1:$I$88,7,0))</f>
        <v>0</v>
      </c>
      <c r="BO18" s="17">
        <f>IF(ISNA(VLOOKUP(A18,'Données projet'!$A$87:$I$107,7,0)),0%,VLOOKUP(A18,'Données projet'!$A$87:$I$107,7,0))</f>
        <v>0</v>
      </c>
      <c r="BP18" s="23">
        <f>EXP(-LN(2)/35)*BP17+(1-EXP(-LN(2)/35))/(LN(2)/35)*BL18*BM18*VLOOKUP('Données projet'!$B$11,Paramètres!$A$1:$I$88,3,0)*0.475*44/12</f>
        <v>0</v>
      </c>
      <c r="BQ18" s="23">
        <f>EXP(-LN(2)/25)*BQ17+(1-EXP(-LN(2)/25))/(LN(2)/25)*Calculateur!BL18*Calculateur!BN18*VLOOKUP('Données projet'!$B$11,Paramètres!$A$1:$I$88,3,0)*0.475*44/12</f>
        <v>0</v>
      </c>
      <c r="BR18" s="23">
        <f>EXP(-LN(2)/2)*BR17+(1-EXP(-LN(2)/2))/(LN(2)/2)*BL18*BO18*VLOOKUP('Données projet'!$B$11,Paramètres!$A$1:$I$88,3,0)*0.475*44/12</f>
        <v>0</v>
      </c>
      <c r="BS18" s="24">
        <f t="shared" si="9"/>
        <v>0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63.270144311775006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4.1666667007873768</v>
      </c>
      <c r="BY18" s="13">
        <f>IF('Données projet'!$A$114&gt;35,BY17+BX18-CG17,IF(A18&lt;'Données projet'!$A$114,$BV$205^A18,IF(A18='Données projet'!$A$114,'Données projet'!$B$114,BY17+BX18-CG17)))</f>
        <v>62.500000511810633</v>
      </c>
      <c r="BZ18" s="14">
        <f>BY18*VLOOKUP('Données projet'!$B$12,Paramètres!$A$1:$I$88,3,0)*VLOOKUP('Données projet'!$B$12,Paramètres!$A$1:$I$88,5,0)</f>
        <v>63.375000518975988</v>
      </c>
      <c r="CA18" s="14">
        <f t="shared" si="39"/>
        <v>18.01883831688642</v>
      </c>
      <c r="CB18" s="22">
        <f t="shared" si="10"/>
        <v>141.76093597246037</v>
      </c>
      <c r="CC18" s="62">
        <f t="shared" si="11"/>
        <v>392.08479844896874</v>
      </c>
      <c r="CD18" s="62">
        <f ca="1">AVERAGE(OFFSET($CC$3,0,0,'Données projet'!$E$12+1,1))-AVERAGE(OFFSET($H$3,0,0,'Données projet'!$E$12+1,1))</f>
        <v>310.53598044763282</v>
      </c>
      <c r="CE18" s="62">
        <f t="shared" si="40"/>
        <v>322.01096634040596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projet'!$B$12,Paramètres!$A$1:$I$88,7,0))</f>
        <v>0</v>
      </c>
      <c r="CI18" s="17">
        <f>IF(ISNA(VLOOKUP(A18,'Données projet'!$A$113:$I$133,6,0)),0%,VLOOKUP(A18,'Données projet'!$A$113:$I$133,6,0)*VLOOKUP('Données projet'!$B$12,Paramètres!$A$1:$I$88,7,0))</f>
        <v>0</v>
      </c>
      <c r="CJ18" s="17">
        <f>IF(ISNA(VLOOKUP(A18,'Données projet'!$A$113:$I$133,7,0)),0%,VLOOKUP(A18,'Données projet'!$A$113:$I$133,7,0))</f>
        <v>0</v>
      </c>
      <c r="CK18" s="23">
        <f>EXP(-LN(2)/35)*CK17+(1-EXP(-LN(2)/35))/(LN(2)/35)*CG18*CH18*VLOOKUP('Données projet'!$B$12,Paramètres!$A$1:$I$88,3,0)*0.475*44/12</f>
        <v>0</v>
      </c>
      <c r="CL18" s="23">
        <f>EXP(-LN(2)/25)*CL17+(1-EXP(-LN(2)/25))/(LN(2)/25)*Calculateur!CG18*Calculateur!CI18*VLOOKUP('Données projet'!$B$12,Paramètres!$A$1:$I$88,3,0)*0.475*44/12</f>
        <v>0</v>
      </c>
      <c r="CM18" s="23">
        <f>EXP(-LN(2)/2)*CM17+(1-EXP(-LN(2)/2))/(LN(2)/2)*CG18*CJ18*VLOOKUP('Données projet'!$B$12,Paramètres!$A$1:$I$88,3,0)*0.475*44/12</f>
        <v>0</v>
      </c>
      <c r="CN18" s="24">
        <f t="shared" si="12"/>
        <v>0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63.270144311775006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projet'!$B$13,Paramètres!$A$1:$I$88,3,0)*VLOOKUP('Données projet'!$B$13,Paramètres!$A$1:$I$88,5,0)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projet'!$B$13,Paramètres!$A$1:$I$88,7,0))</f>
        <v>0</v>
      </c>
      <c r="DD18" s="17">
        <f>IF(ISNA(VLOOKUP(A18,'Données projet'!$A$139:$I$159,6,0)),0%,VLOOKUP(A18,'Données projet'!$A$139:$I$159,6,0)*VLOOKUP('Données projet'!$B$13,Paramètres!$A$1:$I$88,7,0))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projet'!$B$13,Paramètres!$A$1:$I$88,3,0)*0.475*44/12</f>
        <v>#N/A</v>
      </c>
      <c r="DG18" s="23" t="e">
        <f>EXP(-LN(2)/25)*DG17+(1-EXP(-LN(2)/25))/(LN(2)/25)*Calculateur!DB18*Calculateur!DD18*VLOOKUP('Données projet'!$B$13,Paramètres!$A$1:$I$88,3,0)*0.475*44/12</f>
        <v>#N/A</v>
      </c>
      <c r="DH18" s="23" t="e">
        <f>EXP(-LN(2)/2)*DH17+(1-EXP(-LN(2)/2))/(LN(2)/2)*DB18*DE18*VLOOKUP('Données projet'!$B$13,Paramètres!$A$1:$I$88,3,0)*0.475*44/12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63.270144311775006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projet'!$B$14,Paramètres!$A$1:$I$88,3,0)*VLOOKUP('Données projet'!$B$14,Paramètres!$A$1:$I$88,5,0)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projet'!$B$14,Paramètres!$A$1:$I$88,7,0))</f>
        <v>0</v>
      </c>
      <c r="DY18" s="17">
        <f>IF(ISNA(VLOOKUP(A18,'Données projet'!$A$165:$I$185,6,0)),0%,VLOOKUP(A18,'Données projet'!$A$165:$I$185,6,0)*VLOOKUP('Données projet'!$B$14,Paramètres!$A$1:$I$88,7,0))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projet'!$B$14,Paramètres!$A$1:$I$88,3,0)*0.475*44/12</f>
        <v>#N/A</v>
      </c>
      <c r="EB18" s="23" t="e">
        <f>EXP(-LN(2)/25)*EB17+(1-EXP(-LN(2)/25))/(LN(2)/25)*Calculateur!DW18*Calculateur!DY18*VLOOKUP('Données projet'!$B$14,Paramètres!$A$1:$I$88,3,0)*0.475*44/12</f>
        <v>#N/A</v>
      </c>
      <c r="EC18" s="23" t="e">
        <f>EXP(-LN(2)/2)*EC17+(1-EXP(-LN(2)/2))/(LN(2)/2)*DW18*DZ18*VLOOKUP('Données projet'!$B$14,Paramètres!$A$1:$I$88,3,0)*0.475*44/12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63.270144311775006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projet'!$B$15,Paramètres!$A$1:$I$88,3,0)*VLOOKUP('Données projet'!$B$15,Paramètres!$A$1:$I$88,5,0)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projet'!$B$15,Paramètres!$A$1:$I$88,7,0))</f>
        <v>0</v>
      </c>
      <c r="ET18" s="17">
        <f>IF(ISNA(VLOOKUP(A18,'Données projet'!$A$191:$I$211,6,0)),0%,VLOOKUP(A18,'Données projet'!$A$191:$I$211,6,0)*VLOOKUP('Données projet'!$B$15,Paramètres!$A$1:$I$88,7,0))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projet'!$B$15,Paramètres!$A$1:$I$88,3,0)*0.475*44/12</f>
        <v>#N/A</v>
      </c>
      <c r="EW18" s="23" t="e">
        <f>EXP(-LN(2)/25)*EW17+(1-EXP(-LN(2)/25))/(LN(2)/25)*Calculateur!ER18*Calculateur!ET18*VLOOKUP('Données projet'!$B$15,Paramètres!$A$1:$I$88,3,0)*0.475*44/12</f>
        <v>#N/A</v>
      </c>
      <c r="EX18" s="23" t="e">
        <f>EXP(-LN(2)/2)*EX17+(1-EXP(-LN(2)/2))/(LN(2)/2)*ER18*EU18*VLOOKUP('Données projet'!$B$15,Paramètres!$A$1:$I$88,3,0)*0.475*44/12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63.270144311775006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projet'!$B$16,Paramètres!$A$1:$I$88,3,0)*VLOOKUP('Données projet'!$B$16,Paramètres!$A$1:$I$88,5,0)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projet'!$B$16,Paramètres!$A$1:$I$88,7,0))</f>
        <v>0</v>
      </c>
      <c r="FO18" s="17">
        <f>IF(ISNA(VLOOKUP(A18,'Données projet'!$A$217:$I$237,6,0)),0%,VLOOKUP(A18,'Données projet'!$A$217:$I$237,6,0)*VLOOKUP('Données projet'!$B$16,Paramètres!$A$1:$I$88,7,0))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projet'!$B$16,Paramètres!$A$1:$I$88,3,0)*0.475*44/12</f>
        <v>#N/A</v>
      </c>
      <c r="FR18" s="23" t="e">
        <f>EXP(-LN(2)/25)*FR17+(1-EXP(-LN(2)/25))/(LN(2)/25)*Calculateur!FM18*Calculateur!FO18*VLOOKUP('Données projet'!$B$16,Paramètres!$A$1:$I$88,3,0)*0.475*44/12</f>
        <v>#N/A</v>
      </c>
      <c r="FS18" s="23" t="e">
        <f>EXP(-LN(2)/2)*FS17+(1-EXP(-LN(2)/2))/(LN(2)/2)*FM18*FP18*VLOOKUP('Données projet'!$B$16,Paramètres!$A$1:$I$88,3,0)*0.475*44/12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63.270144311775006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projet'!$B$17,Paramètres!$A$1:$I$88,3,0)*VLOOKUP('Données projet'!$B$17,Paramètres!$A$1:$I$88,5,0)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projet'!$B$17,Paramètres!$A$1:$I$88,7,0))</f>
        <v>0</v>
      </c>
      <c r="GJ18" s="17">
        <f>IF(ISNA(VLOOKUP(A18,'Données projet'!$A$243:$I$263,6,0)),0%,VLOOKUP(A18,'Données projet'!$A$243:$I$263,6,0)*VLOOKUP('Données projet'!$B$17,Paramètres!$A$1:$I$88,7,0))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projet'!$B$17,Paramètres!$A$1:$I$88,3,0)*0.475*44/12</f>
        <v>#N/A</v>
      </c>
      <c r="GM18" s="23" t="e">
        <f>EXP(-LN(2)/25)*GM17+(1-EXP(-LN(2)/25))/(LN(2)/25)*Calculateur!GH18*Calculateur!GJ18*VLOOKUP('Données projet'!$B$17,Paramètres!$A$1:$I$88,3,0)*0.475*44/12</f>
        <v>#N/A</v>
      </c>
      <c r="GN18" s="23" t="e">
        <f>EXP(-LN(2)/2)*GN17+(1-EXP(-LN(2)/2))/(LN(2)/2)*GH18*GK18*VLOOKUP('Données projet'!$B$17,Paramètres!$A$1:$I$88,3,0)*0.475*44/12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63.270144311775006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projet'!$B$18,Paramètres!$A$1:$I$88,3,0)*VLOOKUP('Données projet'!$B$18,Paramètres!$A$1:$I$88,5,0)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projet'!$B$18,Paramètres!$A$1:$I$88,7,0))</f>
        <v>0</v>
      </c>
      <c r="HE18" s="17">
        <f>IF(ISNA(VLOOKUP(A18,'Données projet'!$A$269:$I$289,6,0)),0%,VLOOKUP(A18,'Données projet'!$A$269:$I$289,6,0)*VLOOKUP('Données projet'!$B$18,Paramètres!$A$1:$I$88,7,0))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projet'!$B$18,Paramètres!$A$1:$I$88,3,0)*0.475*44/12</f>
        <v>#N/A</v>
      </c>
      <c r="HH18" s="23" t="e">
        <f>EXP(-LN(2)/25)*HH17+(1-EXP(-LN(2)/25))/(LN(2)/25)*Calculateur!HC18*Calculateur!HE18*VLOOKUP('Données projet'!$B$18,Paramètres!$A$1:$I$88,3,0)*0.475*44/12</f>
        <v>#N/A</v>
      </c>
      <c r="HI18" s="23" t="e">
        <f>EXP(-LN(2)/2)*HI17+(1-EXP(-LN(2)/2))/(LN(2)/2)*HC18*HF18*VLOOKUP('Données projet'!$B$18,Paramètres!$A$1:$I$88,3,0)*0.475*44/12</f>
        <v>#N/A</v>
      </c>
      <c r="HJ18" s="24" t="e">
        <f t="shared" si="30"/>
        <v>#N/A</v>
      </c>
    </row>
    <row r="19" spans="1:218" s="5" customFormat="1" x14ac:dyDescent="0.35">
      <c r="A19" s="11">
        <f t="shared" si="31"/>
        <v>16</v>
      </c>
      <c r="B19" s="77">
        <f>'Scénario référence'!$B$16*5+'Scénario référence'!$B$17*0+'Scénario référence'!$B$18*5</f>
        <v>1.75</v>
      </c>
      <c r="C19" s="20">
        <f>Calculateur!C18+'Scénario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9" s="12">
        <f t="shared" si="3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6.416666666666667</v>
      </c>
      <c r="H19" s="70">
        <f t="shared" si="1"/>
        <v>231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63.3868922622624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10.119999999999999</v>
      </c>
      <c r="N19" s="14">
        <f>IF('Données projet'!$A$36&gt;35,N18+M19-V18,IF(A19&lt;'Données projet'!$A$36,$K$205^A19,IF(A19='Données projet'!$A$36,'Données projet'!$B$36,N18+M19-V18)))</f>
        <v>34.51414613121262</v>
      </c>
      <c r="O19" s="14">
        <f>N19*VLOOKUP('Données projet'!$B$9,Paramètres!$A$1:$I$88,3,0)*VLOOKUP('Données projet'!$B$9,Paramètres!$A$1:$I$88,5,0)</f>
        <v>19.293407687347855</v>
      </c>
      <c r="P19" s="14">
        <f t="shared" si="33"/>
        <v>6.2999834058666524</v>
      </c>
      <c r="Q19" s="22">
        <f t="shared" si="2"/>
        <v>44.575156154015268</v>
      </c>
      <c r="R19" s="62">
        <f t="shared" si="0"/>
        <v>296.54931667119962</v>
      </c>
      <c r="S19" s="62">
        <f ca="1">AVERAGE(OFFSET($R$3,0,0,'Données projet'!$E$9+1,1))-AVERAGE(OFFSET($H$3,0,0,'Données projet'!$E$9+1,1))</f>
        <v>341.05096821796769</v>
      </c>
      <c r="T19" s="62">
        <f t="shared" si="34"/>
        <v>400.72519822215168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projet'!$B$9,Paramètres!$A$1:$I$88,7,0))</f>
        <v>0</v>
      </c>
      <c r="X19" s="17">
        <f>IF(ISNA(VLOOKUP(A19,'Données projet'!$A$35:$I$55,6,0)),0%,VLOOKUP(A19,'Données projet'!$A$35:$I$55,6,0)*VLOOKUP('Données projet'!$B$9,Paramètres!$A$1:$I$88,7,0))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projet'!$B$9,Paramètres!$A$1:$I$88,3,0)*0.475*44/12</f>
        <v>0</v>
      </c>
      <c r="AA19" s="23">
        <f>EXP(-LN(2)/25)*AA18+(1-EXP(-LN(2)/25))/(LN(2)/25)*Calculateur!V19*Calculateur!X19*VLOOKUP('Données projet'!$B$9,Paramètres!$A$1:$I$88,3,0)*0.475*44/12</f>
        <v>0</v>
      </c>
      <c r="AB19" s="23">
        <f>EXP(-LN(2)/2)*AB18+(1-EXP(-LN(2)/2))/(LN(2)/2)*V19*Y19*VLOOKUP('Données projet'!$B$9,Paramètres!$A$1:$I$88,3,0)*0.475*44/12</f>
        <v>0</v>
      </c>
      <c r="AC19" s="24">
        <f t="shared" si="3"/>
        <v>0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63.3868922622624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>
        <f>VLOOKUP(A19,'Données projet'!$A$61:$I$81,2,0)</f>
        <v>58.400000000000006</v>
      </c>
      <c r="AG19" s="13">
        <f>VLOOKUP(A19,'Données projet'!$A$61:$I$81,9,0)</f>
        <v>3.6500000000000004</v>
      </c>
      <c r="AH19" s="13">
        <f t="array" ref="AH19">INDEX(AG:AG,MIN(IF(ISNUMBER(AG19:AG215),ROW(AG19:AG215),"")))</f>
        <v>3.6500000000000004</v>
      </c>
      <c r="AI19" s="14">
        <f>IF('Données projet'!$A$62&gt;35,AI18+AH19-AQ18,IF(A19&lt;'Données projet'!$A$62,$AF$205^A19,IF(A19='Données projet'!$A$62,'Données projet'!$B$62,AI18+AH19-AQ18)))</f>
        <v>58.400000000000006</v>
      </c>
      <c r="AJ19" s="14">
        <f>AI19*VLOOKUP('Données projet'!$B$10,Paramètres!$A$1:$I$88,3,0)*VLOOKUP('Données projet'!$B$10,Paramètres!$A$1:$I$88,5,0)</f>
        <v>34.923200000000008</v>
      </c>
      <c r="AK19" s="14">
        <f t="shared" si="35"/>
        <v>10.642597136876551</v>
      </c>
      <c r="AL19" s="22">
        <f t="shared" si="4"/>
        <v>79.360430013393355</v>
      </c>
      <c r="AM19" s="62">
        <f t="shared" si="5"/>
        <v>331.33459053057771</v>
      </c>
      <c r="AN19" s="62">
        <f ca="1">AVERAGE(OFFSET($AM$3,0,0,'Données projet'!$E$10+1,1))-AVERAGE(OFFSET($H$3,0,0,'Données projet'!$E$10+1,1))</f>
        <v>231.96474801342879</v>
      </c>
      <c r="AO19" s="62">
        <f t="shared" si="36"/>
        <v>237.75726086383668</v>
      </c>
      <c r="AP19" s="16">
        <f>IF(ISNA(VLOOKUP(A19,'Données projet'!$A$61:$I$81,3,0)),0,VLOOKUP(A19,'Données projet'!$A$61:$I$81,3,0))</f>
        <v>1</v>
      </c>
      <c r="AQ19" s="16">
        <f>IF(ISNA(VLOOKUP(A19,'Données projet'!$A$61:$I$81,4,0)),0,VLOOKUP(A19,'Données projet'!$A$61:$I$81,4,0))</f>
        <v>7.6</v>
      </c>
      <c r="AR19" s="17">
        <f>IF(ISNA(VLOOKUP(A19,'Données projet'!$A$61:$I$81,5,0)),0%,VLOOKUP(A19,'Données projet'!$A$61:$I$81,5,0)*VLOOKUP('Données projet'!$B$10,Paramètres!$A$1:$I$88,7,0))</f>
        <v>0</v>
      </c>
      <c r="AS19" s="17">
        <f>IF(ISNA(VLOOKUP(A19,'Données projet'!$A$61:$I$81,6,0)),0%,VLOOKUP(A19,'Données projet'!$A$61:$I$81,6,0)*VLOOKUP('Données projet'!$B$10,Paramètres!$A$1:$I$88,7,0))</f>
        <v>0.45</v>
      </c>
      <c r="AT19" s="17">
        <f>IF(ISNA(VLOOKUP(A19,'Données projet'!$A$61:$I$81,7,0)),0%,VLOOKUP(A19,'Données projet'!$A$61:$I$81,7,0))</f>
        <v>0</v>
      </c>
      <c r="AU19" s="23">
        <f>EXP(-LN(2)/35)*AU18+(1-EXP(-LN(2)/35))/(LN(2)/35)*AQ19*AR19*VLOOKUP('Données projet'!$B$10,Paramètres!$A$1:$I$88,3,0)*0.475*44/12</f>
        <v>0</v>
      </c>
      <c r="AV19" s="23">
        <f>EXP(-LN(2)/25)*AV18+(1-EXP(-LN(2)/25))/(LN(2)/25)*Calculateur!AQ19*Calculateur!AS19*VLOOKUP('Données projet'!$B$10,Paramètres!$A$1:$I$88,3,0)*0.475*44/12</f>
        <v>2.7023543029953951</v>
      </c>
      <c r="AW19" s="23">
        <f>EXP(-LN(2)/2)*AW18+(1-EXP(-LN(2)/2))/(LN(2)/2)*AQ19*AT19*VLOOKUP('Données projet'!$B$10,Paramètres!$A$1:$I$88,3,0)*0.475*44/12</f>
        <v>0</v>
      </c>
      <c r="AX19" s="23">
        <f t="shared" si="6"/>
        <v>2.7023543029953951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63.3868922622624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6.5217391304347823</v>
      </c>
      <c r="BD19" s="13">
        <f>IF('Données projet'!$A$88&gt;35,BD18+BC19-BL18,IF(A19&lt;'Données projet'!$A$88,$BA$205^A19,IF(A19='Données projet'!$A$88,'Données projet'!$B$88,BD18+BC19-BL18)))</f>
        <v>104.34782608695652</v>
      </c>
      <c r="BE19" s="14">
        <f>BD19*VLOOKUP('Données projet'!$B$11,Paramètres!$A$1:$I$88,3,0)*VLOOKUP('Données projet'!$B$11,Paramètres!$A$1:$I$88,5,0)</f>
        <v>48.834782608695647</v>
      </c>
      <c r="BF19" s="14">
        <f t="shared" si="37"/>
        <v>14.312425461971964</v>
      </c>
      <c r="BG19" s="22">
        <f t="shared" si="7"/>
        <v>109.98138738974609</v>
      </c>
      <c r="BH19" s="62">
        <f t="shared" si="8"/>
        <v>361.95554790693046</v>
      </c>
      <c r="BI19" s="62">
        <f ca="1">AVERAGE(OFFSET($BH$3,0,0,'Données projet'!$E$11+1,1))-AVERAGE(OFFSET($H$3,0,0,'Données projet'!$E$11+1,1))</f>
        <v>364.96458059055169</v>
      </c>
      <c r="BJ19" s="62">
        <f t="shared" si="38"/>
        <v>246.27159120786257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projet'!$B$11,Paramètres!$A$1:$I$88,7,0))</f>
        <v>0</v>
      </c>
      <c r="BN19" s="17">
        <f>IF(ISNA(VLOOKUP(A19,'Données projet'!$A$87:$I$107,6,0)),0%,VLOOKUP(A19,'Données projet'!$A$87:$I$107,6,0)*VLOOKUP('Données projet'!$B$11,Paramètres!$A$1:$I$88,7,0))</f>
        <v>0</v>
      </c>
      <c r="BO19" s="17">
        <f>IF(ISNA(VLOOKUP(A19,'Données projet'!$A$87:$I$107,7,0)),0%,VLOOKUP(A19,'Données projet'!$A$87:$I$107,7,0))</f>
        <v>0</v>
      </c>
      <c r="BP19" s="23">
        <f>EXP(-LN(2)/35)*BP18+(1-EXP(-LN(2)/35))/(LN(2)/35)*BL19*BM19*VLOOKUP('Données projet'!$B$11,Paramètres!$A$1:$I$88,3,0)*0.475*44/12</f>
        <v>0</v>
      </c>
      <c r="BQ19" s="23">
        <f>EXP(-LN(2)/25)*BQ18+(1-EXP(-LN(2)/25))/(LN(2)/25)*Calculateur!BL19*Calculateur!BN19*VLOOKUP('Données projet'!$B$11,Paramètres!$A$1:$I$88,3,0)*0.475*44/12</f>
        <v>0</v>
      </c>
      <c r="BR19" s="23">
        <f>EXP(-LN(2)/2)*BR18+(1-EXP(-LN(2)/2))/(LN(2)/2)*BL19*BO19*VLOOKUP('Données projet'!$B$11,Paramètres!$A$1:$I$88,3,0)*0.475*44/12</f>
        <v>0</v>
      </c>
      <c r="BS19" s="24">
        <f t="shared" si="9"/>
        <v>0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63.3868922622624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4.1666667007873768</v>
      </c>
      <c r="BY19" s="13">
        <f>IF('Données projet'!$A$114&gt;35,BY18+BX19-CG18,IF(A19&lt;'Données projet'!$A$114,$BV$205^A19,IF(A19='Données projet'!$A$114,'Données projet'!$B$114,BY18+BX19-CG18)))</f>
        <v>66.666667212598014</v>
      </c>
      <c r="BZ19" s="14">
        <f>BY19*VLOOKUP('Données projet'!$B$12,Paramètres!$A$1:$I$88,3,0)*VLOOKUP('Données projet'!$B$12,Paramètres!$A$1:$I$88,5,0)</f>
        <v>67.60000055357439</v>
      </c>
      <c r="CA19" s="14">
        <f t="shared" si="39"/>
        <v>19.076248382998894</v>
      </c>
      <c r="CB19" s="22">
        <f t="shared" si="10"/>
        <v>150.96113356453179</v>
      </c>
      <c r="CC19" s="62">
        <f t="shared" si="11"/>
        <v>402.93529408171617</v>
      </c>
      <c r="CD19" s="62">
        <f ca="1">AVERAGE(OFFSET($CC$3,0,0,'Données projet'!$E$12+1,1))-AVERAGE(OFFSET($H$3,0,0,'Données projet'!$E$12+1,1))</f>
        <v>310.53598044763282</v>
      </c>
      <c r="CE19" s="62">
        <f t="shared" si="40"/>
        <v>322.01096634040596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projet'!$B$12,Paramètres!$A$1:$I$88,7,0))</f>
        <v>0</v>
      </c>
      <c r="CI19" s="17">
        <f>IF(ISNA(VLOOKUP(A19,'Données projet'!$A$113:$I$133,6,0)),0%,VLOOKUP(A19,'Données projet'!$A$113:$I$133,6,0)*VLOOKUP('Données projet'!$B$12,Paramètres!$A$1:$I$88,7,0))</f>
        <v>0</v>
      </c>
      <c r="CJ19" s="17">
        <f>IF(ISNA(VLOOKUP(A19,'Données projet'!$A$113:$I$133,7,0)),0%,VLOOKUP(A19,'Données projet'!$A$113:$I$133,7,0))</f>
        <v>0</v>
      </c>
      <c r="CK19" s="23">
        <f>EXP(-LN(2)/35)*CK18+(1-EXP(-LN(2)/35))/(LN(2)/35)*CG19*CH19*VLOOKUP('Données projet'!$B$12,Paramètres!$A$1:$I$88,3,0)*0.475*44/12</f>
        <v>0</v>
      </c>
      <c r="CL19" s="23">
        <f>EXP(-LN(2)/25)*CL18+(1-EXP(-LN(2)/25))/(LN(2)/25)*Calculateur!CG19*Calculateur!CI19*VLOOKUP('Données projet'!$B$12,Paramètres!$A$1:$I$88,3,0)*0.475*44/12</f>
        <v>0</v>
      </c>
      <c r="CM19" s="23">
        <f>EXP(-LN(2)/2)*CM18+(1-EXP(-LN(2)/2))/(LN(2)/2)*CG19*CJ19*VLOOKUP('Données projet'!$B$12,Paramètres!$A$1:$I$88,3,0)*0.475*44/12</f>
        <v>0</v>
      </c>
      <c r="CN19" s="24">
        <f t="shared" si="12"/>
        <v>0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63.3868922622624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projet'!$B$13,Paramètres!$A$1:$I$88,3,0)*VLOOKUP('Données projet'!$B$13,Paramètres!$A$1:$I$88,5,0)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projet'!$B$13,Paramètres!$A$1:$I$88,7,0))</f>
        <v>0</v>
      </c>
      <c r="DD19" s="17">
        <f>IF(ISNA(VLOOKUP(A19,'Données projet'!$A$139:$I$159,6,0)),0%,VLOOKUP(A19,'Données projet'!$A$139:$I$159,6,0)*VLOOKUP('Données projet'!$B$13,Paramètres!$A$1:$I$88,7,0))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projet'!$B$13,Paramètres!$A$1:$I$88,3,0)*0.475*44/12</f>
        <v>#N/A</v>
      </c>
      <c r="DG19" s="23" t="e">
        <f>EXP(-LN(2)/25)*DG18+(1-EXP(-LN(2)/25))/(LN(2)/25)*Calculateur!DB19*Calculateur!DD19*VLOOKUP('Données projet'!$B$13,Paramètres!$A$1:$I$88,3,0)*0.475*44/12</f>
        <v>#N/A</v>
      </c>
      <c r="DH19" s="23" t="e">
        <f>EXP(-LN(2)/2)*DH18+(1-EXP(-LN(2)/2))/(LN(2)/2)*DB19*DE19*VLOOKUP('Données projet'!$B$13,Paramètres!$A$1:$I$88,3,0)*0.475*44/12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63.3868922622624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projet'!$B$14,Paramètres!$A$1:$I$88,3,0)*VLOOKUP('Données projet'!$B$14,Paramètres!$A$1:$I$88,5,0)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projet'!$B$14,Paramètres!$A$1:$I$88,7,0))</f>
        <v>0</v>
      </c>
      <c r="DY19" s="17">
        <f>IF(ISNA(VLOOKUP(A19,'Données projet'!$A$165:$I$185,6,0)),0%,VLOOKUP(A19,'Données projet'!$A$165:$I$185,6,0)*VLOOKUP('Données projet'!$B$14,Paramètres!$A$1:$I$88,7,0))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projet'!$B$14,Paramètres!$A$1:$I$88,3,0)*0.475*44/12</f>
        <v>#N/A</v>
      </c>
      <c r="EB19" s="23" t="e">
        <f>EXP(-LN(2)/25)*EB18+(1-EXP(-LN(2)/25))/(LN(2)/25)*Calculateur!DW19*Calculateur!DY19*VLOOKUP('Données projet'!$B$14,Paramètres!$A$1:$I$88,3,0)*0.475*44/12</f>
        <v>#N/A</v>
      </c>
      <c r="EC19" s="23" t="e">
        <f>EXP(-LN(2)/2)*EC18+(1-EXP(-LN(2)/2))/(LN(2)/2)*DW19*DZ19*VLOOKUP('Données projet'!$B$14,Paramètres!$A$1:$I$88,3,0)*0.475*44/12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63.3868922622624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projet'!$B$15,Paramètres!$A$1:$I$88,3,0)*VLOOKUP('Données projet'!$B$15,Paramètres!$A$1:$I$88,5,0)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projet'!$B$15,Paramètres!$A$1:$I$88,7,0))</f>
        <v>0</v>
      </c>
      <c r="ET19" s="17">
        <f>IF(ISNA(VLOOKUP(A19,'Données projet'!$A$191:$I$211,6,0)),0%,VLOOKUP(A19,'Données projet'!$A$191:$I$211,6,0)*VLOOKUP('Données projet'!$B$15,Paramètres!$A$1:$I$88,7,0))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projet'!$B$15,Paramètres!$A$1:$I$88,3,0)*0.475*44/12</f>
        <v>#N/A</v>
      </c>
      <c r="EW19" s="23" t="e">
        <f>EXP(-LN(2)/25)*EW18+(1-EXP(-LN(2)/25))/(LN(2)/25)*Calculateur!ER19*Calculateur!ET19*VLOOKUP('Données projet'!$B$15,Paramètres!$A$1:$I$88,3,0)*0.475*44/12</f>
        <v>#N/A</v>
      </c>
      <c r="EX19" s="23" t="e">
        <f>EXP(-LN(2)/2)*EX18+(1-EXP(-LN(2)/2))/(LN(2)/2)*ER19*EU19*VLOOKUP('Données projet'!$B$15,Paramètres!$A$1:$I$88,3,0)*0.475*44/12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63.3868922622624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projet'!$B$16,Paramètres!$A$1:$I$88,3,0)*VLOOKUP('Données projet'!$B$16,Paramètres!$A$1:$I$88,5,0)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projet'!$B$16,Paramètres!$A$1:$I$88,7,0))</f>
        <v>0</v>
      </c>
      <c r="FO19" s="17">
        <f>IF(ISNA(VLOOKUP(A19,'Données projet'!$A$217:$I$237,6,0)),0%,VLOOKUP(A19,'Données projet'!$A$217:$I$237,6,0)*VLOOKUP('Données projet'!$B$16,Paramètres!$A$1:$I$88,7,0))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projet'!$B$16,Paramètres!$A$1:$I$88,3,0)*0.475*44/12</f>
        <v>#N/A</v>
      </c>
      <c r="FR19" s="23" t="e">
        <f>EXP(-LN(2)/25)*FR18+(1-EXP(-LN(2)/25))/(LN(2)/25)*Calculateur!FM19*Calculateur!FO19*VLOOKUP('Données projet'!$B$16,Paramètres!$A$1:$I$88,3,0)*0.475*44/12</f>
        <v>#N/A</v>
      </c>
      <c r="FS19" s="23" t="e">
        <f>EXP(-LN(2)/2)*FS18+(1-EXP(-LN(2)/2))/(LN(2)/2)*FM19*FP19*VLOOKUP('Données projet'!$B$16,Paramètres!$A$1:$I$88,3,0)*0.475*44/12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63.3868922622624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projet'!$B$17,Paramètres!$A$1:$I$88,3,0)*VLOOKUP('Données projet'!$B$17,Paramètres!$A$1:$I$88,5,0)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projet'!$B$17,Paramètres!$A$1:$I$88,7,0))</f>
        <v>0</v>
      </c>
      <c r="GJ19" s="17">
        <f>IF(ISNA(VLOOKUP(A19,'Données projet'!$A$243:$I$263,6,0)),0%,VLOOKUP(A19,'Données projet'!$A$243:$I$263,6,0)*VLOOKUP('Données projet'!$B$17,Paramètres!$A$1:$I$88,7,0))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projet'!$B$17,Paramètres!$A$1:$I$88,3,0)*0.475*44/12</f>
        <v>#N/A</v>
      </c>
      <c r="GM19" s="23" t="e">
        <f>EXP(-LN(2)/25)*GM18+(1-EXP(-LN(2)/25))/(LN(2)/25)*Calculateur!GH19*Calculateur!GJ19*VLOOKUP('Données projet'!$B$17,Paramètres!$A$1:$I$88,3,0)*0.475*44/12</f>
        <v>#N/A</v>
      </c>
      <c r="GN19" s="23" t="e">
        <f>EXP(-LN(2)/2)*GN18+(1-EXP(-LN(2)/2))/(LN(2)/2)*GH19*GK19*VLOOKUP('Données projet'!$B$17,Paramètres!$A$1:$I$88,3,0)*0.475*44/12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63.3868922622624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projet'!$B$18,Paramètres!$A$1:$I$88,3,0)*VLOOKUP('Données projet'!$B$18,Paramètres!$A$1:$I$88,5,0)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projet'!$B$18,Paramètres!$A$1:$I$88,7,0))</f>
        <v>0</v>
      </c>
      <c r="HE19" s="17">
        <f>IF(ISNA(VLOOKUP(A19,'Données projet'!$A$269:$I$289,6,0)),0%,VLOOKUP(A19,'Données projet'!$A$269:$I$289,6,0)*VLOOKUP('Données projet'!$B$18,Paramètres!$A$1:$I$88,7,0))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projet'!$B$18,Paramètres!$A$1:$I$88,3,0)*0.475*44/12</f>
        <v>#N/A</v>
      </c>
      <c r="HH19" s="23" t="e">
        <f>EXP(-LN(2)/25)*HH18+(1-EXP(-LN(2)/25))/(LN(2)/25)*Calculateur!HC19*Calculateur!HE19*VLOOKUP('Données projet'!$B$18,Paramètres!$A$1:$I$88,3,0)*0.475*44/12</f>
        <v>#N/A</v>
      </c>
      <c r="HI19" s="23" t="e">
        <f>EXP(-LN(2)/2)*HI18+(1-EXP(-LN(2)/2))/(LN(2)/2)*HC19*HF19*VLOOKUP('Données projet'!$B$18,Paramètres!$A$1:$I$88,3,0)*0.475*44/12</f>
        <v>#N/A</v>
      </c>
      <c r="HJ19" s="24" t="e">
        <f t="shared" si="30"/>
        <v>#N/A</v>
      </c>
    </row>
    <row r="20" spans="1:218" s="5" customFormat="1" x14ac:dyDescent="0.35">
      <c r="A20" s="11">
        <f t="shared" si="31"/>
        <v>17</v>
      </c>
      <c r="B20" s="77">
        <f>'Scénario référence'!$B$16*5+'Scénario référence'!$B$17*0+'Scénario référence'!$B$18*5</f>
        <v>1.75</v>
      </c>
      <c r="C20" s="20">
        <f>Calculateur!C19+'Scénario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20" s="12">
        <f t="shared" si="3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6.416666666666667</v>
      </c>
      <c r="H20" s="70">
        <f t="shared" si="1"/>
        <v>231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63.501614896818154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10.119999999999999</v>
      </c>
      <c r="N20" s="14">
        <f>IF('Données projet'!$A$36&gt;35,N19+M20-V19,IF(A20&lt;'Données projet'!$A$36,$K$205^A20,IF(A20='Données projet'!$A$36,'Données projet'!$B$36,N19+M20-V19)))</f>
        <v>43.06475238099182</v>
      </c>
      <c r="O20" s="14">
        <f>N20*VLOOKUP('Données projet'!$B$9,Paramètres!$A$1:$I$88,3,0)*VLOOKUP('Données projet'!$B$9,Paramètres!$A$1:$I$88,5,0)</f>
        <v>24.073196580974429</v>
      </c>
      <c r="P20" s="14">
        <f t="shared" si="33"/>
        <v>7.6608206884222216</v>
      </c>
      <c r="Q20" s="22">
        <f t="shared" si="2"/>
        <v>55.270080077532498</v>
      </c>
      <c r="R20" s="62">
        <f t="shared" si="0"/>
        <v>308.88711247697688</v>
      </c>
      <c r="S20" s="62">
        <f ca="1">AVERAGE(OFFSET($R$3,0,0,'Données projet'!$E$9+1,1))-AVERAGE(OFFSET($H$3,0,0,'Données projet'!$E$9+1,1))</f>
        <v>341.05096821796769</v>
      </c>
      <c r="T20" s="62">
        <f t="shared" si="34"/>
        <v>400.72519822215168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projet'!$B$9,Paramètres!$A$1:$I$88,7,0))</f>
        <v>0</v>
      </c>
      <c r="X20" s="17">
        <f>IF(ISNA(VLOOKUP(A20,'Données projet'!$A$35:$I$55,6,0)),0%,VLOOKUP(A20,'Données projet'!$A$35:$I$55,6,0)*VLOOKUP('Données projet'!$B$9,Paramètres!$A$1:$I$88,7,0))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projet'!$B$9,Paramètres!$A$1:$I$88,3,0)*0.475*44/12</f>
        <v>0</v>
      </c>
      <c r="AA20" s="23">
        <f>EXP(-LN(2)/25)*AA19+(1-EXP(-LN(2)/25))/(LN(2)/25)*Calculateur!V20*Calculateur!X20*VLOOKUP('Données projet'!$B$9,Paramètres!$A$1:$I$88,3,0)*0.475*44/12</f>
        <v>0</v>
      </c>
      <c r="AB20" s="23">
        <f>EXP(-LN(2)/2)*AB19+(1-EXP(-LN(2)/2))/(LN(2)/2)*V20*Y20*VLOOKUP('Données projet'!$B$9,Paramètres!$A$1:$I$88,3,0)*0.475*44/12</f>
        <v>0</v>
      </c>
      <c r="AC20" s="24">
        <f t="shared" si="3"/>
        <v>0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63.501614896818154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9.9499999999999975</v>
      </c>
      <c r="AI20" s="14">
        <f>IF('Données projet'!$A$62&gt;35,AI19+AH20-AQ19,IF(A20&lt;'Données projet'!$A$62,$AF$205^A20,IF(A20='Données projet'!$A$62,'Données projet'!$B$62,AI19+AH20-AQ19)))</f>
        <v>60.750000000000007</v>
      </c>
      <c r="AJ20" s="14">
        <f>AI20*VLOOKUP('Données projet'!$B$10,Paramètres!$A$1:$I$88,3,0)*VLOOKUP('Données projet'!$B$10,Paramètres!$A$1:$I$88,5,0)</f>
        <v>36.328500000000005</v>
      </c>
      <c r="AK20" s="14">
        <f t="shared" si="35"/>
        <v>11.020130210968661</v>
      </c>
      <c r="AL20" s="22">
        <f t="shared" si="4"/>
        <v>82.465530950770429</v>
      </c>
      <c r="AM20" s="62">
        <f t="shared" si="5"/>
        <v>336.0825633502148</v>
      </c>
      <c r="AN20" s="62">
        <f ca="1">AVERAGE(OFFSET($AM$3,0,0,'Données projet'!$E$10+1,1))-AVERAGE(OFFSET($H$3,0,0,'Données projet'!$E$10+1,1))</f>
        <v>231.96474801342879</v>
      </c>
      <c r="AO20" s="62">
        <f t="shared" si="36"/>
        <v>237.75726086383668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projet'!$B$10,Paramètres!$A$1:$I$88,7,0))</f>
        <v>0</v>
      </c>
      <c r="AS20" s="17">
        <f>IF(ISNA(VLOOKUP(A20,'Données projet'!$A$61:$I$81,6,0)),0%,VLOOKUP(A20,'Données projet'!$A$61:$I$81,6,0)*VLOOKUP('Données projet'!$B$10,Paramètres!$A$1:$I$88,7,0))</f>
        <v>0</v>
      </c>
      <c r="AT20" s="17">
        <f>IF(ISNA(VLOOKUP(A20,'Données projet'!$A$61:$I$81,7,0)),0%,VLOOKUP(A20,'Données projet'!$A$61:$I$81,7,0))</f>
        <v>0</v>
      </c>
      <c r="AU20" s="23">
        <f>EXP(-LN(2)/35)*AU19+(1-EXP(-LN(2)/35))/(LN(2)/35)*AQ20*AR20*VLOOKUP('Données projet'!$B$10,Paramètres!$A$1:$I$88,3,0)*0.475*44/12</f>
        <v>0</v>
      </c>
      <c r="AV20" s="23">
        <f>EXP(-LN(2)/25)*AV19+(1-EXP(-LN(2)/25))/(LN(2)/25)*Calculateur!AQ20*Calculateur!AS20*VLOOKUP('Données projet'!$B$10,Paramètres!$A$1:$I$88,3,0)*0.475*44/12</f>
        <v>2.6284582824693494</v>
      </c>
      <c r="AW20" s="23">
        <f>EXP(-LN(2)/2)*AW19+(1-EXP(-LN(2)/2))/(LN(2)/2)*AQ20*AT20*VLOOKUP('Données projet'!$B$10,Paramètres!$A$1:$I$88,3,0)*0.475*44/12</f>
        <v>0</v>
      </c>
      <c r="AX20" s="23">
        <f t="shared" si="6"/>
        <v>2.6284582824693494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63.501614896818154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6.5217391304347823</v>
      </c>
      <c r="BD20" s="13">
        <f>IF('Données projet'!$A$88&gt;35,BD19+BC20-BL19,IF(A20&lt;'Données projet'!$A$88,$BA$205^A20,IF(A20='Données projet'!$A$88,'Données projet'!$B$88,BD19+BC20-BL19)))</f>
        <v>110.8695652173913</v>
      </c>
      <c r="BE20" s="14">
        <f>BD20*VLOOKUP('Données projet'!$B$11,Paramètres!$A$1:$I$88,3,0)*VLOOKUP('Données projet'!$B$11,Paramètres!$A$1:$I$88,5,0)</f>
        <v>51.88695652173913</v>
      </c>
      <c r="BF20" s="14">
        <f t="shared" si="37"/>
        <v>15.100018805851676</v>
      </c>
      <c r="BG20" s="22">
        <f t="shared" si="7"/>
        <v>116.66898202888733</v>
      </c>
      <c r="BH20" s="62">
        <f t="shared" si="8"/>
        <v>370.28601442833167</v>
      </c>
      <c r="BI20" s="62">
        <f ca="1">AVERAGE(OFFSET($BH$3,0,0,'Données projet'!$E$11+1,1))-AVERAGE(OFFSET($H$3,0,0,'Données projet'!$E$11+1,1))</f>
        <v>364.96458059055169</v>
      </c>
      <c r="BJ20" s="62">
        <f t="shared" si="38"/>
        <v>246.27159120786257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projet'!$B$11,Paramètres!$A$1:$I$88,7,0))</f>
        <v>0</v>
      </c>
      <c r="BN20" s="17">
        <f>IF(ISNA(VLOOKUP(A20,'Données projet'!$A$87:$I$107,6,0)),0%,VLOOKUP(A20,'Données projet'!$A$87:$I$107,6,0)*VLOOKUP('Données projet'!$B$11,Paramètres!$A$1:$I$88,7,0))</f>
        <v>0</v>
      </c>
      <c r="BO20" s="17">
        <f>IF(ISNA(VLOOKUP(A20,'Données projet'!$A$87:$I$107,7,0)),0%,VLOOKUP(A20,'Données projet'!$A$87:$I$107,7,0))</f>
        <v>0</v>
      </c>
      <c r="BP20" s="23">
        <f>EXP(-LN(2)/35)*BP19+(1-EXP(-LN(2)/35))/(LN(2)/35)*BL20*BM20*VLOOKUP('Données projet'!$B$11,Paramètres!$A$1:$I$88,3,0)*0.475*44/12</f>
        <v>0</v>
      </c>
      <c r="BQ20" s="23">
        <f>EXP(-LN(2)/25)*BQ19+(1-EXP(-LN(2)/25))/(LN(2)/25)*Calculateur!BL20*Calculateur!BN20*VLOOKUP('Données projet'!$B$11,Paramètres!$A$1:$I$88,3,0)*0.475*44/12</f>
        <v>0</v>
      </c>
      <c r="BR20" s="23">
        <f>EXP(-LN(2)/2)*BR19+(1-EXP(-LN(2)/2))/(LN(2)/2)*BL20*BO20*VLOOKUP('Données projet'!$B$11,Paramètres!$A$1:$I$88,3,0)*0.475*44/12</f>
        <v>0</v>
      </c>
      <c r="BS20" s="24">
        <f t="shared" si="9"/>
        <v>0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63.501614896818154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4.1666667007873768</v>
      </c>
      <c r="BY20" s="13">
        <f>IF('Données projet'!$A$114&gt;35,BY19+BX20-CG19,IF(A20&lt;'Données projet'!$A$114,$BV$205^A20,IF(A20='Données projet'!$A$114,'Données projet'!$B$114,BY19+BX20-CG19)))</f>
        <v>70.833333913385388</v>
      </c>
      <c r="BZ20" s="14">
        <f>BY20*VLOOKUP('Données projet'!$B$12,Paramètres!$A$1:$I$88,3,0)*VLOOKUP('Données projet'!$B$12,Paramètres!$A$1:$I$88,5,0)</f>
        <v>71.825000588172799</v>
      </c>
      <c r="CA20" s="14">
        <f t="shared" si="39"/>
        <v>20.125988435274834</v>
      </c>
      <c r="CB20" s="22">
        <f t="shared" si="10"/>
        <v>160.1479725491713</v>
      </c>
      <c r="CC20" s="62">
        <f t="shared" si="11"/>
        <v>413.76500494861568</v>
      </c>
      <c r="CD20" s="62">
        <f ca="1">AVERAGE(OFFSET($CC$3,0,0,'Données projet'!$E$12+1,1))-AVERAGE(OFFSET($H$3,0,0,'Données projet'!$E$12+1,1))</f>
        <v>310.53598044763282</v>
      </c>
      <c r="CE20" s="62">
        <f t="shared" si="40"/>
        <v>322.01096634040596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projet'!$B$12,Paramètres!$A$1:$I$88,7,0))</f>
        <v>0</v>
      </c>
      <c r="CI20" s="17">
        <f>IF(ISNA(VLOOKUP(A20,'Données projet'!$A$113:$I$133,6,0)),0%,VLOOKUP(A20,'Données projet'!$A$113:$I$133,6,0)*VLOOKUP('Données projet'!$B$12,Paramètres!$A$1:$I$88,7,0))</f>
        <v>0</v>
      </c>
      <c r="CJ20" s="17">
        <f>IF(ISNA(VLOOKUP(A20,'Données projet'!$A$113:$I$133,7,0)),0%,VLOOKUP(A20,'Données projet'!$A$113:$I$133,7,0))</f>
        <v>0</v>
      </c>
      <c r="CK20" s="23">
        <f>EXP(-LN(2)/35)*CK19+(1-EXP(-LN(2)/35))/(LN(2)/35)*CG20*CH20*VLOOKUP('Données projet'!$B$12,Paramètres!$A$1:$I$88,3,0)*0.475*44/12</f>
        <v>0</v>
      </c>
      <c r="CL20" s="23">
        <f>EXP(-LN(2)/25)*CL19+(1-EXP(-LN(2)/25))/(LN(2)/25)*Calculateur!CG20*Calculateur!CI20*VLOOKUP('Données projet'!$B$12,Paramètres!$A$1:$I$88,3,0)*0.475*44/12</f>
        <v>0</v>
      </c>
      <c r="CM20" s="23">
        <f>EXP(-LN(2)/2)*CM19+(1-EXP(-LN(2)/2))/(LN(2)/2)*CG20*CJ20*VLOOKUP('Données projet'!$B$12,Paramètres!$A$1:$I$88,3,0)*0.475*44/12</f>
        <v>0</v>
      </c>
      <c r="CN20" s="24">
        <f t="shared" si="12"/>
        <v>0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63.501614896818154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projet'!$B$13,Paramètres!$A$1:$I$88,3,0)*VLOOKUP('Données projet'!$B$13,Paramètres!$A$1:$I$88,5,0)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projet'!$B$13,Paramètres!$A$1:$I$88,7,0))</f>
        <v>0</v>
      </c>
      <c r="DD20" s="17">
        <f>IF(ISNA(VLOOKUP(A20,'Données projet'!$A$139:$I$159,6,0)),0%,VLOOKUP(A20,'Données projet'!$A$139:$I$159,6,0)*VLOOKUP('Données projet'!$B$13,Paramètres!$A$1:$I$88,7,0))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projet'!$B$13,Paramètres!$A$1:$I$88,3,0)*0.475*44/12</f>
        <v>#N/A</v>
      </c>
      <c r="DG20" s="23" t="e">
        <f>EXP(-LN(2)/25)*DG19+(1-EXP(-LN(2)/25))/(LN(2)/25)*Calculateur!DB20*Calculateur!DD20*VLOOKUP('Données projet'!$B$13,Paramètres!$A$1:$I$88,3,0)*0.475*44/12</f>
        <v>#N/A</v>
      </c>
      <c r="DH20" s="23" t="e">
        <f>EXP(-LN(2)/2)*DH19+(1-EXP(-LN(2)/2))/(LN(2)/2)*DB20*DE20*VLOOKUP('Données projet'!$B$13,Paramètres!$A$1:$I$88,3,0)*0.475*44/12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63.501614896818154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projet'!$B$14,Paramètres!$A$1:$I$88,3,0)*VLOOKUP('Données projet'!$B$14,Paramètres!$A$1:$I$88,5,0)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projet'!$B$14,Paramètres!$A$1:$I$88,7,0))</f>
        <v>0</v>
      </c>
      <c r="DY20" s="17">
        <f>IF(ISNA(VLOOKUP(A20,'Données projet'!$A$165:$I$185,6,0)),0%,VLOOKUP(A20,'Données projet'!$A$165:$I$185,6,0)*VLOOKUP('Données projet'!$B$14,Paramètres!$A$1:$I$88,7,0))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projet'!$B$14,Paramètres!$A$1:$I$88,3,0)*0.475*44/12</f>
        <v>#N/A</v>
      </c>
      <c r="EB20" s="23" t="e">
        <f>EXP(-LN(2)/25)*EB19+(1-EXP(-LN(2)/25))/(LN(2)/25)*Calculateur!DW20*Calculateur!DY20*VLOOKUP('Données projet'!$B$14,Paramètres!$A$1:$I$88,3,0)*0.475*44/12</f>
        <v>#N/A</v>
      </c>
      <c r="EC20" s="23" t="e">
        <f>EXP(-LN(2)/2)*EC19+(1-EXP(-LN(2)/2))/(LN(2)/2)*DW20*DZ20*VLOOKUP('Données projet'!$B$14,Paramètres!$A$1:$I$88,3,0)*0.475*44/12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63.501614896818154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projet'!$B$15,Paramètres!$A$1:$I$88,3,0)*VLOOKUP('Données projet'!$B$15,Paramètres!$A$1:$I$88,5,0)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projet'!$B$15,Paramètres!$A$1:$I$88,7,0))</f>
        <v>0</v>
      </c>
      <c r="ET20" s="17">
        <f>IF(ISNA(VLOOKUP(A20,'Données projet'!$A$191:$I$211,6,0)),0%,VLOOKUP(A20,'Données projet'!$A$191:$I$211,6,0)*VLOOKUP('Données projet'!$B$15,Paramètres!$A$1:$I$88,7,0))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projet'!$B$15,Paramètres!$A$1:$I$88,3,0)*0.475*44/12</f>
        <v>#N/A</v>
      </c>
      <c r="EW20" s="23" t="e">
        <f>EXP(-LN(2)/25)*EW19+(1-EXP(-LN(2)/25))/(LN(2)/25)*Calculateur!ER20*Calculateur!ET20*VLOOKUP('Données projet'!$B$15,Paramètres!$A$1:$I$88,3,0)*0.475*44/12</f>
        <v>#N/A</v>
      </c>
      <c r="EX20" s="23" t="e">
        <f>EXP(-LN(2)/2)*EX19+(1-EXP(-LN(2)/2))/(LN(2)/2)*ER20*EU20*VLOOKUP('Données projet'!$B$15,Paramètres!$A$1:$I$88,3,0)*0.475*44/12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63.501614896818154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projet'!$B$16,Paramètres!$A$1:$I$88,3,0)*VLOOKUP('Données projet'!$B$16,Paramètres!$A$1:$I$88,5,0)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projet'!$B$16,Paramètres!$A$1:$I$88,7,0))</f>
        <v>0</v>
      </c>
      <c r="FO20" s="17">
        <f>IF(ISNA(VLOOKUP(A20,'Données projet'!$A$217:$I$237,6,0)),0%,VLOOKUP(A20,'Données projet'!$A$217:$I$237,6,0)*VLOOKUP('Données projet'!$B$16,Paramètres!$A$1:$I$88,7,0))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projet'!$B$16,Paramètres!$A$1:$I$88,3,0)*0.475*44/12</f>
        <v>#N/A</v>
      </c>
      <c r="FR20" s="23" t="e">
        <f>EXP(-LN(2)/25)*FR19+(1-EXP(-LN(2)/25))/(LN(2)/25)*Calculateur!FM20*Calculateur!FO20*VLOOKUP('Données projet'!$B$16,Paramètres!$A$1:$I$88,3,0)*0.475*44/12</f>
        <v>#N/A</v>
      </c>
      <c r="FS20" s="23" t="e">
        <f>EXP(-LN(2)/2)*FS19+(1-EXP(-LN(2)/2))/(LN(2)/2)*FM20*FP20*VLOOKUP('Données projet'!$B$16,Paramètres!$A$1:$I$88,3,0)*0.475*44/12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63.501614896818154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projet'!$B$17,Paramètres!$A$1:$I$88,3,0)*VLOOKUP('Données projet'!$B$17,Paramètres!$A$1:$I$88,5,0)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projet'!$B$17,Paramètres!$A$1:$I$88,7,0))</f>
        <v>0</v>
      </c>
      <c r="GJ20" s="17">
        <f>IF(ISNA(VLOOKUP(A20,'Données projet'!$A$243:$I$263,6,0)),0%,VLOOKUP(A20,'Données projet'!$A$243:$I$263,6,0)*VLOOKUP('Données projet'!$B$17,Paramètres!$A$1:$I$88,7,0))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projet'!$B$17,Paramètres!$A$1:$I$88,3,0)*0.475*44/12</f>
        <v>#N/A</v>
      </c>
      <c r="GM20" s="23" t="e">
        <f>EXP(-LN(2)/25)*GM19+(1-EXP(-LN(2)/25))/(LN(2)/25)*Calculateur!GH20*Calculateur!GJ20*VLOOKUP('Données projet'!$B$17,Paramètres!$A$1:$I$88,3,0)*0.475*44/12</f>
        <v>#N/A</v>
      </c>
      <c r="GN20" s="23" t="e">
        <f>EXP(-LN(2)/2)*GN19+(1-EXP(-LN(2)/2))/(LN(2)/2)*GH20*GK20*VLOOKUP('Données projet'!$B$17,Paramètres!$A$1:$I$88,3,0)*0.475*44/12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63.501614896818154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projet'!$B$18,Paramètres!$A$1:$I$88,3,0)*VLOOKUP('Données projet'!$B$18,Paramètres!$A$1:$I$88,5,0)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projet'!$B$18,Paramètres!$A$1:$I$88,7,0))</f>
        <v>0</v>
      </c>
      <c r="HE20" s="17">
        <f>IF(ISNA(VLOOKUP(A20,'Données projet'!$A$269:$I$289,6,0)),0%,VLOOKUP(A20,'Données projet'!$A$269:$I$289,6,0)*VLOOKUP('Données projet'!$B$18,Paramètres!$A$1:$I$88,7,0))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projet'!$B$18,Paramètres!$A$1:$I$88,3,0)*0.475*44/12</f>
        <v>#N/A</v>
      </c>
      <c r="HH20" s="23" t="e">
        <f>EXP(-LN(2)/25)*HH19+(1-EXP(-LN(2)/25))/(LN(2)/25)*Calculateur!HC20*Calculateur!HE20*VLOOKUP('Données projet'!$B$18,Paramètres!$A$1:$I$88,3,0)*0.475*44/12</f>
        <v>#N/A</v>
      </c>
      <c r="HI20" s="23" t="e">
        <f>EXP(-LN(2)/2)*HI19+(1-EXP(-LN(2)/2))/(LN(2)/2)*HC20*HF20*VLOOKUP('Données projet'!$B$18,Paramètres!$A$1:$I$88,3,0)*0.475*44/12</f>
        <v>#N/A</v>
      </c>
      <c r="HJ20" s="24" t="e">
        <f t="shared" si="30"/>
        <v>#N/A</v>
      </c>
    </row>
    <row r="21" spans="1:218" s="5" customFormat="1" x14ac:dyDescent="0.35">
      <c r="A21" s="11">
        <f t="shared" si="31"/>
        <v>18</v>
      </c>
      <c r="B21" s="77">
        <f>'Scénario référence'!$B$16*5+'Scénario référence'!$B$17*0+'Scénario référence'!$B$18*5</f>
        <v>1.75</v>
      </c>
      <c r="C21" s="20">
        <f>Calculateur!C20+'Scénario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21" s="12">
        <f t="shared" si="3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6.416666666666667</v>
      </c>
      <c r="H21" s="70">
        <f t="shared" si="1"/>
        <v>231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63.614347350145749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10.119999999999999</v>
      </c>
      <c r="N21" s="14">
        <f>IF('Données projet'!$A$36&gt;35,N20+M21-V20,IF(A21&lt;'Données projet'!$A$36,$K$205^A21,IF(A21='Données projet'!$A$36,'Données projet'!$B$36,N20+M21-V20)))</f>
        <v>53.733703583035215</v>
      </c>
      <c r="O21" s="14">
        <f>N21*VLOOKUP('Données projet'!$B$9,Paramètres!$A$1:$I$88,3,0)*VLOOKUP('Données projet'!$B$9,Paramètres!$A$1:$I$88,5,0)</f>
        <v>30.037140302916686</v>
      </c>
      <c r="P21" s="14">
        <f t="shared" si="33"/>
        <v>9.315607651522777</v>
      </c>
      <c r="Q21" s="22">
        <f t="shared" si="2"/>
        <v>68.539369353982067</v>
      </c>
      <c r="R21" s="62">
        <f t="shared" si="0"/>
        <v>323.79197630451648</v>
      </c>
      <c r="S21" s="62">
        <f ca="1">AVERAGE(OFFSET($R$3,0,0,'Données projet'!$E$9+1,1))-AVERAGE(OFFSET($H$3,0,0,'Données projet'!$E$9+1,1))</f>
        <v>341.05096821796769</v>
      </c>
      <c r="T21" s="62">
        <f t="shared" si="34"/>
        <v>400.72519822215168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projet'!$B$9,Paramètres!$A$1:$I$88,7,0))</f>
        <v>0</v>
      </c>
      <c r="X21" s="17">
        <f>IF(ISNA(VLOOKUP(A21,'Données projet'!$A$35:$I$55,6,0)),0%,VLOOKUP(A21,'Données projet'!$A$35:$I$55,6,0)*VLOOKUP('Données projet'!$B$9,Paramètres!$A$1:$I$88,7,0))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projet'!$B$9,Paramètres!$A$1:$I$88,3,0)*0.475*44/12</f>
        <v>0</v>
      </c>
      <c r="AA21" s="23">
        <f>EXP(-LN(2)/25)*AA20+(1-EXP(-LN(2)/25))/(LN(2)/25)*Calculateur!V21*Calculateur!X21*VLOOKUP('Données projet'!$B$9,Paramètres!$A$1:$I$88,3,0)*0.475*44/12</f>
        <v>0</v>
      </c>
      <c r="AB21" s="23">
        <f>EXP(-LN(2)/2)*AB20+(1-EXP(-LN(2)/2))/(LN(2)/2)*V21*Y21*VLOOKUP('Données projet'!$B$9,Paramètres!$A$1:$I$88,3,0)*0.475*44/12</f>
        <v>0</v>
      </c>
      <c r="AC21" s="24">
        <f t="shared" si="3"/>
        <v>0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63.614347350145749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9.9499999999999975</v>
      </c>
      <c r="AI21" s="14">
        <f>IF('Données projet'!$A$62&gt;35,AI20+AH21-AQ20,IF(A21&lt;'Données projet'!$A$62,$AF$205^A21,IF(A21='Données projet'!$A$62,'Données projet'!$B$62,AI20+AH21-AQ20)))</f>
        <v>70.7</v>
      </c>
      <c r="AJ21" s="14">
        <f>AI21*VLOOKUP('Données projet'!$B$10,Paramètres!$A$1:$I$88,3,0)*VLOOKUP('Données projet'!$B$10,Paramètres!$A$1:$I$88,5,0)</f>
        <v>42.278600000000012</v>
      </c>
      <c r="AK21" s="14">
        <f t="shared" si="35"/>
        <v>12.600629006961542</v>
      </c>
      <c r="AL21" s="22">
        <f t="shared" si="4"/>
        <v>95.581323853791375</v>
      </c>
      <c r="AM21" s="62">
        <f t="shared" si="5"/>
        <v>350.8339308043258</v>
      </c>
      <c r="AN21" s="62">
        <f ca="1">AVERAGE(OFFSET($AM$3,0,0,'Données projet'!$E$10+1,1))-AVERAGE(OFFSET($H$3,0,0,'Données projet'!$E$10+1,1))</f>
        <v>231.96474801342879</v>
      </c>
      <c r="AO21" s="62">
        <f t="shared" si="36"/>
        <v>237.75726086383668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projet'!$B$10,Paramètres!$A$1:$I$88,7,0))</f>
        <v>0</v>
      </c>
      <c r="AS21" s="17">
        <f>IF(ISNA(VLOOKUP(A21,'Données projet'!$A$61:$I$81,6,0)),0%,VLOOKUP(A21,'Données projet'!$A$61:$I$81,6,0)*VLOOKUP('Données projet'!$B$10,Paramètres!$A$1:$I$88,7,0))</f>
        <v>0</v>
      </c>
      <c r="AT21" s="17">
        <f>IF(ISNA(VLOOKUP(A21,'Données projet'!$A$61:$I$81,7,0)),0%,VLOOKUP(A21,'Données projet'!$A$61:$I$81,7,0))</f>
        <v>0</v>
      </c>
      <c r="AU21" s="23">
        <f>EXP(-LN(2)/35)*AU20+(1-EXP(-LN(2)/35))/(LN(2)/35)*AQ21*AR21*VLOOKUP('Données projet'!$B$10,Paramètres!$A$1:$I$88,3,0)*0.475*44/12</f>
        <v>0</v>
      </c>
      <c r="AV21" s="23">
        <f>EXP(-LN(2)/25)*AV20+(1-EXP(-LN(2)/25))/(LN(2)/25)*Calculateur!AQ21*Calculateur!AS21*VLOOKUP('Données projet'!$B$10,Paramètres!$A$1:$I$88,3,0)*0.475*44/12</f>
        <v>2.5565829525106114</v>
      </c>
      <c r="AW21" s="23">
        <f>EXP(-LN(2)/2)*AW20+(1-EXP(-LN(2)/2))/(LN(2)/2)*AQ21*AT21*VLOOKUP('Données projet'!$B$10,Paramètres!$A$1:$I$88,3,0)*0.475*44/12</f>
        <v>0</v>
      </c>
      <c r="AX21" s="23">
        <f t="shared" si="6"/>
        <v>2.5565829525106114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63.614347350145749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6.5217391304347823</v>
      </c>
      <c r="BD21" s="13">
        <f>IF('Données projet'!$A$88&gt;35,BD20+BC21-BL20,IF(A21&lt;'Données projet'!$A$88,$BA$205^A21,IF(A21='Données projet'!$A$88,'Données projet'!$B$88,BD20+BC21-BL20)))</f>
        <v>117.39130434782608</v>
      </c>
      <c r="BE21" s="14">
        <f>BD21*VLOOKUP('Données projet'!$B$11,Paramètres!$A$1:$I$88,3,0)*VLOOKUP('Données projet'!$B$11,Paramètres!$A$1:$I$88,5,0)</f>
        <v>54.939130434782598</v>
      </c>
      <c r="BF21" s="14">
        <f t="shared" si="37"/>
        <v>15.882234598513971</v>
      </c>
      <c r="BG21" s="22">
        <f t="shared" si="7"/>
        <v>123.34721076632486</v>
      </c>
      <c r="BH21" s="62">
        <f t="shared" si="8"/>
        <v>378.59981771685926</v>
      </c>
      <c r="BI21" s="62">
        <f ca="1">AVERAGE(OFFSET($BH$3,0,0,'Données projet'!$E$11+1,1))-AVERAGE(OFFSET($H$3,0,0,'Données projet'!$E$11+1,1))</f>
        <v>364.96458059055169</v>
      </c>
      <c r="BJ21" s="62">
        <f t="shared" si="38"/>
        <v>246.27159120786257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projet'!$B$11,Paramètres!$A$1:$I$88,7,0))</f>
        <v>0</v>
      </c>
      <c r="BN21" s="17">
        <f>IF(ISNA(VLOOKUP(A21,'Données projet'!$A$87:$I$107,6,0)),0%,VLOOKUP(A21,'Données projet'!$A$87:$I$107,6,0)*VLOOKUP('Données projet'!$B$11,Paramètres!$A$1:$I$88,7,0))</f>
        <v>0</v>
      </c>
      <c r="BO21" s="17">
        <f>IF(ISNA(VLOOKUP(A21,'Données projet'!$A$87:$I$107,7,0)),0%,VLOOKUP(A21,'Données projet'!$A$87:$I$107,7,0))</f>
        <v>0</v>
      </c>
      <c r="BP21" s="23">
        <f>EXP(-LN(2)/35)*BP20+(1-EXP(-LN(2)/35))/(LN(2)/35)*BL21*BM21*VLOOKUP('Données projet'!$B$11,Paramètres!$A$1:$I$88,3,0)*0.475*44/12</f>
        <v>0</v>
      </c>
      <c r="BQ21" s="23">
        <f>EXP(-LN(2)/25)*BQ20+(1-EXP(-LN(2)/25))/(LN(2)/25)*Calculateur!BL21*Calculateur!BN21*VLOOKUP('Données projet'!$B$11,Paramètres!$A$1:$I$88,3,0)*0.475*44/12</f>
        <v>0</v>
      </c>
      <c r="BR21" s="23">
        <f>EXP(-LN(2)/2)*BR20+(1-EXP(-LN(2)/2))/(LN(2)/2)*BL21*BO21*VLOOKUP('Données projet'!$B$11,Paramètres!$A$1:$I$88,3,0)*0.475*44/12</f>
        <v>0</v>
      </c>
      <c r="BS21" s="24">
        <f t="shared" si="9"/>
        <v>0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63.614347350145749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4.1666667007873768</v>
      </c>
      <c r="BY21" s="13">
        <f>IF('Données projet'!$A$114&gt;35,BY20+BX21-CG20,IF(A21&lt;'Données projet'!$A$114,$BV$205^A21,IF(A21='Données projet'!$A$114,'Données projet'!$B$114,BY20+BX21-CG20)))</f>
        <v>75.000000614172762</v>
      </c>
      <c r="BZ21" s="14">
        <f>BY21*VLOOKUP('Données projet'!$B$12,Paramètres!$A$1:$I$88,3,0)*VLOOKUP('Données projet'!$B$12,Paramètres!$A$1:$I$88,5,0)</f>
        <v>76.050000622771179</v>
      </c>
      <c r="CA21" s="14">
        <f t="shared" si="39"/>
        <v>21.168561043920189</v>
      </c>
      <c r="CB21" s="22">
        <f t="shared" si="10"/>
        <v>169.32232823615414</v>
      </c>
      <c r="CC21" s="62">
        <f t="shared" si="11"/>
        <v>424.57493518668855</v>
      </c>
      <c r="CD21" s="62">
        <f ca="1">AVERAGE(OFFSET($CC$3,0,0,'Données projet'!$E$12+1,1))-AVERAGE(OFFSET($H$3,0,0,'Données projet'!$E$12+1,1))</f>
        <v>310.53598044763282</v>
      </c>
      <c r="CE21" s="62">
        <f t="shared" si="40"/>
        <v>322.01096634040596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projet'!$B$12,Paramètres!$A$1:$I$88,7,0))</f>
        <v>0</v>
      </c>
      <c r="CI21" s="17">
        <f>IF(ISNA(VLOOKUP(A21,'Données projet'!$A$113:$I$133,6,0)),0%,VLOOKUP(A21,'Données projet'!$A$113:$I$133,6,0)*VLOOKUP('Données projet'!$B$12,Paramètres!$A$1:$I$88,7,0))</f>
        <v>0</v>
      </c>
      <c r="CJ21" s="17">
        <f>IF(ISNA(VLOOKUP(A21,'Données projet'!$A$113:$I$133,7,0)),0%,VLOOKUP(A21,'Données projet'!$A$113:$I$133,7,0))</f>
        <v>0</v>
      </c>
      <c r="CK21" s="23">
        <f>EXP(-LN(2)/35)*CK20+(1-EXP(-LN(2)/35))/(LN(2)/35)*CG21*CH21*VLOOKUP('Données projet'!$B$12,Paramètres!$A$1:$I$88,3,0)*0.475*44/12</f>
        <v>0</v>
      </c>
      <c r="CL21" s="23">
        <f>EXP(-LN(2)/25)*CL20+(1-EXP(-LN(2)/25))/(LN(2)/25)*Calculateur!CG21*Calculateur!CI21*VLOOKUP('Données projet'!$B$12,Paramètres!$A$1:$I$88,3,0)*0.475*44/12</f>
        <v>0</v>
      </c>
      <c r="CM21" s="23">
        <f>EXP(-LN(2)/2)*CM20+(1-EXP(-LN(2)/2))/(LN(2)/2)*CG21*CJ21*VLOOKUP('Données projet'!$B$12,Paramètres!$A$1:$I$88,3,0)*0.475*44/12</f>
        <v>0</v>
      </c>
      <c r="CN21" s="24">
        <f t="shared" si="12"/>
        <v>0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63.614347350145749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projet'!$B$13,Paramètres!$A$1:$I$88,3,0)*VLOOKUP('Données projet'!$B$13,Paramètres!$A$1:$I$88,5,0)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projet'!$B$13,Paramètres!$A$1:$I$88,7,0))</f>
        <v>0</v>
      </c>
      <c r="DD21" s="17">
        <f>IF(ISNA(VLOOKUP(A21,'Données projet'!$A$139:$I$159,6,0)),0%,VLOOKUP(A21,'Données projet'!$A$139:$I$159,6,0)*VLOOKUP('Données projet'!$B$13,Paramètres!$A$1:$I$88,7,0))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projet'!$B$13,Paramètres!$A$1:$I$88,3,0)*0.475*44/12</f>
        <v>#N/A</v>
      </c>
      <c r="DG21" s="23" t="e">
        <f>EXP(-LN(2)/25)*DG20+(1-EXP(-LN(2)/25))/(LN(2)/25)*Calculateur!DB21*Calculateur!DD21*VLOOKUP('Données projet'!$B$13,Paramètres!$A$1:$I$88,3,0)*0.475*44/12</f>
        <v>#N/A</v>
      </c>
      <c r="DH21" s="23" t="e">
        <f>EXP(-LN(2)/2)*DH20+(1-EXP(-LN(2)/2))/(LN(2)/2)*DB21*DE21*VLOOKUP('Données projet'!$B$13,Paramètres!$A$1:$I$88,3,0)*0.475*44/12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63.614347350145749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projet'!$B$14,Paramètres!$A$1:$I$88,3,0)*VLOOKUP('Données projet'!$B$14,Paramètres!$A$1:$I$88,5,0)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projet'!$B$14,Paramètres!$A$1:$I$88,7,0))</f>
        <v>0</v>
      </c>
      <c r="DY21" s="17">
        <f>IF(ISNA(VLOOKUP(A21,'Données projet'!$A$165:$I$185,6,0)),0%,VLOOKUP(A21,'Données projet'!$A$165:$I$185,6,0)*VLOOKUP('Données projet'!$B$14,Paramètres!$A$1:$I$88,7,0))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projet'!$B$14,Paramètres!$A$1:$I$88,3,0)*0.475*44/12</f>
        <v>#N/A</v>
      </c>
      <c r="EB21" s="23" t="e">
        <f>EXP(-LN(2)/25)*EB20+(1-EXP(-LN(2)/25))/(LN(2)/25)*Calculateur!DW21*Calculateur!DY21*VLOOKUP('Données projet'!$B$14,Paramètres!$A$1:$I$88,3,0)*0.475*44/12</f>
        <v>#N/A</v>
      </c>
      <c r="EC21" s="23" t="e">
        <f>EXP(-LN(2)/2)*EC20+(1-EXP(-LN(2)/2))/(LN(2)/2)*DW21*DZ21*VLOOKUP('Données projet'!$B$14,Paramètres!$A$1:$I$88,3,0)*0.475*44/12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63.614347350145749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projet'!$B$15,Paramètres!$A$1:$I$88,3,0)*VLOOKUP('Données projet'!$B$15,Paramètres!$A$1:$I$88,5,0)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projet'!$B$15,Paramètres!$A$1:$I$88,7,0))</f>
        <v>0</v>
      </c>
      <c r="ET21" s="17">
        <f>IF(ISNA(VLOOKUP(A21,'Données projet'!$A$191:$I$211,6,0)),0%,VLOOKUP(A21,'Données projet'!$A$191:$I$211,6,0)*VLOOKUP('Données projet'!$B$15,Paramètres!$A$1:$I$88,7,0))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projet'!$B$15,Paramètres!$A$1:$I$88,3,0)*0.475*44/12</f>
        <v>#N/A</v>
      </c>
      <c r="EW21" s="23" t="e">
        <f>EXP(-LN(2)/25)*EW20+(1-EXP(-LN(2)/25))/(LN(2)/25)*Calculateur!ER21*Calculateur!ET21*VLOOKUP('Données projet'!$B$15,Paramètres!$A$1:$I$88,3,0)*0.475*44/12</f>
        <v>#N/A</v>
      </c>
      <c r="EX21" s="23" t="e">
        <f>EXP(-LN(2)/2)*EX20+(1-EXP(-LN(2)/2))/(LN(2)/2)*ER21*EU21*VLOOKUP('Données projet'!$B$15,Paramètres!$A$1:$I$88,3,0)*0.475*44/12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63.614347350145749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projet'!$B$16,Paramètres!$A$1:$I$88,3,0)*VLOOKUP('Données projet'!$B$16,Paramètres!$A$1:$I$88,5,0)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projet'!$B$16,Paramètres!$A$1:$I$88,7,0))</f>
        <v>0</v>
      </c>
      <c r="FO21" s="17">
        <f>IF(ISNA(VLOOKUP(A21,'Données projet'!$A$217:$I$237,6,0)),0%,VLOOKUP(A21,'Données projet'!$A$217:$I$237,6,0)*VLOOKUP('Données projet'!$B$16,Paramètres!$A$1:$I$88,7,0))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projet'!$B$16,Paramètres!$A$1:$I$88,3,0)*0.475*44/12</f>
        <v>#N/A</v>
      </c>
      <c r="FR21" s="23" t="e">
        <f>EXP(-LN(2)/25)*FR20+(1-EXP(-LN(2)/25))/(LN(2)/25)*Calculateur!FM21*Calculateur!FO21*VLOOKUP('Données projet'!$B$16,Paramètres!$A$1:$I$88,3,0)*0.475*44/12</f>
        <v>#N/A</v>
      </c>
      <c r="FS21" s="23" t="e">
        <f>EXP(-LN(2)/2)*FS20+(1-EXP(-LN(2)/2))/(LN(2)/2)*FM21*FP21*VLOOKUP('Données projet'!$B$16,Paramètres!$A$1:$I$88,3,0)*0.475*44/12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63.614347350145749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projet'!$B$17,Paramètres!$A$1:$I$88,3,0)*VLOOKUP('Données projet'!$B$17,Paramètres!$A$1:$I$88,5,0)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projet'!$B$17,Paramètres!$A$1:$I$88,7,0))</f>
        <v>0</v>
      </c>
      <c r="GJ21" s="17">
        <f>IF(ISNA(VLOOKUP(A21,'Données projet'!$A$243:$I$263,6,0)),0%,VLOOKUP(A21,'Données projet'!$A$243:$I$263,6,0)*VLOOKUP('Données projet'!$B$17,Paramètres!$A$1:$I$88,7,0))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projet'!$B$17,Paramètres!$A$1:$I$88,3,0)*0.475*44/12</f>
        <v>#N/A</v>
      </c>
      <c r="GM21" s="23" t="e">
        <f>EXP(-LN(2)/25)*GM20+(1-EXP(-LN(2)/25))/(LN(2)/25)*Calculateur!GH21*Calculateur!GJ21*VLOOKUP('Données projet'!$B$17,Paramètres!$A$1:$I$88,3,0)*0.475*44/12</f>
        <v>#N/A</v>
      </c>
      <c r="GN21" s="23" t="e">
        <f>EXP(-LN(2)/2)*GN20+(1-EXP(-LN(2)/2))/(LN(2)/2)*GH21*GK21*VLOOKUP('Données projet'!$B$17,Paramètres!$A$1:$I$88,3,0)*0.475*44/12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63.614347350145749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projet'!$B$18,Paramètres!$A$1:$I$88,3,0)*VLOOKUP('Données projet'!$B$18,Paramètres!$A$1:$I$88,5,0)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projet'!$B$18,Paramètres!$A$1:$I$88,7,0))</f>
        <v>0</v>
      </c>
      <c r="HE21" s="17">
        <f>IF(ISNA(VLOOKUP(A21,'Données projet'!$A$269:$I$289,6,0)),0%,VLOOKUP(A21,'Données projet'!$A$269:$I$289,6,0)*VLOOKUP('Données projet'!$B$18,Paramètres!$A$1:$I$88,7,0))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projet'!$B$18,Paramètres!$A$1:$I$88,3,0)*0.475*44/12</f>
        <v>#N/A</v>
      </c>
      <c r="HH21" s="23" t="e">
        <f>EXP(-LN(2)/25)*HH20+(1-EXP(-LN(2)/25))/(LN(2)/25)*Calculateur!HC21*Calculateur!HE21*VLOOKUP('Données projet'!$B$18,Paramètres!$A$1:$I$88,3,0)*0.475*44/12</f>
        <v>#N/A</v>
      </c>
      <c r="HI21" s="23" t="e">
        <f>EXP(-LN(2)/2)*HI20+(1-EXP(-LN(2)/2))/(LN(2)/2)*HC21*HF21*VLOOKUP('Données projet'!$B$18,Paramètres!$A$1:$I$88,3,0)*0.475*44/12</f>
        <v>#N/A</v>
      </c>
      <c r="HJ21" s="24" t="e">
        <f t="shared" si="30"/>
        <v>#N/A</v>
      </c>
    </row>
    <row r="22" spans="1:218" s="5" customFormat="1" x14ac:dyDescent="0.35">
      <c r="A22" s="11">
        <f t="shared" si="31"/>
        <v>19</v>
      </c>
      <c r="B22" s="77">
        <f>'Scénario référence'!$B$16*5+'Scénario référence'!$B$17*0+'Scénario référence'!$B$18*5</f>
        <v>1.75</v>
      </c>
      <c r="C22" s="20">
        <f>Calculateur!C21+'Scénario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22" s="12">
        <f t="shared" si="3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6.416666666666667</v>
      </c>
      <c r="H22" s="70">
        <f t="shared" si="1"/>
        <v>231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63.725124147440127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10.119999999999999</v>
      </c>
      <c r="N22" s="14">
        <f>IF('Données projet'!$A$36&gt;35,N21+M22-V21,IF(A22&lt;'Données projet'!$A$36,$K$205^A22,IF(A22='Données projet'!$A$36,'Données projet'!$B$36,N21+M22-V21)))</f>
        <v>67.045802915702126</v>
      </c>
      <c r="O22" s="14">
        <f>N22*VLOOKUP('Données projet'!$B$9,Paramètres!$A$1:$I$88,3,0)*VLOOKUP('Données projet'!$B$9,Paramètres!$A$1:$I$88,5,0)</f>
        <v>37.478603829877493</v>
      </c>
      <c r="P22" s="14">
        <f t="shared" si="33"/>
        <v>11.3278393329661</v>
      </c>
      <c r="Q22" s="22">
        <f t="shared" si="2"/>
        <v>85.004555175285915</v>
      </c>
      <c r="R22" s="62">
        <f t="shared" si="0"/>
        <v>341.88556593812194</v>
      </c>
      <c r="S22" s="62">
        <f ca="1">AVERAGE(OFFSET($R$3,0,0,'Données projet'!$E$9+1,1))-AVERAGE(OFFSET($H$3,0,0,'Données projet'!$E$9+1,1))</f>
        <v>341.05096821796769</v>
      </c>
      <c r="T22" s="62">
        <f t="shared" si="34"/>
        <v>400.72519822215168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projet'!$B$9,Paramètres!$A$1:$I$88,7,0))</f>
        <v>0</v>
      </c>
      <c r="X22" s="17">
        <f>IF(ISNA(VLOOKUP(A22,'Données projet'!$A$35:$I$55,6,0)),0%,VLOOKUP(A22,'Données projet'!$A$35:$I$55,6,0)*VLOOKUP('Données projet'!$B$9,Paramètres!$A$1:$I$88,7,0))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projet'!$B$9,Paramètres!$A$1:$I$88,3,0)*0.475*44/12</f>
        <v>0</v>
      </c>
      <c r="AA22" s="23">
        <f>EXP(-LN(2)/25)*AA21+(1-EXP(-LN(2)/25))/(LN(2)/25)*Calculateur!V22*Calculateur!X22*VLOOKUP('Données projet'!$B$9,Paramètres!$A$1:$I$88,3,0)*0.475*44/12</f>
        <v>0</v>
      </c>
      <c r="AB22" s="23">
        <f>EXP(-LN(2)/2)*AB21+(1-EXP(-LN(2)/2))/(LN(2)/2)*V22*Y22*VLOOKUP('Données projet'!$B$9,Paramètres!$A$1:$I$88,3,0)*0.475*44/12</f>
        <v>0</v>
      </c>
      <c r="AC22" s="24">
        <f t="shared" si="3"/>
        <v>0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63.725124147440127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9.9499999999999975</v>
      </c>
      <c r="AI22" s="14">
        <f>IF('Données projet'!$A$62&gt;35,AI21+AH22-AQ21,IF(A22&lt;'Données projet'!$A$62,$AF$205^A22,IF(A22='Données projet'!$A$62,'Données projet'!$B$62,AI21+AH22-AQ21)))</f>
        <v>80.650000000000006</v>
      </c>
      <c r="AJ22" s="14">
        <f>AI22*VLOOKUP('Données projet'!$B$10,Paramètres!$A$1:$I$88,3,0)*VLOOKUP('Données projet'!$B$10,Paramètres!$A$1:$I$88,5,0)</f>
        <v>48.228700000000003</v>
      </c>
      <c r="AK22" s="14">
        <f t="shared" si="35"/>
        <v>14.155357883087916</v>
      </c>
      <c r="AL22" s="22">
        <f t="shared" si="4"/>
        <v>108.65223414637812</v>
      </c>
      <c r="AM22" s="62">
        <f t="shared" si="5"/>
        <v>365.53324490921415</v>
      </c>
      <c r="AN22" s="62">
        <f ca="1">AVERAGE(OFFSET($AM$3,0,0,'Données projet'!$E$10+1,1))-AVERAGE(OFFSET($H$3,0,0,'Données projet'!$E$10+1,1))</f>
        <v>231.96474801342879</v>
      </c>
      <c r="AO22" s="62">
        <f t="shared" si="36"/>
        <v>237.75726086383668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projet'!$B$10,Paramètres!$A$1:$I$88,7,0))</f>
        <v>0</v>
      </c>
      <c r="AS22" s="17">
        <f>IF(ISNA(VLOOKUP(A22,'Données projet'!$A$61:$I$81,6,0)),0%,VLOOKUP(A22,'Données projet'!$A$61:$I$81,6,0)*VLOOKUP('Données projet'!$B$10,Paramètres!$A$1:$I$88,7,0))</f>
        <v>0</v>
      </c>
      <c r="AT22" s="17">
        <f>IF(ISNA(VLOOKUP(A22,'Données projet'!$A$61:$I$81,7,0)),0%,VLOOKUP(A22,'Données projet'!$A$61:$I$81,7,0))</f>
        <v>0</v>
      </c>
      <c r="AU22" s="23">
        <f>EXP(-LN(2)/35)*AU21+(1-EXP(-LN(2)/35))/(LN(2)/35)*AQ22*AR22*VLOOKUP('Données projet'!$B$10,Paramètres!$A$1:$I$88,3,0)*0.475*44/12</f>
        <v>0</v>
      </c>
      <c r="AV22" s="23">
        <f>EXP(-LN(2)/25)*AV21+(1-EXP(-LN(2)/25))/(LN(2)/25)*Calculateur!AQ22*Calculateur!AS22*VLOOKUP('Données projet'!$B$10,Paramètres!$A$1:$I$88,3,0)*0.475*44/12</f>
        <v>2.4866730572293543</v>
      </c>
      <c r="AW22" s="23">
        <f>EXP(-LN(2)/2)*AW21+(1-EXP(-LN(2)/2))/(LN(2)/2)*AQ22*AT22*VLOOKUP('Données projet'!$B$10,Paramètres!$A$1:$I$88,3,0)*0.475*44/12</f>
        <v>0</v>
      </c>
      <c r="AX22" s="23">
        <f t="shared" si="6"/>
        <v>2.4866730572293543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63.725124147440127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6.5217391304347823</v>
      </c>
      <c r="BD22" s="13">
        <f>IF('Données projet'!$A$88&gt;35,BD21+BC22-BL21,IF(A22&lt;'Données projet'!$A$88,$BA$205^A22,IF(A22='Données projet'!$A$88,'Données projet'!$B$88,BD21+BC22-BL21)))</f>
        <v>123.91304347826086</v>
      </c>
      <c r="BE22" s="14">
        <f>BD22*VLOOKUP('Données projet'!$B$11,Paramètres!$A$1:$I$88,3,0)*VLOOKUP('Données projet'!$B$11,Paramètres!$A$1:$I$88,5,0)</f>
        <v>57.99130434782608</v>
      </c>
      <c r="BF22" s="14">
        <f t="shared" si="37"/>
        <v>16.659405643201747</v>
      </c>
      <c r="BG22" s="22">
        <f t="shared" si="7"/>
        <v>130.01665323437348</v>
      </c>
      <c r="BH22" s="62">
        <f t="shared" si="8"/>
        <v>386.89766399720952</v>
      </c>
      <c r="BI22" s="62">
        <f ca="1">AVERAGE(OFFSET($BH$3,0,0,'Données projet'!$E$11+1,1))-AVERAGE(OFFSET($H$3,0,0,'Données projet'!$E$11+1,1))</f>
        <v>364.96458059055169</v>
      </c>
      <c r="BJ22" s="62">
        <f t="shared" si="38"/>
        <v>246.27159120786257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projet'!$B$11,Paramètres!$A$1:$I$88,7,0))</f>
        <v>0</v>
      </c>
      <c r="BN22" s="17">
        <f>IF(ISNA(VLOOKUP(A22,'Données projet'!$A$87:$I$107,6,0)),0%,VLOOKUP(A22,'Données projet'!$A$87:$I$107,6,0)*VLOOKUP('Données projet'!$B$11,Paramètres!$A$1:$I$88,7,0))</f>
        <v>0</v>
      </c>
      <c r="BO22" s="17">
        <f>IF(ISNA(VLOOKUP(A22,'Données projet'!$A$87:$I$107,7,0)),0%,VLOOKUP(A22,'Données projet'!$A$87:$I$107,7,0))</f>
        <v>0</v>
      </c>
      <c r="BP22" s="23">
        <f>EXP(-LN(2)/35)*BP21+(1-EXP(-LN(2)/35))/(LN(2)/35)*BL22*BM22*VLOOKUP('Données projet'!$B$11,Paramètres!$A$1:$I$88,3,0)*0.475*44/12</f>
        <v>0</v>
      </c>
      <c r="BQ22" s="23">
        <f>EXP(-LN(2)/25)*BQ21+(1-EXP(-LN(2)/25))/(LN(2)/25)*Calculateur!BL22*Calculateur!BN22*VLOOKUP('Données projet'!$B$11,Paramètres!$A$1:$I$88,3,0)*0.475*44/12</f>
        <v>0</v>
      </c>
      <c r="BR22" s="23">
        <f>EXP(-LN(2)/2)*BR21+(1-EXP(-LN(2)/2))/(LN(2)/2)*BL22*BO22*VLOOKUP('Données projet'!$B$11,Paramètres!$A$1:$I$88,3,0)*0.475*44/12</f>
        <v>0</v>
      </c>
      <c r="BS22" s="24">
        <f t="shared" si="9"/>
        <v>0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63.725124147440127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4.1666667007873768</v>
      </c>
      <c r="BY22" s="13">
        <f>IF('Données projet'!$A$114&gt;35,BY21+BX22-CG21,IF(A22&lt;'Données projet'!$A$114,$BV$205^A22,IF(A22='Données projet'!$A$114,'Données projet'!$B$114,BY21+BX22-CG21)))</f>
        <v>79.166667314960137</v>
      </c>
      <c r="BZ22" s="14">
        <f>BY22*VLOOKUP('Données projet'!$B$12,Paramètres!$A$1:$I$88,3,0)*VLOOKUP('Données projet'!$B$12,Paramètres!$A$1:$I$88,5,0)</f>
        <v>80.275000657369574</v>
      </c>
      <c r="CA22" s="14">
        <f t="shared" si="39"/>
        <v>22.204409784158525</v>
      </c>
      <c r="CB22" s="22">
        <f t="shared" si="10"/>
        <v>178.48497318566146</v>
      </c>
      <c r="CC22" s="62">
        <f t="shared" si="11"/>
        <v>435.3659839484975</v>
      </c>
      <c r="CD22" s="62">
        <f ca="1">AVERAGE(OFFSET($CC$3,0,0,'Données projet'!$E$12+1,1))-AVERAGE(OFFSET($H$3,0,0,'Données projet'!$E$12+1,1))</f>
        <v>310.53598044763282</v>
      </c>
      <c r="CE22" s="62">
        <f t="shared" si="40"/>
        <v>322.01096634040596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projet'!$B$12,Paramètres!$A$1:$I$88,7,0))</f>
        <v>0</v>
      </c>
      <c r="CI22" s="17">
        <f>IF(ISNA(VLOOKUP(A22,'Données projet'!$A$113:$I$133,6,0)),0%,VLOOKUP(A22,'Données projet'!$A$113:$I$133,6,0)*VLOOKUP('Données projet'!$B$12,Paramètres!$A$1:$I$88,7,0))</f>
        <v>0</v>
      </c>
      <c r="CJ22" s="17">
        <f>IF(ISNA(VLOOKUP(A22,'Données projet'!$A$113:$I$133,7,0)),0%,VLOOKUP(A22,'Données projet'!$A$113:$I$133,7,0))</f>
        <v>0</v>
      </c>
      <c r="CK22" s="23">
        <f>EXP(-LN(2)/35)*CK21+(1-EXP(-LN(2)/35))/(LN(2)/35)*CG22*CH22*VLOOKUP('Données projet'!$B$12,Paramètres!$A$1:$I$88,3,0)*0.475*44/12</f>
        <v>0</v>
      </c>
      <c r="CL22" s="23">
        <f>EXP(-LN(2)/25)*CL21+(1-EXP(-LN(2)/25))/(LN(2)/25)*Calculateur!CG22*Calculateur!CI22*VLOOKUP('Données projet'!$B$12,Paramètres!$A$1:$I$88,3,0)*0.475*44/12</f>
        <v>0</v>
      </c>
      <c r="CM22" s="23">
        <f>EXP(-LN(2)/2)*CM21+(1-EXP(-LN(2)/2))/(LN(2)/2)*CG22*CJ22*VLOOKUP('Données projet'!$B$12,Paramètres!$A$1:$I$88,3,0)*0.475*44/12</f>
        <v>0</v>
      </c>
      <c r="CN22" s="24">
        <f t="shared" si="12"/>
        <v>0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63.725124147440127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projet'!$B$13,Paramètres!$A$1:$I$88,3,0)*VLOOKUP('Données projet'!$B$13,Paramètres!$A$1:$I$88,5,0)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projet'!$B$13,Paramètres!$A$1:$I$88,7,0))</f>
        <v>0</v>
      </c>
      <c r="DD22" s="17">
        <f>IF(ISNA(VLOOKUP(A22,'Données projet'!$A$139:$I$159,6,0)),0%,VLOOKUP(A22,'Données projet'!$A$139:$I$159,6,0)*VLOOKUP('Données projet'!$B$13,Paramètres!$A$1:$I$88,7,0))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projet'!$B$13,Paramètres!$A$1:$I$88,3,0)*0.475*44/12</f>
        <v>#N/A</v>
      </c>
      <c r="DG22" s="23" t="e">
        <f>EXP(-LN(2)/25)*DG21+(1-EXP(-LN(2)/25))/(LN(2)/25)*Calculateur!DB22*Calculateur!DD22*VLOOKUP('Données projet'!$B$13,Paramètres!$A$1:$I$88,3,0)*0.475*44/12</f>
        <v>#N/A</v>
      </c>
      <c r="DH22" s="23" t="e">
        <f>EXP(-LN(2)/2)*DH21+(1-EXP(-LN(2)/2))/(LN(2)/2)*DB22*DE22*VLOOKUP('Données projet'!$B$13,Paramètres!$A$1:$I$88,3,0)*0.475*44/12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63.725124147440127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projet'!$B$14,Paramètres!$A$1:$I$88,3,0)*VLOOKUP('Données projet'!$B$14,Paramètres!$A$1:$I$88,5,0)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projet'!$B$14,Paramètres!$A$1:$I$88,7,0))</f>
        <v>0</v>
      </c>
      <c r="DY22" s="17">
        <f>IF(ISNA(VLOOKUP(A22,'Données projet'!$A$165:$I$185,6,0)),0%,VLOOKUP(A22,'Données projet'!$A$165:$I$185,6,0)*VLOOKUP('Données projet'!$B$14,Paramètres!$A$1:$I$88,7,0))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projet'!$B$14,Paramètres!$A$1:$I$88,3,0)*0.475*44/12</f>
        <v>#N/A</v>
      </c>
      <c r="EB22" s="23" t="e">
        <f>EXP(-LN(2)/25)*EB21+(1-EXP(-LN(2)/25))/(LN(2)/25)*Calculateur!DW22*Calculateur!DY22*VLOOKUP('Données projet'!$B$14,Paramètres!$A$1:$I$88,3,0)*0.475*44/12</f>
        <v>#N/A</v>
      </c>
      <c r="EC22" s="23" t="e">
        <f>EXP(-LN(2)/2)*EC21+(1-EXP(-LN(2)/2))/(LN(2)/2)*DW22*DZ22*VLOOKUP('Données projet'!$B$14,Paramètres!$A$1:$I$88,3,0)*0.475*44/12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63.725124147440127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projet'!$B$15,Paramètres!$A$1:$I$88,3,0)*VLOOKUP('Données projet'!$B$15,Paramètres!$A$1:$I$88,5,0)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projet'!$B$15,Paramètres!$A$1:$I$88,7,0))</f>
        <v>0</v>
      </c>
      <c r="ET22" s="17">
        <f>IF(ISNA(VLOOKUP(A22,'Données projet'!$A$191:$I$211,6,0)),0%,VLOOKUP(A22,'Données projet'!$A$191:$I$211,6,0)*VLOOKUP('Données projet'!$B$15,Paramètres!$A$1:$I$88,7,0))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projet'!$B$15,Paramètres!$A$1:$I$88,3,0)*0.475*44/12</f>
        <v>#N/A</v>
      </c>
      <c r="EW22" s="23" t="e">
        <f>EXP(-LN(2)/25)*EW21+(1-EXP(-LN(2)/25))/(LN(2)/25)*Calculateur!ER22*Calculateur!ET22*VLOOKUP('Données projet'!$B$15,Paramètres!$A$1:$I$88,3,0)*0.475*44/12</f>
        <v>#N/A</v>
      </c>
      <c r="EX22" s="23" t="e">
        <f>EXP(-LN(2)/2)*EX21+(1-EXP(-LN(2)/2))/(LN(2)/2)*ER22*EU22*VLOOKUP('Données projet'!$B$15,Paramètres!$A$1:$I$88,3,0)*0.475*44/12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63.725124147440127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projet'!$B$16,Paramètres!$A$1:$I$88,3,0)*VLOOKUP('Données projet'!$B$16,Paramètres!$A$1:$I$88,5,0)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projet'!$B$16,Paramètres!$A$1:$I$88,7,0))</f>
        <v>0</v>
      </c>
      <c r="FO22" s="17">
        <f>IF(ISNA(VLOOKUP(A22,'Données projet'!$A$217:$I$237,6,0)),0%,VLOOKUP(A22,'Données projet'!$A$217:$I$237,6,0)*VLOOKUP('Données projet'!$B$16,Paramètres!$A$1:$I$88,7,0))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projet'!$B$16,Paramètres!$A$1:$I$88,3,0)*0.475*44/12</f>
        <v>#N/A</v>
      </c>
      <c r="FR22" s="23" t="e">
        <f>EXP(-LN(2)/25)*FR21+(1-EXP(-LN(2)/25))/(LN(2)/25)*Calculateur!FM22*Calculateur!FO22*VLOOKUP('Données projet'!$B$16,Paramètres!$A$1:$I$88,3,0)*0.475*44/12</f>
        <v>#N/A</v>
      </c>
      <c r="FS22" s="23" t="e">
        <f>EXP(-LN(2)/2)*FS21+(1-EXP(-LN(2)/2))/(LN(2)/2)*FM22*FP22*VLOOKUP('Données projet'!$B$16,Paramètres!$A$1:$I$88,3,0)*0.475*44/12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63.725124147440127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projet'!$B$17,Paramètres!$A$1:$I$88,3,0)*VLOOKUP('Données projet'!$B$17,Paramètres!$A$1:$I$88,5,0)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projet'!$B$17,Paramètres!$A$1:$I$88,7,0))</f>
        <v>0</v>
      </c>
      <c r="GJ22" s="17">
        <f>IF(ISNA(VLOOKUP(A22,'Données projet'!$A$243:$I$263,6,0)),0%,VLOOKUP(A22,'Données projet'!$A$243:$I$263,6,0)*VLOOKUP('Données projet'!$B$17,Paramètres!$A$1:$I$88,7,0))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projet'!$B$17,Paramètres!$A$1:$I$88,3,0)*0.475*44/12</f>
        <v>#N/A</v>
      </c>
      <c r="GM22" s="23" t="e">
        <f>EXP(-LN(2)/25)*GM21+(1-EXP(-LN(2)/25))/(LN(2)/25)*Calculateur!GH22*Calculateur!GJ22*VLOOKUP('Données projet'!$B$17,Paramètres!$A$1:$I$88,3,0)*0.475*44/12</f>
        <v>#N/A</v>
      </c>
      <c r="GN22" s="23" t="e">
        <f>EXP(-LN(2)/2)*GN21+(1-EXP(-LN(2)/2))/(LN(2)/2)*GH22*GK22*VLOOKUP('Données projet'!$B$17,Paramètres!$A$1:$I$88,3,0)*0.475*44/12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63.725124147440127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projet'!$B$18,Paramètres!$A$1:$I$88,3,0)*VLOOKUP('Données projet'!$B$18,Paramètres!$A$1:$I$88,5,0)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projet'!$B$18,Paramètres!$A$1:$I$88,7,0))</f>
        <v>0</v>
      </c>
      <c r="HE22" s="17">
        <f>IF(ISNA(VLOOKUP(A22,'Données projet'!$A$269:$I$289,6,0)),0%,VLOOKUP(A22,'Données projet'!$A$269:$I$289,6,0)*VLOOKUP('Données projet'!$B$18,Paramètres!$A$1:$I$88,7,0))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projet'!$B$18,Paramètres!$A$1:$I$88,3,0)*0.475*44/12</f>
        <v>#N/A</v>
      </c>
      <c r="HH22" s="23" t="e">
        <f>EXP(-LN(2)/25)*HH21+(1-EXP(-LN(2)/25))/(LN(2)/25)*Calculateur!HC22*Calculateur!HE22*VLOOKUP('Données projet'!$B$18,Paramètres!$A$1:$I$88,3,0)*0.475*44/12</f>
        <v>#N/A</v>
      </c>
      <c r="HI22" s="23" t="e">
        <f>EXP(-LN(2)/2)*HI21+(1-EXP(-LN(2)/2))/(LN(2)/2)*HC22*HF22*VLOOKUP('Données projet'!$B$18,Paramètres!$A$1:$I$88,3,0)*0.475*44/12</f>
        <v>#N/A</v>
      </c>
      <c r="HJ22" s="24" t="e">
        <f t="shared" si="30"/>
        <v>#N/A</v>
      </c>
    </row>
    <row r="23" spans="1:218" s="5" customFormat="1" x14ac:dyDescent="0.35">
      <c r="A23" s="11">
        <f t="shared" si="31"/>
        <v>20</v>
      </c>
      <c r="B23" s="77">
        <f>'Scénario référence'!$B$16*5+'Scénario référence'!$B$17*0+'Scénario référence'!$B$18*5</f>
        <v>1.75</v>
      </c>
      <c r="C23" s="20">
        <f>Calculateur!C22+'Scénario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23" s="12">
        <f t="shared" si="3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6.416666666666667</v>
      </c>
      <c r="H23" s="70">
        <f t="shared" si="1"/>
        <v>231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63.833979214961261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10.119999999999999</v>
      </c>
      <c r="N23" s="14">
        <f>IF('Données projet'!$A$36&gt;35,N22+M23-V22,IF(A23&lt;'Données projet'!$A$36,$K$205^A23,IF(A23='Données projet'!$A$36,'Données projet'!$B$36,N22+M23-V22)))</f>
        <v>83.655869386795359</v>
      </c>
      <c r="O23" s="14">
        <f>N23*VLOOKUP('Données projet'!$B$9,Paramètres!$A$1:$I$88,3,0)*VLOOKUP('Données projet'!$B$9,Paramètres!$A$1:$I$88,5,0)</f>
        <v>46.763630987218605</v>
      </c>
      <c r="P23" s="14">
        <f t="shared" si="33"/>
        <v>13.774726110595493</v>
      </c>
      <c r="Q23" s="22">
        <f t="shared" si="2"/>
        <v>105.43763861202622</v>
      </c>
      <c r="R23" s="62">
        <f t="shared" si="0"/>
        <v>363.94000684466198</v>
      </c>
      <c r="S23" s="62">
        <f ca="1">AVERAGE(OFFSET($R$3,0,0,'Données projet'!$E$9+1,1))-AVERAGE(OFFSET($H$3,0,0,'Données projet'!$E$9+1,1))</f>
        <v>341.05096821796769</v>
      </c>
      <c r="T23" s="62">
        <f t="shared" si="34"/>
        <v>400.72519822215168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projet'!$B$9,Paramètres!$A$1:$I$88,7,0))</f>
        <v>0</v>
      </c>
      <c r="X23" s="78">
        <f>IF(ISNA(VLOOKUP(A23,'Données projet'!$A$35:$I$55,6,0)),0%,VLOOKUP(A23,'Données projet'!$A$35:$I$55,6,0)*VLOOKUP('Données projet'!$B$9,Paramètres!$A$1:$I$88,7,0))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projet'!$B$9,Paramètres!$A$1:$I$88,3,0)*0.475*44/12</f>
        <v>0</v>
      </c>
      <c r="AA23" s="23">
        <f>EXP(-LN(2)/25)*AA22+(1-EXP(-LN(2)/25))/(LN(2)/25)*Calculateur!V23*Calculateur!X23*VLOOKUP('Données projet'!$B$9,Paramètres!$A$1:$I$88,3,0)*0.475*44/12</f>
        <v>0</v>
      </c>
      <c r="AB23" s="23">
        <f>EXP(-LN(2)/2)*AB22+(1-EXP(-LN(2)/2))/(LN(2)/2)*V23*Y23*VLOOKUP('Données projet'!$B$9,Paramètres!$A$1:$I$88,3,0)*0.475*44/12</f>
        <v>0</v>
      </c>
      <c r="AC23" s="24">
        <f t="shared" si="3"/>
        <v>0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63.833979214961261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>
        <f>VLOOKUP(A23,'Données projet'!$A$61:$I$81,2,0)</f>
        <v>90.6</v>
      </c>
      <c r="AG23" s="13">
        <f>VLOOKUP(A23,'Données projet'!$A$61:$I$81,9,0)</f>
        <v>9.9499999999999975</v>
      </c>
      <c r="AH23" s="13">
        <f t="array" ref="AH23">INDEX(AG:AG,MIN(IF(ISNUMBER(AG23:AG219),ROW(AG23:AG219),"")))</f>
        <v>9.9499999999999975</v>
      </c>
      <c r="AI23" s="14">
        <f>IF('Données projet'!$A$62&gt;35,AI22+AH23-AQ22,IF(A23&lt;'Données projet'!$A$62,$AF$205^A23,IF(A23='Données projet'!$A$62,'Données projet'!$B$62,AI22+AH23-AQ22)))</f>
        <v>90.600000000000009</v>
      </c>
      <c r="AJ23" s="14">
        <f>AI23*VLOOKUP('Données projet'!$B$10,Paramètres!$A$1:$I$88,3,0)*VLOOKUP('Données projet'!$B$10,Paramètres!$A$1:$I$88,5,0)</f>
        <v>54.178800000000017</v>
      </c>
      <c r="AK23" s="14">
        <f t="shared" si="35"/>
        <v>15.687860054849969</v>
      </c>
      <c r="AL23" s="22">
        <f t="shared" si="4"/>
        <v>121.68443292886371</v>
      </c>
      <c r="AM23" s="62">
        <f t="shared" si="5"/>
        <v>380.18680116149949</v>
      </c>
      <c r="AN23" s="62">
        <f ca="1">AVERAGE(OFFSET($AM$3,0,0,'Données projet'!$E$10+1,1))-AVERAGE(OFFSET($H$3,0,0,'Données projet'!$E$10+1,1))</f>
        <v>231.96474801342879</v>
      </c>
      <c r="AO23" s="62">
        <f t="shared" si="36"/>
        <v>237.75726086383668</v>
      </c>
      <c r="AP23" s="16">
        <f>IF(ISNA(VLOOKUP(A23,'Données projet'!$A$61:$I$81,3,0)),0,VLOOKUP(A23,'Données projet'!$A$61:$I$81,3,0))</f>
        <v>2</v>
      </c>
      <c r="AQ23" s="16">
        <f>IF(ISNA(VLOOKUP(A23,'Données projet'!$A$61:$I$81,4,0)),0,VLOOKUP(A23,'Données projet'!$A$61:$I$81,4,0))</f>
        <v>13.8</v>
      </c>
      <c r="AR23" s="17">
        <f>IF(ISNA(VLOOKUP(A23,'Données projet'!$A$61:$I$81,5,0)),0%,VLOOKUP(A23,'Données projet'!$A$61:$I$81,5,0)*VLOOKUP('Données projet'!$B$10,Paramètres!$A$1:$I$88,7,0))</f>
        <v>4.5000000000000005E-2</v>
      </c>
      <c r="AS23" s="17">
        <f>IF(ISNA(VLOOKUP(A23,'Données projet'!$A$61:$I$81,6,0)),0%,VLOOKUP(A23,'Données projet'!$A$61:$I$81,6,0)*VLOOKUP('Données projet'!$B$10,Paramètres!$A$1:$I$88,7,0))</f>
        <v>0.36000000000000004</v>
      </c>
      <c r="AT23" s="17">
        <f>IF(ISNA(VLOOKUP(A23,'Données projet'!$A$61:$I$81,7,0)),0%,VLOOKUP(A23,'Données projet'!$A$61:$I$81,7,0))</f>
        <v>0</v>
      </c>
      <c r="AU23" s="23">
        <f>EXP(-LN(2)/35)*AU22+(1-EXP(-LN(2)/35))/(LN(2)/35)*AQ23*AR23*VLOOKUP('Données projet'!$B$10,Paramètres!$A$1:$I$88,3,0)*0.475*44/12</f>
        <v>0.49263032304311682</v>
      </c>
      <c r="AV23" s="23">
        <f>EXP(-LN(2)/25)*AV22+(1-EXP(-LN(2)/25))/(LN(2)/25)*Calculateur!AQ23*Calculateur!AS23*VLOOKUP('Données projet'!$B$10,Paramètres!$A$1:$I$88,3,0)*0.475*44/12</f>
        <v>6.344200049746382</v>
      </c>
      <c r="AW23" s="23">
        <f>EXP(-LN(2)/2)*AW22+(1-EXP(-LN(2)/2))/(LN(2)/2)*AQ23*AT23*VLOOKUP('Données projet'!$B$10,Paramètres!$A$1:$I$88,3,0)*0.475*44/12</f>
        <v>0</v>
      </c>
      <c r="AX23" s="23">
        <f t="shared" si="6"/>
        <v>6.8368303727894988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63.833979214961261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6.5217391304347823</v>
      </c>
      <c r="BD23" s="13">
        <f>IF('Données projet'!$A$88&gt;35,BD22+BC23-BL22,IF(A23&lt;'Données projet'!$A$88,$BA$205^A23,IF(A23='Données projet'!$A$88,'Données projet'!$B$88,BD22+BC23-BL22)))</f>
        <v>130.43478260869566</v>
      </c>
      <c r="BE23" s="14">
        <f>BD23*VLOOKUP('Données projet'!$B$11,Paramètres!$A$1:$I$88,3,0)*VLOOKUP('Données projet'!$B$11,Paramètres!$A$1:$I$88,5,0)</f>
        <v>61.04347826086957</v>
      </c>
      <c r="BF23" s="14">
        <f t="shared" si="37"/>
        <v>17.431827732643953</v>
      </c>
      <c r="BG23" s="22">
        <f t="shared" si="7"/>
        <v>136.67782460536941</v>
      </c>
      <c r="BH23" s="62">
        <f t="shared" si="8"/>
        <v>395.18019283800515</v>
      </c>
      <c r="BI23" s="62">
        <f ca="1">AVERAGE(OFFSET($BH$3,0,0,'Données projet'!$E$11+1,1))-AVERAGE(OFFSET($H$3,0,0,'Données projet'!$E$11+1,1))</f>
        <v>364.96458059055169</v>
      </c>
      <c r="BJ23" s="62">
        <f t="shared" si="38"/>
        <v>246.27159120786257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projet'!$B$11,Paramètres!$A$1:$I$88,7,0))</f>
        <v>0</v>
      </c>
      <c r="BN23" s="17">
        <f>IF(ISNA(VLOOKUP(A23,'Données projet'!$A$87:$I$107,6,0)),0%,VLOOKUP(A23,'Données projet'!$A$87:$I$107,6,0)*VLOOKUP('Données projet'!$B$11,Paramètres!$A$1:$I$88,7,0))</f>
        <v>0</v>
      </c>
      <c r="BO23" s="17">
        <f>IF(ISNA(VLOOKUP(A23,'Données projet'!$A$87:$I$107,7,0)),0%,VLOOKUP(A23,'Données projet'!$A$87:$I$107,7,0))</f>
        <v>0</v>
      </c>
      <c r="BP23" s="23">
        <f>EXP(-LN(2)/35)*BP22+(1-EXP(-LN(2)/35))/(LN(2)/35)*BL23*BM23*VLOOKUP('Données projet'!$B$11,Paramètres!$A$1:$I$88,3,0)*0.475*44/12</f>
        <v>0</v>
      </c>
      <c r="BQ23" s="23">
        <f>EXP(-LN(2)/25)*BQ22+(1-EXP(-LN(2)/25))/(LN(2)/25)*Calculateur!BL23*Calculateur!BN23*VLOOKUP('Données projet'!$B$11,Paramètres!$A$1:$I$88,3,0)*0.475*44/12</f>
        <v>0</v>
      </c>
      <c r="BR23" s="23">
        <f>EXP(-LN(2)/2)*BR22+(1-EXP(-LN(2)/2))/(LN(2)/2)*BL23*BO23*VLOOKUP('Données projet'!$B$11,Paramètres!$A$1:$I$88,3,0)*0.475*44/12</f>
        <v>0</v>
      </c>
      <c r="BS23" s="24">
        <f t="shared" si="9"/>
        <v>0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63.833979214961261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4.1666667007873768</v>
      </c>
      <c r="BY23" s="13">
        <f>IF('Données projet'!$A$114&gt;35,BY22+BX23-CG22,IF(A23&lt;'Données projet'!$A$114,$BV$205^A23,IF(A23='Données projet'!$A$114,'Données projet'!$B$114,BY22+BX23-CG22)))</f>
        <v>83.333334015747511</v>
      </c>
      <c r="BZ23" s="14">
        <f>BY23*VLOOKUP('Données projet'!$B$12,Paramètres!$A$1:$I$88,3,0)*VLOOKUP('Données projet'!$B$12,Paramètres!$A$1:$I$88,5,0)</f>
        <v>84.500000691967983</v>
      </c>
      <c r="CA23" s="14">
        <f t="shared" si="39"/>
        <v>23.233928901925477</v>
      </c>
      <c r="CB23" s="22">
        <f t="shared" si="10"/>
        <v>187.63659404269777</v>
      </c>
      <c r="CC23" s="62">
        <f t="shared" si="11"/>
        <v>446.13896227533354</v>
      </c>
      <c r="CD23" s="62">
        <f ca="1">AVERAGE(OFFSET($CC$3,0,0,'Données projet'!$E$12+1,1))-AVERAGE(OFFSET($H$3,0,0,'Données projet'!$E$12+1,1))</f>
        <v>310.53598044763282</v>
      </c>
      <c r="CE23" s="62">
        <f t="shared" si="40"/>
        <v>322.01096634040596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projet'!$B$12,Paramètres!$A$1:$I$88,7,0))</f>
        <v>0</v>
      </c>
      <c r="CI23" s="17">
        <f>IF(ISNA(VLOOKUP(A23,'Données projet'!$A$113:$I$133,6,0)),0%,VLOOKUP(A23,'Données projet'!$A$113:$I$133,6,0)*VLOOKUP('Données projet'!$B$12,Paramètres!$A$1:$I$88,7,0))</f>
        <v>0</v>
      </c>
      <c r="CJ23" s="17">
        <f>IF(ISNA(VLOOKUP(A23,'Données projet'!$A$113:$I$133,7,0)),0%,VLOOKUP(A23,'Données projet'!$A$113:$I$133,7,0))</f>
        <v>0</v>
      </c>
      <c r="CK23" s="23">
        <f>EXP(-LN(2)/35)*CK22+(1-EXP(-LN(2)/35))/(LN(2)/35)*CG23*CH23*VLOOKUP('Données projet'!$B$12,Paramètres!$A$1:$I$88,3,0)*0.475*44/12</f>
        <v>0</v>
      </c>
      <c r="CL23" s="23">
        <f>EXP(-LN(2)/25)*CL22+(1-EXP(-LN(2)/25))/(LN(2)/25)*Calculateur!CG23*Calculateur!CI23*VLOOKUP('Données projet'!$B$12,Paramètres!$A$1:$I$88,3,0)*0.475*44/12</f>
        <v>0</v>
      </c>
      <c r="CM23" s="23">
        <f>EXP(-LN(2)/2)*CM22+(1-EXP(-LN(2)/2))/(LN(2)/2)*CG23*CJ23*VLOOKUP('Données projet'!$B$12,Paramètres!$A$1:$I$88,3,0)*0.475*44/12</f>
        <v>0</v>
      </c>
      <c r="CN23" s="24">
        <f t="shared" si="12"/>
        <v>0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63.833979214961261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projet'!$B$13,Paramètres!$A$1:$I$88,3,0)*VLOOKUP('Données projet'!$B$13,Paramètres!$A$1:$I$88,5,0)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projet'!$B$13,Paramètres!$A$1:$I$88,7,0))</f>
        <v>0</v>
      </c>
      <c r="DD23" s="17">
        <f>IF(ISNA(VLOOKUP(A23,'Données projet'!$A$139:$I$159,6,0)),0%,VLOOKUP(A23,'Données projet'!$A$139:$I$159,6,0)*VLOOKUP('Données projet'!$B$13,Paramètres!$A$1:$I$88,7,0))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projet'!$B$13,Paramètres!$A$1:$I$88,3,0)*0.475*44/12</f>
        <v>#N/A</v>
      </c>
      <c r="DG23" s="23" t="e">
        <f>EXP(-LN(2)/25)*DG22+(1-EXP(-LN(2)/25))/(LN(2)/25)*Calculateur!DB23*Calculateur!DD23*VLOOKUP('Données projet'!$B$13,Paramètres!$A$1:$I$88,3,0)*0.475*44/12</f>
        <v>#N/A</v>
      </c>
      <c r="DH23" s="23" t="e">
        <f>EXP(-LN(2)/2)*DH22+(1-EXP(-LN(2)/2))/(LN(2)/2)*DB23*DE23*VLOOKUP('Données projet'!$B$13,Paramètres!$A$1:$I$88,3,0)*0.475*44/12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63.833979214961261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projet'!$B$14,Paramètres!$A$1:$I$88,3,0)*VLOOKUP('Données projet'!$B$14,Paramètres!$A$1:$I$88,5,0)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projet'!$B$14,Paramètres!$A$1:$I$88,7,0))</f>
        <v>0</v>
      </c>
      <c r="DY23" s="17">
        <f>IF(ISNA(VLOOKUP(A23,'Données projet'!$A$165:$I$185,6,0)),0%,VLOOKUP(A23,'Données projet'!$A$165:$I$185,6,0)*VLOOKUP('Données projet'!$B$14,Paramètres!$A$1:$I$88,7,0))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projet'!$B$14,Paramètres!$A$1:$I$88,3,0)*0.475*44/12</f>
        <v>#N/A</v>
      </c>
      <c r="EB23" s="23" t="e">
        <f>EXP(-LN(2)/25)*EB22+(1-EXP(-LN(2)/25))/(LN(2)/25)*Calculateur!DW23*Calculateur!DY23*VLOOKUP('Données projet'!$B$14,Paramètres!$A$1:$I$88,3,0)*0.475*44/12</f>
        <v>#N/A</v>
      </c>
      <c r="EC23" s="23" t="e">
        <f>EXP(-LN(2)/2)*EC22+(1-EXP(-LN(2)/2))/(LN(2)/2)*DW23*DZ23*VLOOKUP('Données projet'!$B$14,Paramètres!$A$1:$I$88,3,0)*0.475*44/12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63.833979214961261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projet'!$B$15,Paramètres!$A$1:$I$88,3,0)*VLOOKUP('Données projet'!$B$15,Paramètres!$A$1:$I$88,5,0)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projet'!$B$15,Paramètres!$A$1:$I$88,7,0))</f>
        <v>0</v>
      </c>
      <c r="ET23" s="17">
        <f>IF(ISNA(VLOOKUP(A23,'Données projet'!$A$191:$I$211,6,0)),0%,VLOOKUP(A23,'Données projet'!$A$191:$I$211,6,0)*VLOOKUP('Données projet'!$B$15,Paramètres!$A$1:$I$88,7,0))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projet'!$B$15,Paramètres!$A$1:$I$88,3,0)*0.475*44/12</f>
        <v>#N/A</v>
      </c>
      <c r="EW23" s="23" t="e">
        <f>EXP(-LN(2)/25)*EW22+(1-EXP(-LN(2)/25))/(LN(2)/25)*Calculateur!ER23*Calculateur!ET23*VLOOKUP('Données projet'!$B$15,Paramètres!$A$1:$I$88,3,0)*0.475*44/12</f>
        <v>#N/A</v>
      </c>
      <c r="EX23" s="23" t="e">
        <f>EXP(-LN(2)/2)*EX22+(1-EXP(-LN(2)/2))/(LN(2)/2)*ER23*EU23*VLOOKUP('Données projet'!$B$15,Paramètres!$A$1:$I$88,3,0)*0.475*44/12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63.833979214961261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projet'!$B$16,Paramètres!$A$1:$I$88,3,0)*VLOOKUP('Données projet'!$B$16,Paramètres!$A$1:$I$88,5,0)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projet'!$B$16,Paramètres!$A$1:$I$88,7,0))</f>
        <v>0</v>
      </c>
      <c r="FO23" s="17">
        <f>IF(ISNA(VLOOKUP(A23,'Données projet'!$A$217:$I$237,6,0)),0%,VLOOKUP(A23,'Données projet'!$A$217:$I$237,6,0)*VLOOKUP('Données projet'!$B$16,Paramètres!$A$1:$I$88,7,0))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projet'!$B$16,Paramètres!$A$1:$I$88,3,0)*0.475*44/12</f>
        <v>#N/A</v>
      </c>
      <c r="FR23" s="23" t="e">
        <f>EXP(-LN(2)/25)*FR22+(1-EXP(-LN(2)/25))/(LN(2)/25)*Calculateur!FM23*Calculateur!FO23*VLOOKUP('Données projet'!$B$16,Paramètres!$A$1:$I$88,3,0)*0.475*44/12</f>
        <v>#N/A</v>
      </c>
      <c r="FS23" s="23" t="e">
        <f>EXP(-LN(2)/2)*FS22+(1-EXP(-LN(2)/2))/(LN(2)/2)*FM23*FP23*VLOOKUP('Données projet'!$B$16,Paramètres!$A$1:$I$88,3,0)*0.475*44/12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63.833979214961261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projet'!$B$17,Paramètres!$A$1:$I$88,3,0)*VLOOKUP('Données projet'!$B$17,Paramètres!$A$1:$I$88,5,0)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projet'!$B$17,Paramètres!$A$1:$I$88,7,0))</f>
        <v>0</v>
      </c>
      <c r="GJ23" s="17">
        <f>IF(ISNA(VLOOKUP(A23,'Données projet'!$A$243:$I$263,6,0)),0%,VLOOKUP(A23,'Données projet'!$A$243:$I$263,6,0)*VLOOKUP('Données projet'!$B$17,Paramètres!$A$1:$I$88,7,0))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projet'!$B$17,Paramètres!$A$1:$I$88,3,0)*0.475*44/12</f>
        <v>#N/A</v>
      </c>
      <c r="GM23" s="23" t="e">
        <f>EXP(-LN(2)/25)*GM22+(1-EXP(-LN(2)/25))/(LN(2)/25)*Calculateur!GH23*Calculateur!GJ23*VLOOKUP('Données projet'!$B$17,Paramètres!$A$1:$I$88,3,0)*0.475*44/12</f>
        <v>#N/A</v>
      </c>
      <c r="GN23" s="23" t="e">
        <f>EXP(-LN(2)/2)*GN22+(1-EXP(-LN(2)/2))/(LN(2)/2)*GH23*GK23*VLOOKUP('Données projet'!$B$17,Paramètres!$A$1:$I$88,3,0)*0.475*44/12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63.833979214961261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projet'!$B$18,Paramètres!$A$1:$I$88,3,0)*VLOOKUP('Données projet'!$B$18,Paramètres!$A$1:$I$88,5,0)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projet'!$B$18,Paramètres!$A$1:$I$88,7,0))</f>
        <v>0</v>
      </c>
      <c r="HE23" s="17">
        <f>IF(ISNA(VLOOKUP(A23,'Données projet'!$A$269:$I$289,6,0)),0%,VLOOKUP(A23,'Données projet'!$A$269:$I$289,6,0)*VLOOKUP('Données projet'!$B$18,Paramètres!$A$1:$I$88,7,0))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projet'!$B$18,Paramètres!$A$1:$I$88,3,0)*0.475*44/12</f>
        <v>#N/A</v>
      </c>
      <c r="HH23" s="23" t="e">
        <f>EXP(-LN(2)/25)*HH22+(1-EXP(-LN(2)/25))/(LN(2)/25)*Calculateur!HC23*Calculateur!HE23*VLOOKUP('Données projet'!$B$18,Paramètres!$A$1:$I$88,3,0)*0.475*44/12</f>
        <v>#N/A</v>
      </c>
      <c r="HI23" s="23" t="e">
        <f>EXP(-LN(2)/2)*HI22+(1-EXP(-LN(2)/2))/(LN(2)/2)*HC23*HF23*VLOOKUP('Données projet'!$B$18,Paramètres!$A$1:$I$88,3,0)*0.475*44/12</f>
        <v>#N/A</v>
      </c>
      <c r="HJ23" s="24" t="e">
        <f t="shared" si="30"/>
        <v>#N/A</v>
      </c>
    </row>
    <row r="24" spans="1:218" s="5" customFormat="1" x14ac:dyDescent="0.35">
      <c r="A24" s="11">
        <f t="shared" si="31"/>
        <v>21</v>
      </c>
      <c r="B24" s="77">
        <f>'Scénario référence'!$B$16*5+'Scénario référence'!$B$17*0+'Scénario référence'!$B$18*5</f>
        <v>1.75</v>
      </c>
      <c r="C24" s="20">
        <f>Calculateur!C23+'Scénario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24" s="12">
        <f t="shared" si="3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6.416666666666667</v>
      </c>
      <c r="H24" s="70">
        <f t="shared" si="1"/>
        <v>231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63.940945890424373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10.119999999999999</v>
      </c>
      <c r="N24" s="14">
        <f>IF('Données projet'!$A$36&gt;35,N23+M24-V23,IF(A24&lt;'Données projet'!$A$36,$K$205^A24,IF(A24='Données projet'!$A$36,'Données projet'!$B$36,N23+M24-V23)))</f>
        <v>104.38094822519551</v>
      </c>
      <c r="O24" s="14">
        <f>N24*VLOOKUP('Données projet'!$B$9,Paramètres!$A$1:$I$88,3,0)*VLOOKUP('Données projet'!$B$9,Paramètres!$A$1:$I$88,5,0)</f>
        <v>58.348950057884295</v>
      </c>
      <c r="P24" s="14">
        <f t="shared" si="33"/>
        <v>16.750156304718573</v>
      </c>
      <c r="Q24" s="22">
        <f t="shared" si="2"/>
        <v>130.79761024819999</v>
      </c>
      <c r="R24" s="62">
        <f t="shared" si="0"/>
        <v>390.91441184642269</v>
      </c>
      <c r="S24" s="62">
        <f ca="1">AVERAGE(OFFSET($R$3,0,0,'Données projet'!$E$9+1,1))-AVERAGE(OFFSET($H$3,0,0,'Données projet'!$E$9+1,1))</f>
        <v>341.05096821796769</v>
      </c>
      <c r="T24" s="62">
        <f t="shared" si="34"/>
        <v>400.72519822215168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projet'!$B$9,Paramètres!$A$1:$I$88,7,0))</f>
        <v>0</v>
      </c>
      <c r="X24" s="17">
        <f>IF(ISNA(VLOOKUP(A24,'Données projet'!$A$35:$I$55,6,0)),0%,VLOOKUP(A24,'Données projet'!$A$35:$I$55,6,0)*VLOOKUP('Données projet'!$B$9,Paramètres!$A$1:$I$88,7,0))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projet'!$B$9,Paramètres!$A$1:$I$88,3,0)*0.475*44/12</f>
        <v>0</v>
      </c>
      <c r="AA24" s="23">
        <f>EXP(-LN(2)/25)*AA23+(1-EXP(-LN(2)/25))/(LN(2)/25)*Calculateur!V24*Calculateur!X24*VLOOKUP('Données projet'!$B$9,Paramètres!$A$1:$I$88,3,0)*0.475*44/12</f>
        <v>0</v>
      </c>
      <c r="AB24" s="23">
        <f>EXP(-LN(2)/2)*AB23+(1-EXP(-LN(2)/2))/(LN(2)/2)*V24*Y24*VLOOKUP('Données projet'!$B$9,Paramètres!$A$1:$I$88,3,0)*0.475*44/12</f>
        <v>0</v>
      </c>
      <c r="AC24" s="24">
        <f t="shared" si="3"/>
        <v>0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63.940945890424373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11.025000000000002</v>
      </c>
      <c r="AI24" s="14">
        <f>IF('Données projet'!$A$62&gt;35,AI23+AH24-AQ23,IF(A24&lt;'Données projet'!$A$62,$AF$205^A24,IF(A24='Données projet'!$A$62,'Données projet'!$B$62,AI23+AH24-AQ23)))</f>
        <v>87.825000000000017</v>
      </c>
      <c r="AJ24" s="14">
        <f>AI24*VLOOKUP('Données projet'!$B$10,Paramètres!$A$1:$I$88,3,0)*VLOOKUP('Données projet'!$B$10,Paramètres!$A$1:$I$88,5,0)</f>
        <v>52.519350000000017</v>
      </c>
      <c r="AK24" s="14">
        <f t="shared" si="35"/>
        <v>15.262519641817629</v>
      </c>
      <c r="AL24" s="22">
        <f t="shared" si="4"/>
        <v>118.05342295949907</v>
      </c>
      <c r="AM24" s="62">
        <f t="shared" si="5"/>
        <v>378.17022455772178</v>
      </c>
      <c r="AN24" s="62">
        <f ca="1">AVERAGE(OFFSET($AM$3,0,0,'Données projet'!$E$10+1,1))-AVERAGE(OFFSET($H$3,0,0,'Données projet'!$E$10+1,1))</f>
        <v>231.96474801342879</v>
      </c>
      <c r="AO24" s="62">
        <f t="shared" si="36"/>
        <v>237.75726086383668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projet'!$B$10,Paramètres!$A$1:$I$88,7,0))</f>
        <v>0</v>
      </c>
      <c r="AS24" s="17">
        <f>IF(ISNA(VLOOKUP(A24,'Données projet'!$A$61:$I$81,6,0)),0%,VLOOKUP(A24,'Données projet'!$A$61:$I$81,6,0)*VLOOKUP('Données projet'!$B$10,Paramètres!$A$1:$I$88,7,0))</f>
        <v>0</v>
      </c>
      <c r="AT24" s="17">
        <f>IF(ISNA(VLOOKUP(A24,'Données projet'!$A$61:$I$81,7,0)),0%,VLOOKUP(A24,'Données projet'!$A$61:$I$81,7,0))</f>
        <v>0</v>
      </c>
      <c r="AU24" s="23">
        <f>EXP(-LN(2)/35)*AU23+(1-EXP(-LN(2)/35))/(LN(2)/35)*AQ24*AR24*VLOOKUP('Données projet'!$B$10,Paramètres!$A$1:$I$88,3,0)*0.475*44/12</f>
        <v>0.48297014288306894</v>
      </c>
      <c r="AV24" s="23">
        <f>EXP(-LN(2)/25)*AV23+(1-EXP(-LN(2)/25))/(LN(2)/25)*Calculateur!AQ24*Calculateur!AS24*VLOOKUP('Données projet'!$B$10,Paramètres!$A$1:$I$88,3,0)*0.475*44/12</f>
        <v>6.1707175657590865</v>
      </c>
      <c r="AW24" s="23">
        <f>EXP(-LN(2)/2)*AW23+(1-EXP(-LN(2)/2))/(LN(2)/2)*AQ24*AT24*VLOOKUP('Données projet'!$B$10,Paramètres!$A$1:$I$88,3,0)*0.475*44/12</f>
        <v>0</v>
      </c>
      <c r="AX24" s="23">
        <f t="shared" si="6"/>
        <v>6.6536877086421553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63.940945890424373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6.5217391304347823</v>
      </c>
      <c r="BD24" s="13">
        <f>IF('Données projet'!$A$88&gt;35,BD23+BC24-BL23,IF(A24&lt;'Données projet'!$A$88,$BA$205^A24,IF(A24='Données projet'!$A$88,'Données projet'!$B$88,BD23+BC24-BL23)))</f>
        <v>136.95652173913044</v>
      </c>
      <c r="BE24" s="14">
        <f>BD24*VLOOKUP('Données projet'!$B$11,Paramètres!$A$1:$I$88,3,0)*VLOOKUP('Données projet'!$B$11,Paramètres!$A$1:$I$88,5,0)</f>
        <v>64.095652173913038</v>
      </c>
      <c r="BF24" s="14">
        <f t="shared" si="37"/>
        <v>18.199765409378461</v>
      </c>
      <c r="BG24" s="22">
        <f t="shared" si="7"/>
        <v>143.33118562423269</v>
      </c>
      <c r="BH24" s="62">
        <f t="shared" si="8"/>
        <v>403.44798722245537</v>
      </c>
      <c r="BI24" s="62">
        <f ca="1">AVERAGE(OFFSET($BH$3,0,0,'Données projet'!$E$11+1,1))-AVERAGE(OFFSET($H$3,0,0,'Données projet'!$E$11+1,1))</f>
        <v>364.96458059055169</v>
      </c>
      <c r="BJ24" s="62">
        <f t="shared" si="38"/>
        <v>246.27159120786257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projet'!$B$11,Paramètres!$A$1:$I$88,7,0))</f>
        <v>0</v>
      </c>
      <c r="BN24" s="17">
        <f>IF(ISNA(VLOOKUP(A24,'Données projet'!$A$87:$I$107,6,0)),0%,VLOOKUP(A24,'Données projet'!$A$87:$I$107,6,0)*VLOOKUP('Données projet'!$B$11,Paramètres!$A$1:$I$88,7,0))</f>
        <v>0</v>
      </c>
      <c r="BO24" s="17">
        <f>IF(ISNA(VLOOKUP(A24,'Données projet'!$A$87:$I$107,7,0)),0%,VLOOKUP(A24,'Données projet'!$A$87:$I$107,7,0))</f>
        <v>0</v>
      </c>
      <c r="BP24" s="23">
        <f>EXP(-LN(2)/35)*BP23+(1-EXP(-LN(2)/35))/(LN(2)/35)*BL24*BM24*VLOOKUP('Données projet'!$B$11,Paramètres!$A$1:$I$88,3,0)*0.475*44/12</f>
        <v>0</v>
      </c>
      <c r="BQ24" s="23">
        <f>EXP(-LN(2)/25)*BQ23+(1-EXP(-LN(2)/25))/(LN(2)/25)*Calculateur!BL24*Calculateur!BN24*VLOOKUP('Données projet'!$B$11,Paramètres!$A$1:$I$88,3,0)*0.475*44/12</f>
        <v>0</v>
      </c>
      <c r="BR24" s="23">
        <f>EXP(-LN(2)/2)*BR23+(1-EXP(-LN(2)/2))/(LN(2)/2)*BL24*BO24*VLOOKUP('Données projet'!$B$11,Paramètres!$A$1:$I$88,3,0)*0.475*44/12</f>
        <v>0</v>
      </c>
      <c r="BS24" s="24">
        <f t="shared" si="9"/>
        <v>0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63.940945890424373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4.1666667007873768</v>
      </c>
      <c r="BY24" s="13">
        <f>IF('Données projet'!$A$114&gt;35,BY23+BX24-CG23,IF(A24&lt;'Données projet'!$A$114,$BV$205^A24,IF(A24='Données projet'!$A$114,'Données projet'!$B$114,BY23+BX24-CG23)))</f>
        <v>87.500000716534885</v>
      </c>
      <c r="BZ24" s="14">
        <f>BY24*VLOOKUP('Données projet'!$B$12,Paramètres!$A$1:$I$88,3,0)*VLOOKUP('Données projet'!$B$12,Paramètres!$A$1:$I$88,5,0)</f>
        <v>88.725000726566378</v>
      </c>
      <c r="CA24" s="14">
        <f t="shared" si="39"/>
        <v>24.257470991487715</v>
      </c>
      <c r="CB24" s="22">
        <f t="shared" si="10"/>
        <v>196.77780490894418</v>
      </c>
      <c r="CC24" s="62">
        <f t="shared" si="11"/>
        <v>456.89460650716688</v>
      </c>
      <c r="CD24" s="62">
        <f ca="1">AVERAGE(OFFSET($CC$3,0,0,'Données projet'!$E$12+1,1))-AVERAGE(OFFSET($H$3,0,0,'Données projet'!$E$12+1,1))</f>
        <v>310.53598044763282</v>
      </c>
      <c r="CE24" s="62">
        <f t="shared" si="40"/>
        <v>322.01096634040596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projet'!$B$12,Paramètres!$A$1:$I$88,7,0))</f>
        <v>0</v>
      </c>
      <c r="CI24" s="17">
        <f>IF(ISNA(VLOOKUP(A24,'Données projet'!$A$113:$I$133,6,0)),0%,VLOOKUP(A24,'Données projet'!$A$113:$I$133,6,0)*VLOOKUP('Données projet'!$B$12,Paramètres!$A$1:$I$88,7,0))</f>
        <v>0</v>
      </c>
      <c r="CJ24" s="17">
        <f>IF(ISNA(VLOOKUP(A24,'Données projet'!$A$113:$I$133,7,0)),0%,VLOOKUP(A24,'Données projet'!$A$113:$I$133,7,0))</f>
        <v>0</v>
      </c>
      <c r="CK24" s="23">
        <f>EXP(-LN(2)/35)*CK23+(1-EXP(-LN(2)/35))/(LN(2)/35)*CG24*CH24*VLOOKUP('Données projet'!$B$12,Paramètres!$A$1:$I$88,3,0)*0.475*44/12</f>
        <v>0</v>
      </c>
      <c r="CL24" s="23">
        <f>EXP(-LN(2)/25)*CL23+(1-EXP(-LN(2)/25))/(LN(2)/25)*Calculateur!CG24*Calculateur!CI24*VLOOKUP('Données projet'!$B$12,Paramètres!$A$1:$I$88,3,0)*0.475*44/12</f>
        <v>0</v>
      </c>
      <c r="CM24" s="23">
        <f>EXP(-LN(2)/2)*CM23+(1-EXP(-LN(2)/2))/(LN(2)/2)*CG24*CJ24*VLOOKUP('Données projet'!$B$12,Paramètres!$A$1:$I$88,3,0)*0.475*44/12</f>
        <v>0</v>
      </c>
      <c r="CN24" s="24">
        <f t="shared" si="12"/>
        <v>0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63.940945890424373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projet'!$B$13,Paramètres!$A$1:$I$88,3,0)*VLOOKUP('Données projet'!$B$13,Paramètres!$A$1:$I$88,5,0)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projet'!$B$13,Paramètres!$A$1:$I$88,7,0))</f>
        <v>0</v>
      </c>
      <c r="DD24" s="17">
        <f>IF(ISNA(VLOOKUP(A24,'Données projet'!$A$139:$I$159,6,0)),0%,VLOOKUP(A24,'Données projet'!$A$139:$I$159,6,0)*VLOOKUP('Données projet'!$B$13,Paramètres!$A$1:$I$88,7,0))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projet'!$B$13,Paramètres!$A$1:$I$88,3,0)*0.475*44/12</f>
        <v>#N/A</v>
      </c>
      <c r="DG24" s="23" t="e">
        <f>EXP(-LN(2)/25)*DG23+(1-EXP(-LN(2)/25))/(LN(2)/25)*Calculateur!DB24*Calculateur!DD24*VLOOKUP('Données projet'!$B$13,Paramètres!$A$1:$I$88,3,0)*0.475*44/12</f>
        <v>#N/A</v>
      </c>
      <c r="DH24" s="23" t="e">
        <f>EXP(-LN(2)/2)*DH23+(1-EXP(-LN(2)/2))/(LN(2)/2)*DB24*DE24*VLOOKUP('Données projet'!$B$13,Paramètres!$A$1:$I$88,3,0)*0.475*44/12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63.940945890424373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projet'!$B$14,Paramètres!$A$1:$I$88,3,0)*VLOOKUP('Données projet'!$B$14,Paramètres!$A$1:$I$88,5,0)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projet'!$B$14,Paramètres!$A$1:$I$88,7,0))</f>
        <v>0</v>
      </c>
      <c r="DY24" s="17">
        <f>IF(ISNA(VLOOKUP(A24,'Données projet'!$A$165:$I$185,6,0)),0%,VLOOKUP(A24,'Données projet'!$A$165:$I$185,6,0)*VLOOKUP('Données projet'!$B$14,Paramètres!$A$1:$I$88,7,0))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projet'!$B$14,Paramètres!$A$1:$I$88,3,0)*0.475*44/12</f>
        <v>#N/A</v>
      </c>
      <c r="EB24" s="23" t="e">
        <f>EXP(-LN(2)/25)*EB23+(1-EXP(-LN(2)/25))/(LN(2)/25)*Calculateur!DW24*Calculateur!DY24*VLOOKUP('Données projet'!$B$14,Paramètres!$A$1:$I$88,3,0)*0.475*44/12</f>
        <v>#N/A</v>
      </c>
      <c r="EC24" s="23" t="e">
        <f>EXP(-LN(2)/2)*EC23+(1-EXP(-LN(2)/2))/(LN(2)/2)*DW24*DZ24*VLOOKUP('Données projet'!$B$14,Paramètres!$A$1:$I$88,3,0)*0.475*44/12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63.940945890424373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projet'!$B$15,Paramètres!$A$1:$I$88,3,0)*VLOOKUP('Données projet'!$B$15,Paramètres!$A$1:$I$88,5,0)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projet'!$B$15,Paramètres!$A$1:$I$88,7,0))</f>
        <v>0</v>
      </c>
      <c r="ET24" s="17">
        <f>IF(ISNA(VLOOKUP(A24,'Données projet'!$A$191:$I$211,6,0)),0%,VLOOKUP(A24,'Données projet'!$A$191:$I$211,6,0)*VLOOKUP('Données projet'!$B$15,Paramètres!$A$1:$I$88,7,0))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projet'!$B$15,Paramètres!$A$1:$I$88,3,0)*0.475*44/12</f>
        <v>#N/A</v>
      </c>
      <c r="EW24" s="23" t="e">
        <f>EXP(-LN(2)/25)*EW23+(1-EXP(-LN(2)/25))/(LN(2)/25)*Calculateur!ER24*Calculateur!ET24*VLOOKUP('Données projet'!$B$15,Paramètres!$A$1:$I$88,3,0)*0.475*44/12</f>
        <v>#N/A</v>
      </c>
      <c r="EX24" s="23" t="e">
        <f>EXP(-LN(2)/2)*EX23+(1-EXP(-LN(2)/2))/(LN(2)/2)*ER24*EU24*VLOOKUP('Données projet'!$B$15,Paramètres!$A$1:$I$88,3,0)*0.475*44/12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63.940945890424373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projet'!$B$16,Paramètres!$A$1:$I$88,3,0)*VLOOKUP('Données projet'!$B$16,Paramètres!$A$1:$I$88,5,0)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projet'!$B$16,Paramètres!$A$1:$I$88,7,0))</f>
        <v>0</v>
      </c>
      <c r="FO24" s="17">
        <f>IF(ISNA(VLOOKUP(A24,'Données projet'!$A$217:$I$237,6,0)),0%,VLOOKUP(A24,'Données projet'!$A$217:$I$237,6,0)*VLOOKUP('Données projet'!$B$16,Paramètres!$A$1:$I$88,7,0))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projet'!$B$16,Paramètres!$A$1:$I$88,3,0)*0.475*44/12</f>
        <v>#N/A</v>
      </c>
      <c r="FR24" s="23" t="e">
        <f>EXP(-LN(2)/25)*FR23+(1-EXP(-LN(2)/25))/(LN(2)/25)*Calculateur!FM24*Calculateur!FO24*VLOOKUP('Données projet'!$B$16,Paramètres!$A$1:$I$88,3,0)*0.475*44/12</f>
        <v>#N/A</v>
      </c>
      <c r="FS24" s="23" t="e">
        <f>EXP(-LN(2)/2)*FS23+(1-EXP(-LN(2)/2))/(LN(2)/2)*FM24*FP24*VLOOKUP('Données projet'!$B$16,Paramètres!$A$1:$I$88,3,0)*0.475*44/12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63.940945890424373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projet'!$B$17,Paramètres!$A$1:$I$88,3,0)*VLOOKUP('Données projet'!$B$17,Paramètres!$A$1:$I$88,5,0)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projet'!$B$17,Paramètres!$A$1:$I$88,7,0))</f>
        <v>0</v>
      </c>
      <c r="GJ24" s="17">
        <f>IF(ISNA(VLOOKUP(A24,'Données projet'!$A$243:$I$263,6,0)),0%,VLOOKUP(A24,'Données projet'!$A$243:$I$263,6,0)*VLOOKUP('Données projet'!$B$17,Paramètres!$A$1:$I$88,7,0))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projet'!$B$17,Paramètres!$A$1:$I$88,3,0)*0.475*44/12</f>
        <v>#N/A</v>
      </c>
      <c r="GM24" s="23" t="e">
        <f>EXP(-LN(2)/25)*GM23+(1-EXP(-LN(2)/25))/(LN(2)/25)*Calculateur!GH24*Calculateur!GJ24*VLOOKUP('Données projet'!$B$17,Paramètres!$A$1:$I$88,3,0)*0.475*44/12</f>
        <v>#N/A</v>
      </c>
      <c r="GN24" s="23" t="e">
        <f>EXP(-LN(2)/2)*GN23+(1-EXP(-LN(2)/2))/(LN(2)/2)*GH24*GK24*VLOOKUP('Données projet'!$B$17,Paramètres!$A$1:$I$88,3,0)*0.475*44/12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63.940945890424373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projet'!$B$18,Paramètres!$A$1:$I$88,3,0)*VLOOKUP('Données projet'!$B$18,Paramètres!$A$1:$I$88,5,0)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projet'!$B$18,Paramètres!$A$1:$I$88,7,0))</f>
        <v>0</v>
      </c>
      <c r="HE24" s="17">
        <f>IF(ISNA(VLOOKUP(A24,'Données projet'!$A$269:$I$289,6,0)),0%,VLOOKUP(A24,'Données projet'!$A$269:$I$289,6,0)*VLOOKUP('Données projet'!$B$18,Paramètres!$A$1:$I$88,7,0))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projet'!$B$18,Paramètres!$A$1:$I$88,3,0)*0.475*44/12</f>
        <v>#N/A</v>
      </c>
      <c r="HH24" s="23" t="e">
        <f>EXP(-LN(2)/25)*HH23+(1-EXP(-LN(2)/25))/(LN(2)/25)*Calculateur!HC24*Calculateur!HE24*VLOOKUP('Données projet'!$B$18,Paramètres!$A$1:$I$88,3,0)*0.475*44/12</f>
        <v>#N/A</v>
      </c>
      <c r="HI24" s="23" t="e">
        <f>EXP(-LN(2)/2)*HI23+(1-EXP(-LN(2)/2))/(LN(2)/2)*HC24*HF24*VLOOKUP('Données projet'!$B$18,Paramètres!$A$1:$I$88,3,0)*0.475*44/12</f>
        <v>#N/A</v>
      </c>
      <c r="HJ24" s="24" t="e">
        <f t="shared" si="30"/>
        <v>#N/A</v>
      </c>
    </row>
    <row r="25" spans="1:218" s="5" customFormat="1" x14ac:dyDescent="0.35">
      <c r="A25" s="11">
        <f t="shared" si="31"/>
        <v>22</v>
      </c>
      <c r="B25" s="77">
        <f>'Scénario référence'!$B$16*5+'Scénario référence'!$B$17*0+'Scénario référence'!$B$18*5</f>
        <v>1.75</v>
      </c>
      <c r="C25" s="20">
        <f>Calculateur!C24+'Scénario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25" s="12">
        <f t="shared" si="3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6.416666666666667</v>
      </c>
      <c r="H25" s="70">
        <f t="shared" si="1"/>
        <v>231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64.046056933209854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10.119999999999999</v>
      </c>
      <c r="N25" s="14">
        <f>IF('Données projet'!$A$36&gt;35,N24+M25-V24,IF(A25&lt;'Données projet'!$A$36,$K$205^A25,IF(A25='Données projet'!$A$36,'Données projet'!$B$36,N24+M25-V24)))</f>
        <v>130.24050114182094</v>
      </c>
      <c r="O25" s="14">
        <f>N25*VLOOKUP('Données projet'!$B$9,Paramètres!$A$1:$I$88,3,0)*VLOOKUP('Données projet'!$B$9,Paramètres!$A$1:$I$88,5,0)</f>
        <v>72.804440138277911</v>
      </c>
      <c r="P25" s="14">
        <f t="shared" si="33"/>
        <v>20.368298721866509</v>
      </c>
      <c r="Q25" s="22">
        <f t="shared" si="2"/>
        <v>162.27585351475153</v>
      </c>
      <c r="R25" s="62">
        <f t="shared" si="0"/>
        <v>424.0002844920765</v>
      </c>
      <c r="S25" s="62">
        <f ca="1">AVERAGE(OFFSET($R$3,0,0,'Données projet'!$E$9+1,1))-AVERAGE(OFFSET($H$3,0,0,'Données projet'!$E$9+1,1))</f>
        <v>341.05096821796769</v>
      </c>
      <c r="T25" s="62">
        <f t="shared" si="34"/>
        <v>400.72519822215168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projet'!$B$9,Paramètres!$A$1:$I$88,7,0))</f>
        <v>0</v>
      </c>
      <c r="X25" s="17">
        <f>IF(ISNA(VLOOKUP(A25,'Données projet'!$A$35:$I$55,6,0)),0%,VLOOKUP(A25,'Données projet'!$A$35:$I$55,6,0)*VLOOKUP('Données projet'!$B$9,Paramètres!$A$1:$I$88,7,0))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projet'!$B$9,Paramètres!$A$1:$I$88,3,0)*0.475*44/12</f>
        <v>0</v>
      </c>
      <c r="AA25" s="23">
        <f>EXP(-LN(2)/25)*AA24+(1-EXP(-LN(2)/25))/(LN(2)/25)*Calculateur!V25*Calculateur!X25*VLOOKUP('Données projet'!$B$9,Paramètres!$A$1:$I$88,3,0)*0.475*44/12</f>
        <v>0</v>
      </c>
      <c r="AB25" s="23">
        <f>EXP(-LN(2)/2)*AB24+(1-EXP(-LN(2)/2))/(LN(2)/2)*V25*Y25*VLOOKUP('Données projet'!$B$9,Paramètres!$A$1:$I$88,3,0)*0.475*44/12</f>
        <v>0</v>
      </c>
      <c r="AC25" s="24">
        <f t="shared" si="3"/>
        <v>0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64.046056933209854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11.025000000000002</v>
      </c>
      <c r="AI25" s="14">
        <f>IF('Données projet'!$A$62&gt;35,AI24+AH25-AQ24,IF(A25&lt;'Données projet'!$A$62,$AF$205^A25,IF(A25='Données projet'!$A$62,'Données projet'!$B$62,AI24+AH25-AQ24)))</f>
        <v>98.850000000000023</v>
      </c>
      <c r="AJ25" s="14">
        <f>AI25*VLOOKUP('Données projet'!$B$10,Paramètres!$A$1:$I$88,3,0)*VLOOKUP('Données projet'!$B$10,Paramètres!$A$1:$I$88,5,0)</f>
        <v>59.112300000000019</v>
      </c>
      <c r="AK25" s="14">
        <f t="shared" si="35"/>
        <v>16.943636271535407</v>
      </c>
      <c r="AL25" s="22">
        <f t="shared" si="4"/>
        <v>132.46408900625752</v>
      </c>
      <c r="AM25" s="62">
        <f t="shared" si="5"/>
        <v>394.18851998358252</v>
      </c>
      <c r="AN25" s="62">
        <f ca="1">AVERAGE(OFFSET($AM$3,0,0,'Données projet'!$E$10+1,1))-AVERAGE(OFFSET($H$3,0,0,'Données projet'!$E$10+1,1))</f>
        <v>231.96474801342879</v>
      </c>
      <c r="AO25" s="62">
        <f t="shared" si="36"/>
        <v>237.75726086383668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projet'!$B$10,Paramètres!$A$1:$I$88,7,0))</f>
        <v>0</v>
      </c>
      <c r="AS25" s="17">
        <f>IF(ISNA(VLOOKUP(A25,'Données projet'!$A$61:$I$81,6,0)),0%,VLOOKUP(A25,'Données projet'!$A$61:$I$81,6,0)*VLOOKUP('Données projet'!$B$10,Paramètres!$A$1:$I$88,7,0))</f>
        <v>0</v>
      </c>
      <c r="AT25" s="17">
        <f>IF(ISNA(VLOOKUP(A25,'Données projet'!$A$61:$I$81,7,0)),0%,VLOOKUP(A25,'Données projet'!$A$61:$I$81,7,0))</f>
        <v>0</v>
      </c>
      <c r="AU25" s="23">
        <f>EXP(-LN(2)/35)*AU24+(1-EXP(-LN(2)/35))/(LN(2)/35)*AQ25*AR25*VLOOKUP('Données projet'!$B$10,Paramètres!$A$1:$I$88,3,0)*0.475*44/12</f>
        <v>0.47349939296383148</v>
      </c>
      <c r="AV25" s="23">
        <f>EXP(-LN(2)/25)*AV24+(1-EXP(-LN(2)/25))/(LN(2)/25)*Calculateur!AQ25*Calculateur!AS25*VLOOKUP('Données projet'!$B$10,Paramètres!$A$1:$I$88,3,0)*0.475*44/12</f>
        <v>6.0019789694194712</v>
      </c>
      <c r="AW25" s="23">
        <f>EXP(-LN(2)/2)*AW24+(1-EXP(-LN(2)/2))/(LN(2)/2)*AQ25*AT25*VLOOKUP('Données projet'!$B$10,Paramètres!$A$1:$I$88,3,0)*0.475*44/12</f>
        <v>0</v>
      </c>
      <c r="AX25" s="23">
        <f t="shared" si="6"/>
        <v>6.4754783623833028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64.046056933209854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6.5217391304347823</v>
      </c>
      <c r="BD25" s="13">
        <f>IF('Données projet'!$A$88&gt;35,BD24+BC25-BL24,IF(A25&lt;'Données projet'!$A$88,$BA$205^A25,IF(A25='Données projet'!$A$88,'Données projet'!$B$88,BD24+BC25-BL24)))</f>
        <v>143.47826086956522</v>
      </c>
      <c r="BE25" s="14">
        <f>BD25*VLOOKUP('Données projet'!$B$11,Paramètres!$A$1:$I$88,3,0)*VLOOKUP('Données projet'!$B$11,Paramètres!$A$1:$I$88,5,0)</f>
        <v>67.147826086956528</v>
      </c>
      <c r="BF25" s="14">
        <f t="shared" si="37"/>
        <v>18.963456597783033</v>
      </c>
      <c r="BG25" s="22">
        <f t="shared" si="7"/>
        <v>149.97715067592139</v>
      </c>
      <c r="BH25" s="62">
        <f t="shared" si="8"/>
        <v>411.70158165324636</v>
      </c>
      <c r="BI25" s="62">
        <f ca="1">AVERAGE(OFFSET($BH$3,0,0,'Données projet'!$E$11+1,1))-AVERAGE(OFFSET($H$3,0,0,'Données projet'!$E$11+1,1))</f>
        <v>364.96458059055169</v>
      </c>
      <c r="BJ25" s="62">
        <f t="shared" si="38"/>
        <v>246.27159120786257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projet'!$B$11,Paramètres!$A$1:$I$88,7,0))</f>
        <v>0</v>
      </c>
      <c r="BN25" s="17">
        <f>IF(ISNA(VLOOKUP(A25,'Données projet'!$A$87:$I$107,6,0)),0%,VLOOKUP(A25,'Données projet'!$A$87:$I$107,6,0)*VLOOKUP('Données projet'!$B$11,Paramètres!$A$1:$I$88,7,0))</f>
        <v>0</v>
      </c>
      <c r="BO25" s="17">
        <f>IF(ISNA(VLOOKUP(A25,'Données projet'!$A$87:$I$107,7,0)),0%,VLOOKUP(A25,'Données projet'!$A$87:$I$107,7,0))</f>
        <v>0</v>
      </c>
      <c r="BP25" s="23">
        <f>EXP(-LN(2)/35)*BP24+(1-EXP(-LN(2)/35))/(LN(2)/35)*BL25*BM25*VLOOKUP('Données projet'!$B$11,Paramètres!$A$1:$I$88,3,0)*0.475*44/12</f>
        <v>0</v>
      </c>
      <c r="BQ25" s="23">
        <f>EXP(-LN(2)/25)*BQ24+(1-EXP(-LN(2)/25))/(LN(2)/25)*Calculateur!BL25*Calculateur!BN25*VLOOKUP('Données projet'!$B$11,Paramètres!$A$1:$I$88,3,0)*0.475*44/12</f>
        <v>0</v>
      </c>
      <c r="BR25" s="23">
        <f>EXP(-LN(2)/2)*BR24+(1-EXP(-LN(2)/2))/(LN(2)/2)*BL25*BO25*VLOOKUP('Données projet'!$B$11,Paramètres!$A$1:$I$88,3,0)*0.475*44/12</f>
        <v>0</v>
      </c>
      <c r="BS25" s="24">
        <f t="shared" si="9"/>
        <v>0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64.046056933209854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4.1666667007873768</v>
      </c>
      <c r="BY25" s="13">
        <f>IF('Données projet'!$A$114&gt;35,BY24+BX25-CG24,IF(A25&lt;'Données projet'!$A$114,$BV$205^A25,IF(A25='Données projet'!$A$114,'Données projet'!$B$114,BY24+BX25-CG24)))</f>
        <v>91.666667417322259</v>
      </c>
      <c r="BZ25" s="14">
        <f>BY25*VLOOKUP('Données projet'!$B$12,Paramètres!$A$1:$I$88,3,0)*VLOOKUP('Données projet'!$B$12,Paramètres!$A$1:$I$88,5,0)</f>
        <v>92.950000761164787</v>
      </c>
      <c r="CA25" s="14">
        <f t="shared" si="39"/>
        <v>25.275353169223507</v>
      </c>
      <c r="CB25" s="22">
        <f t="shared" si="10"/>
        <v>205.90915809542628</v>
      </c>
      <c r="CC25" s="62">
        <f t="shared" si="11"/>
        <v>467.63358907275125</v>
      </c>
      <c r="CD25" s="62">
        <f ca="1">AVERAGE(OFFSET($CC$3,0,0,'Données projet'!$E$12+1,1))-AVERAGE(OFFSET($H$3,0,0,'Données projet'!$E$12+1,1))</f>
        <v>310.53598044763282</v>
      </c>
      <c r="CE25" s="62">
        <f t="shared" si="40"/>
        <v>322.01096634040596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projet'!$B$12,Paramètres!$A$1:$I$88,7,0))</f>
        <v>0</v>
      </c>
      <c r="CI25" s="17">
        <f>IF(ISNA(VLOOKUP(A25,'Données projet'!$A$113:$I$133,6,0)),0%,VLOOKUP(A25,'Données projet'!$A$113:$I$133,6,0)*VLOOKUP('Données projet'!$B$12,Paramètres!$A$1:$I$88,7,0))</f>
        <v>0</v>
      </c>
      <c r="CJ25" s="17">
        <f>IF(ISNA(VLOOKUP(A25,'Données projet'!$A$113:$I$133,7,0)),0%,VLOOKUP(A25,'Données projet'!$A$113:$I$133,7,0))</f>
        <v>0</v>
      </c>
      <c r="CK25" s="23">
        <f>EXP(-LN(2)/35)*CK24+(1-EXP(-LN(2)/35))/(LN(2)/35)*CG25*CH25*VLOOKUP('Données projet'!$B$12,Paramètres!$A$1:$I$88,3,0)*0.475*44/12</f>
        <v>0</v>
      </c>
      <c r="CL25" s="23">
        <f>EXP(-LN(2)/25)*CL24+(1-EXP(-LN(2)/25))/(LN(2)/25)*Calculateur!CG25*Calculateur!CI25*VLOOKUP('Données projet'!$B$12,Paramètres!$A$1:$I$88,3,0)*0.475*44/12</f>
        <v>0</v>
      </c>
      <c r="CM25" s="23">
        <f>EXP(-LN(2)/2)*CM24+(1-EXP(-LN(2)/2))/(LN(2)/2)*CG25*CJ25*VLOOKUP('Données projet'!$B$12,Paramètres!$A$1:$I$88,3,0)*0.475*44/12</f>
        <v>0</v>
      </c>
      <c r="CN25" s="24">
        <f t="shared" si="12"/>
        <v>0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64.046056933209854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projet'!$B$13,Paramètres!$A$1:$I$88,3,0)*VLOOKUP('Données projet'!$B$13,Paramètres!$A$1:$I$88,5,0)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projet'!$B$13,Paramètres!$A$1:$I$88,7,0))</f>
        <v>0</v>
      </c>
      <c r="DD25" s="17">
        <f>IF(ISNA(VLOOKUP(A25,'Données projet'!$A$139:$I$159,6,0)),0%,VLOOKUP(A25,'Données projet'!$A$139:$I$159,6,0)*VLOOKUP('Données projet'!$B$13,Paramètres!$A$1:$I$88,7,0))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projet'!$B$13,Paramètres!$A$1:$I$88,3,0)*0.475*44/12</f>
        <v>#N/A</v>
      </c>
      <c r="DG25" s="23" t="e">
        <f>EXP(-LN(2)/25)*DG24+(1-EXP(-LN(2)/25))/(LN(2)/25)*Calculateur!DB25*Calculateur!DD25*VLOOKUP('Données projet'!$B$13,Paramètres!$A$1:$I$88,3,0)*0.475*44/12</f>
        <v>#N/A</v>
      </c>
      <c r="DH25" s="23" t="e">
        <f>EXP(-LN(2)/2)*DH24+(1-EXP(-LN(2)/2))/(LN(2)/2)*DB25*DE25*VLOOKUP('Données projet'!$B$13,Paramètres!$A$1:$I$88,3,0)*0.475*44/12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64.046056933209854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projet'!$B$14,Paramètres!$A$1:$I$88,3,0)*VLOOKUP('Données projet'!$B$14,Paramètres!$A$1:$I$88,5,0)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projet'!$B$14,Paramètres!$A$1:$I$88,7,0))</f>
        <v>0</v>
      </c>
      <c r="DY25" s="17">
        <f>IF(ISNA(VLOOKUP(A25,'Données projet'!$A$165:$I$185,6,0)),0%,VLOOKUP(A25,'Données projet'!$A$165:$I$185,6,0)*VLOOKUP('Données projet'!$B$14,Paramètres!$A$1:$I$88,7,0))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projet'!$B$14,Paramètres!$A$1:$I$88,3,0)*0.475*44/12</f>
        <v>#N/A</v>
      </c>
      <c r="EB25" s="23" t="e">
        <f>EXP(-LN(2)/25)*EB24+(1-EXP(-LN(2)/25))/(LN(2)/25)*Calculateur!DW25*Calculateur!DY25*VLOOKUP('Données projet'!$B$14,Paramètres!$A$1:$I$88,3,0)*0.475*44/12</f>
        <v>#N/A</v>
      </c>
      <c r="EC25" s="23" t="e">
        <f>EXP(-LN(2)/2)*EC24+(1-EXP(-LN(2)/2))/(LN(2)/2)*DW25*DZ25*VLOOKUP('Données projet'!$B$14,Paramètres!$A$1:$I$88,3,0)*0.475*44/12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64.046056933209854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projet'!$B$15,Paramètres!$A$1:$I$88,3,0)*VLOOKUP('Données projet'!$B$15,Paramètres!$A$1:$I$88,5,0)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projet'!$B$15,Paramètres!$A$1:$I$88,7,0))</f>
        <v>0</v>
      </c>
      <c r="ET25" s="17">
        <f>IF(ISNA(VLOOKUP(A25,'Données projet'!$A$191:$I$211,6,0)),0%,VLOOKUP(A25,'Données projet'!$A$191:$I$211,6,0)*VLOOKUP('Données projet'!$B$15,Paramètres!$A$1:$I$88,7,0))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projet'!$B$15,Paramètres!$A$1:$I$88,3,0)*0.475*44/12</f>
        <v>#N/A</v>
      </c>
      <c r="EW25" s="23" t="e">
        <f>EXP(-LN(2)/25)*EW24+(1-EXP(-LN(2)/25))/(LN(2)/25)*Calculateur!ER25*Calculateur!ET25*VLOOKUP('Données projet'!$B$15,Paramètres!$A$1:$I$88,3,0)*0.475*44/12</f>
        <v>#N/A</v>
      </c>
      <c r="EX25" s="23" t="e">
        <f>EXP(-LN(2)/2)*EX24+(1-EXP(-LN(2)/2))/(LN(2)/2)*ER25*EU25*VLOOKUP('Données projet'!$B$15,Paramètres!$A$1:$I$88,3,0)*0.475*44/12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64.046056933209854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projet'!$B$16,Paramètres!$A$1:$I$88,3,0)*VLOOKUP('Données projet'!$B$16,Paramètres!$A$1:$I$88,5,0)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projet'!$B$16,Paramètres!$A$1:$I$88,7,0))</f>
        <v>0</v>
      </c>
      <c r="FO25" s="17">
        <f>IF(ISNA(VLOOKUP(A25,'Données projet'!$A$217:$I$237,6,0)),0%,VLOOKUP(A25,'Données projet'!$A$217:$I$237,6,0)*VLOOKUP('Données projet'!$B$16,Paramètres!$A$1:$I$88,7,0))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projet'!$B$16,Paramètres!$A$1:$I$88,3,0)*0.475*44/12</f>
        <v>#N/A</v>
      </c>
      <c r="FR25" s="23" t="e">
        <f>EXP(-LN(2)/25)*FR24+(1-EXP(-LN(2)/25))/(LN(2)/25)*Calculateur!FM25*Calculateur!FO25*VLOOKUP('Données projet'!$B$16,Paramètres!$A$1:$I$88,3,0)*0.475*44/12</f>
        <v>#N/A</v>
      </c>
      <c r="FS25" s="23" t="e">
        <f>EXP(-LN(2)/2)*FS24+(1-EXP(-LN(2)/2))/(LN(2)/2)*FM25*FP25*VLOOKUP('Données projet'!$B$16,Paramètres!$A$1:$I$88,3,0)*0.475*44/12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64.046056933209854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projet'!$B$17,Paramètres!$A$1:$I$88,3,0)*VLOOKUP('Données projet'!$B$17,Paramètres!$A$1:$I$88,5,0)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projet'!$B$17,Paramètres!$A$1:$I$88,7,0))</f>
        <v>0</v>
      </c>
      <c r="GJ25" s="17">
        <f>IF(ISNA(VLOOKUP(A25,'Données projet'!$A$243:$I$263,6,0)),0%,VLOOKUP(A25,'Données projet'!$A$243:$I$263,6,0)*VLOOKUP('Données projet'!$B$17,Paramètres!$A$1:$I$88,7,0))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projet'!$B$17,Paramètres!$A$1:$I$88,3,0)*0.475*44/12</f>
        <v>#N/A</v>
      </c>
      <c r="GM25" s="23" t="e">
        <f>EXP(-LN(2)/25)*GM24+(1-EXP(-LN(2)/25))/(LN(2)/25)*Calculateur!GH25*Calculateur!GJ25*VLOOKUP('Données projet'!$B$17,Paramètres!$A$1:$I$88,3,0)*0.475*44/12</f>
        <v>#N/A</v>
      </c>
      <c r="GN25" s="23" t="e">
        <f>EXP(-LN(2)/2)*GN24+(1-EXP(-LN(2)/2))/(LN(2)/2)*GH25*GK25*VLOOKUP('Données projet'!$B$17,Paramètres!$A$1:$I$88,3,0)*0.475*44/12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64.046056933209854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projet'!$B$18,Paramètres!$A$1:$I$88,3,0)*VLOOKUP('Données projet'!$B$18,Paramètres!$A$1:$I$88,5,0)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projet'!$B$18,Paramètres!$A$1:$I$88,7,0))</f>
        <v>0</v>
      </c>
      <c r="HE25" s="17">
        <f>IF(ISNA(VLOOKUP(A25,'Données projet'!$A$269:$I$289,6,0)),0%,VLOOKUP(A25,'Données projet'!$A$269:$I$289,6,0)*VLOOKUP('Données projet'!$B$18,Paramètres!$A$1:$I$88,7,0))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projet'!$B$18,Paramètres!$A$1:$I$88,3,0)*0.475*44/12</f>
        <v>#N/A</v>
      </c>
      <c r="HH25" s="23" t="e">
        <f>EXP(-LN(2)/25)*HH24+(1-EXP(-LN(2)/25))/(LN(2)/25)*Calculateur!HC25*Calculateur!HE25*VLOOKUP('Données projet'!$B$18,Paramètres!$A$1:$I$88,3,0)*0.475*44/12</f>
        <v>#N/A</v>
      </c>
      <c r="HI25" s="23" t="e">
        <f>EXP(-LN(2)/2)*HI24+(1-EXP(-LN(2)/2))/(LN(2)/2)*HC25*HF25*VLOOKUP('Données projet'!$B$18,Paramètres!$A$1:$I$88,3,0)*0.475*44/12</f>
        <v>#N/A</v>
      </c>
      <c r="HJ25" s="24" t="e">
        <f t="shared" si="30"/>
        <v>#N/A</v>
      </c>
    </row>
    <row r="26" spans="1:218" s="5" customFormat="1" x14ac:dyDescent="0.35">
      <c r="A26" s="11">
        <f t="shared" si="31"/>
        <v>23</v>
      </c>
      <c r="B26" s="77">
        <f>'Scénario référence'!$B$16*5+'Scénario référence'!$B$17*0+'Scénario référence'!$B$18*5</f>
        <v>1.75</v>
      </c>
      <c r="C26" s="20">
        <f>Calculateur!C25+'Scénario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26" s="12">
        <f t="shared" si="3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6.416666666666667</v>
      </c>
      <c r="H26" s="70">
        <f t="shared" si="1"/>
        <v>231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64.149344534396107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10.119999999999999</v>
      </c>
      <c r="N26" s="14">
        <f>IF('Données projet'!$A$36&gt;35,N25+M26-V25,IF(A26&lt;'Données projet'!$A$36,$K$205^A26,IF(A26='Données projet'!$A$36,'Données projet'!$B$36,N25+M26-V25)))</f>
        <v>162.50655340931482</v>
      </c>
      <c r="O26" s="14">
        <f>N26*VLOOKUP('Données projet'!$B$9,Paramètres!$A$1:$I$88,3,0)*VLOOKUP('Données projet'!$B$9,Paramètres!$A$1:$I$88,5,0)</f>
        <v>90.841163355806984</v>
      </c>
      <c r="P26" s="14">
        <f t="shared" si="33"/>
        <v>24.767983371374214</v>
      </c>
      <c r="Q26" s="22">
        <f t="shared" si="2"/>
        <v>201.35259721650723</v>
      </c>
      <c r="R26" s="62">
        <f t="shared" si="0"/>
        <v>464.67797162040415</v>
      </c>
      <c r="S26" s="62">
        <f ca="1">AVERAGE(OFFSET($R$3,0,0,'Données projet'!$E$9+1,1))-AVERAGE(OFFSET($H$3,0,0,'Données projet'!$E$9+1,1))</f>
        <v>341.05096821796769</v>
      </c>
      <c r="T26" s="62">
        <f t="shared" si="34"/>
        <v>400.72519822215168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projet'!$B$9,Paramètres!$A$1:$I$88,7,0))</f>
        <v>0</v>
      </c>
      <c r="X26" s="17">
        <f>IF(ISNA(VLOOKUP(A26,'Données projet'!$A$35:$I$55,6,0)),0%,VLOOKUP(A26,'Données projet'!$A$35:$I$55,6,0)*VLOOKUP('Données projet'!$B$9,Paramètres!$A$1:$I$88,7,0))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projet'!$B$9,Paramètres!$A$1:$I$88,3,0)*0.475*44/12</f>
        <v>0</v>
      </c>
      <c r="AA26" s="23">
        <f>EXP(-LN(2)/25)*AA25+(1-EXP(-LN(2)/25))/(LN(2)/25)*Calculateur!V26*Calculateur!X26*VLOOKUP('Données projet'!$B$9,Paramètres!$A$1:$I$88,3,0)*0.475*44/12</f>
        <v>0</v>
      </c>
      <c r="AB26" s="23">
        <f>EXP(-LN(2)/2)*AB25+(1-EXP(-LN(2)/2))/(LN(2)/2)*V26*Y26*VLOOKUP('Données projet'!$B$9,Paramètres!$A$1:$I$88,3,0)*0.475*44/12</f>
        <v>0</v>
      </c>
      <c r="AC26" s="24">
        <f t="shared" si="3"/>
        <v>0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64.149344534396107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11.025000000000002</v>
      </c>
      <c r="AI26" s="14">
        <f>IF('Données projet'!$A$62&gt;35,AI25+AH26-AQ25,IF(A26&lt;'Données projet'!$A$62,$AF$205^A26,IF(A26='Données projet'!$A$62,'Données projet'!$B$62,AI25+AH26-AQ25)))</f>
        <v>109.87500000000003</v>
      </c>
      <c r="AJ26" s="14">
        <f>AI26*VLOOKUP('Données projet'!$B$10,Paramètres!$A$1:$I$88,3,0)*VLOOKUP('Données projet'!$B$10,Paramètres!$A$1:$I$88,5,0)</f>
        <v>65.705250000000021</v>
      </c>
      <c r="AK26" s="14">
        <f t="shared" si="35"/>
        <v>18.603021523918425</v>
      </c>
      <c r="AL26" s="22">
        <f t="shared" si="4"/>
        <v>146.83690623749129</v>
      </c>
      <c r="AM26" s="62">
        <f t="shared" si="5"/>
        <v>410.16228064138818</v>
      </c>
      <c r="AN26" s="62">
        <f ca="1">AVERAGE(OFFSET($AM$3,0,0,'Données projet'!$E$10+1,1))-AVERAGE(OFFSET($H$3,0,0,'Données projet'!$E$10+1,1))</f>
        <v>231.96474801342879</v>
      </c>
      <c r="AO26" s="62">
        <f t="shared" si="36"/>
        <v>237.75726086383668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projet'!$B$10,Paramètres!$A$1:$I$88,7,0))</f>
        <v>0</v>
      </c>
      <c r="AS26" s="17">
        <f>IF(ISNA(VLOOKUP(A26,'Données projet'!$A$61:$I$81,6,0)),0%,VLOOKUP(A26,'Données projet'!$A$61:$I$81,6,0)*VLOOKUP('Données projet'!$B$10,Paramètres!$A$1:$I$88,7,0))</f>
        <v>0</v>
      </c>
      <c r="AT26" s="17">
        <f>IF(ISNA(VLOOKUP(A26,'Données projet'!$A$61:$I$81,7,0)),0%,VLOOKUP(A26,'Données projet'!$A$61:$I$81,7,0))</f>
        <v>0</v>
      </c>
      <c r="AU26" s="23">
        <f>EXP(-LN(2)/35)*AU25+(1-EXP(-LN(2)/35))/(LN(2)/35)*AQ26*AR26*VLOOKUP('Données projet'!$B$10,Paramètres!$A$1:$I$88,3,0)*0.475*44/12</f>
        <v>0.46421435867392319</v>
      </c>
      <c r="AV26" s="23">
        <f>EXP(-LN(2)/25)*AV25+(1-EXP(-LN(2)/25))/(LN(2)/25)*Calculateur!AQ26*Calculateur!AS26*VLOOKUP('Données projet'!$B$10,Paramètres!$A$1:$I$88,3,0)*0.475*44/12</f>
        <v>5.8378545388703396</v>
      </c>
      <c r="AW26" s="23">
        <f>EXP(-LN(2)/2)*AW25+(1-EXP(-LN(2)/2))/(LN(2)/2)*AQ26*AT26*VLOOKUP('Données projet'!$B$10,Paramètres!$A$1:$I$88,3,0)*0.475*44/12</f>
        <v>0</v>
      </c>
      <c r="AX26" s="23">
        <f t="shared" si="6"/>
        <v>6.3020688975442631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64.149344534396107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6.5217391304347823</v>
      </c>
      <c r="BD26" s="13">
        <f>IF('Données projet'!$A$88&gt;35,BD25+BC26-BL25,IF(A26&lt;'Données projet'!$A$88,$BA$205^A26,IF(A26='Données projet'!$A$88,'Données projet'!$B$88,BD25+BC26-BL25)))</f>
        <v>150</v>
      </c>
      <c r="BE26" s="14">
        <f>BD26*VLOOKUP('Données projet'!$B$11,Paramètres!$A$1:$I$88,3,0)*VLOOKUP('Données projet'!$B$11,Paramètres!$A$1:$I$88,5,0)</f>
        <v>70.2</v>
      </c>
      <c r="BF26" s="14">
        <f t="shared" si="37"/>
        <v>19.723116370112194</v>
      </c>
      <c r="BG26" s="22">
        <f t="shared" si="7"/>
        <v>156.61609434461207</v>
      </c>
      <c r="BH26" s="62">
        <f t="shared" si="8"/>
        <v>419.94146874850895</v>
      </c>
      <c r="BI26" s="62">
        <f ca="1">AVERAGE(OFFSET($BH$3,0,0,'Données projet'!$E$11+1,1))-AVERAGE(OFFSET($H$3,0,0,'Données projet'!$E$11+1,1))</f>
        <v>364.96458059055169</v>
      </c>
      <c r="BJ26" s="62">
        <f t="shared" si="38"/>
        <v>246.27159120786257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projet'!$B$11,Paramètres!$A$1:$I$88,7,0))</f>
        <v>0</v>
      </c>
      <c r="BN26" s="17">
        <f>IF(ISNA(VLOOKUP(A26,'Données projet'!$A$87:$I$107,6,0)),0%,VLOOKUP(A26,'Données projet'!$A$87:$I$107,6,0)*VLOOKUP('Données projet'!$B$11,Paramètres!$A$1:$I$88,7,0))</f>
        <v>0</v>
      </c>
      <c r="BO26" s="17">
        <f>IF(ISNA(VLOOKUP(A26,'Données projet'!$A$87:$I$107,7,0)),0%,VLOOKUP(A26,'Données projet'!$A$87:$I$107,7,0))</f>
        <v>0</v>
      </c>
      <c r="BP26" s="23">
        <f>EXP(-LN(2)/35)*BP25+(1-EXP(-LN(2)/35))/(LN(2)/35)*BL26*BM26*VLOOKUP('Données projet'!$B$11,Paramètres!$A$1:$I$88,3,0)*0.475*44/12</f>
        <v>0</v>
      </c>
      <c r="BQ26" s="23">
        <f>EXP(-LN(2)/25)*BQ25+(1-EXP(-LN(2)/25))/(LN(2)/25)*Calculateur!BL26*Calculateur!BN26*VLOOKUP('Données projet'!$B$11,Paramètres!$A$1:$I$88,3,0)*0.475*44/12</f>
        <v>0</v>
      </c>
      <c r="BR26" s="23">
        <f>EXP(-LN(2)/2)*BR25+(1-EXP(-LN(2)/2))/(LN(2)/2)*BL26*BO26*VLOOKUP('Données projet'!$B$11,Paramètres!$A$1:$I$88,3,0)*0.475*44/12</f>
        <v>0</v>
      </c>
      <c r="BS26" s="24">
        <f t="shared" si="9"/>
        <v>0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64.149344534396107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4.1666667007873768</v>
      </c>
      <c r="BY26" s="13">
        <f>IF('Données projet'!$A$114&gt;35,BY25+BX26-CG25,IF(A26&lt;'Données projet'!$A$114,$BV$205^A26,IF(A26='Données projet'!$A$114,'Données projet'!$B$114,BY25+BX26-CG25)))</f>
        <v>95.833334118109633</v>
      </c>
      <c r="BZ26" s="14">
        <f>BY26*VLOOKUP('Données projet'!$B$12,Paramètres!$A$1:$I$88,3,0)*VLOOKUP('Données projet'!$B$12,Paramètres!$A$1:$I$88,5,0)</f>
        <v>97.175000795763168</v>
      </c>
      <c r="CA26" s="14">
        <f t="shared" si="39"/>
        <v>26.287862093167046</v>
      </c>
      <c r="CB26" s="22">
        <f t="shared" si="10"/>
        <v>215.03115286488682</v>
      </c>
      <c r="CC26" s="62">
        <f t="shared" si="11"/>
        <v>478.35652726878368</v>
      </c>
      <c r="CD26" s="62">
        <f ca="1">AVERAGE(OFFSET($CC$3,0,0,'Données projet'!$E$12+1,1))-AVERAGE(OFFSET($H$3,0,0,'Données projet'!$E$12+1,1))</f>
        <v>310.53598044763282</v>
      </c>
      <c r="CE26" s="62">
        <f t="shared" si="40"/>
        <v>322.01096634040596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projet'!$B$12,Paramètres!$A$1:$I$88,7,0))</f>
        <v>0</v>
      </c>
      <c r="CI26" s="17">
        <f>IF(ISNA(VLOOKUP(A26,'Données projet'!$A$113:$I$133,6,0)),0%,VLOOKUP(A26,'Données projet'!$A$113:$I$133,6,0)*VLOOKUP('Données projet'!$B$12,Paramètres!$A$1:$I$88,7,0))</f>
        <v>0</v>
      </c>
      <c r="CJ26" s="17">
        <f>IF(ISNA(VLOOKUP(A26,'Données projet'!$A$113:$I$133,7,0)),0%,VLOOKUP(A26,'Données projet'!$A$113:$I$133,7,0))</f>
        <v>0</v>
      </c>
      <c r="CK26" s="23">
        <f>EXP(-LN(2)/35)*CK25+(1-EXP(-LN(2)/35))/(LN(2)/35)*CG26*CH26*VLOOKUP('Données projet'!$B$12,Paramètres!$A$1:$I$88,3,0)*0.475*44/12</f>
        <v>0</v>
      </c>
      <c r="CL26" s="23">
        <f>EXP(-LN(2)/25)*CL25+(1-EXP(-LN(2)/25))/(LN(2)/25)*Calculateur!CG26*Calculateur!CI26*VLOOKUP('Données projet'!$B$12,Paramètres!$A$1:$I$88,3,0)*0.475*44/12</f>
        <v>0</v>
      </c>
      <c r="CM26" s="23">
        <f>EXP(-LN(2)/2)*CM25+(1-EXP(-LN(2)/2))/(LN(2)/2)*CG26*CJ26*VLOOKUP('Données projet'!$B$12,Paramètres!$A$1:$I$88,3,0)*0.475*44/12</f>
        <v>0</v>
      </c>
      <c r="CN26" s="24">
        <f t="shared" si="12"/>
        <v>0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64.149344534396107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projet'!$B$13,Paramètres!$A$1:$I$88,3,0)*VLOOKUP('Données projet'!$B$13,Paramètres!$A$1:$I$88,5,0)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projet'!$B$13,Paramètres!$A$1:$I$88,7,0))</f>
        <v>0</v>
      </c>
      <c r="DD26" s="17">
        <f>IF(ISNA(VLOOKUP(A26,'Données projet'!$A$139:$I$159,6,0)),0%,VLOOKUP(A26,'Données projet'!$A$139:$I$159,6,0)*VLOOKUP('Données projet'!$B$13,Paramètres!$A$1:$I$88,7,0))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projet'!$B$13,Paramètres!$A$1:$I$88,3,0)*0.475*44/12</f>
        <v>#N/A</v>
      </c>
      <c r="DG26" s="23" t="e">
        <f>EXP(-LN(2)/25)*DG25+(1-EXP(-LN(2)/25))/(LN(2)/25)*Calculateur!DB26*Calculateur!DD26*VLOOKUP('Données projet'!$B$13,Paramètres!$A$1:$I$88,3,0)*0.475*44/12</f>
        <v>#N/A</v>
      </c>
      <c r="DH26" s="23" t="e">
        <f>EXP(-LN(2)/2)*DH25+(1-EXP(-LN(2)/2))/(LN(2)/2)*DB26*DE26*VLOOKUP('Données projet'!$B$13,Paramètres!$A$1:$I$88,3,0)*0.475*44/12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64.149344534396107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projet'!$B$14,Paramètres!$A$1:$I$88,3,0)*VLOOKUP('Données projet'!$B$14,Paramètres!$A$1:$I$88,5,0)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projet'!$B$14,Paramètres!$A$1:$I$88,7,0))</f>
        <v>0</v>
      </c>
      <c r="DY26" s="17">
        <f>IF(ISNA(VLOOKUP(A26,'Données projet'!$A$165:$I$185,6,0)),0%,VLOOKUP(A26,'Données projet'!$A$165:$I$185,6,0)*VLOOKUP('Données projet'!$B$14,Paramètres!$A$1:$I$88,7,0))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projet'!$B$14,Paramètres!$A$1:$I$88,3,0)*0.475*44/12</f>
        <v>#N/A</v>
      </c>
      <c r="EB26" s="23" t="e">
        <f>EXP(-LN(2)/25)*EB25+(1-EXP(-LN(2)/25))/(LN(2)/25)*Calculateur!DW26*Calculateur!DY26*VLOOKUP('Données projet'!$B$14,Paramètres!$A$1:$I$88,3,0)*0.475*44/12</f>
        <v>#N/A</v>
      </c>
      <c r="EC26" s="23" t="e">
        <f>EXP(-LN(2)/2)*EC25+(1-EXP(-LN(2)/2))/(LN(2)/2)*DW26*DZ26*VLOOKUP('Données projet'!$B$14,Paramètres!$A$1:$I$88,3,0)*0.475*44/12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64.149344534396107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projet'!$B$15,Paramètres!$A$1:$I$88,3,0)*VLOOKUP('Données projet'!$B$15,Paramètres!$A$1:$I$88,5,0)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projet'!$B$15,Paramètres!$A$1:$I$88,7,0))</f>
        <v>0</v>
      </c>
      <c r="ET26" s="17">
        <f>IF(ISNA(VLOOKUP(A26,'Données projet'!$A$191:$I$211,6,0)),0%,VLOOKUP(A26,'Données projet'!$A$191:$I$211,6,0)*VLOOKUP('Données projet'!$B$15,Paramètres!$A$1:$I$88,7,0))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projet'!$B$15,Paramètres!$A$1:$I$88,3,0)*0.475*44/12</f>
        <v>#N/A</v>
      </c>
      <c r="EW26" s="23" t="e">
        <f>EXP(-LN(2)/25)*EW25+(1-EXP(-LN(2)/25))/(LN(2)/25)*Calculateur!ER26*Calculateur!ET26*VLOOKUP('Données projet'!$B$15,Paramètres!$A$1:$I$88,3,0)*0.475*44/12</f>
        <v>#N/A</v>
      </c>
      <c r="EX26" s="23" t="e">
        <f>EXP(-LN(2)/2)*EX25+(1-EXP(-LN(2)/2))/(LN(2)/2)*ER26*EU26*VLOOKUP('Données projet'!$B$15,Paramètres!$A$1:$I$88,3,0)*0.475*44/12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64.149344534396107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projet'!$B$16,Paramètres!$A$1:$I$88,3,0)*VLOOKUP('Données projet'!$B$16,Paramètres!$A$1:$I$88,5,0)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projet'!$B$16,Paramètres!$A$1:$I$88,7,0))</f>
        <v>0</v>
      </c>
      <c r="FO26" s="17">
        <f>IF(ISNA(VLOOKUP(A26,'Données projet'!$A$217:$I$237,6,0)),0%,VLOOKUP(A26,'Données projet'!$A$217:$I$237,6,0)*VLOOKUP('Données projet'!$B$16,Paramètres!$A$1:$I$88,7,0))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projet'!$B$16,Paramètres!$A$1:$I$88,3,0)*0.475*44/12</f>
        <v>#N/A</v>
      </c>
      <c r="FR26" s="23" t="e">
        <f>EXP(-LN(2)/25)*FR25+(1-EXP(-LN(2)/25))/(LN(2)/25)*Calculateur!FM26*Calculateur!FO26*VLOOKUP('Données projet'!$B$16,Paramètres!$A$1:$I$88,3,0)*0.475*44/12</f>
        <v>#N/A</v>
      </c>
      <c r="FS26" s="23" t="e">
        <f>EXP(-LN(2)/2)*FS25+(1-EXP(-LN(2)/2))/(LN(2)/2)*FM26*FP26*VLOOKUP('Données projet'!$B$16,Paramètres!$A$1:$I$88,3,0)*0.475*44/12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64.149344534396107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projet'!$B$17,Paramètres!$A$1:$I$88,3,0)*VLOOKUP('Données projet'!$B$17,Paramètres!$A$1:$I$88,5,0)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projet'!$B$17,Paramètres!$A$1:$I$88,7,0))</f>
        <v>0</v>
      </c>
      <c r="GJ26" s="17">
        <f>IF(ISNA(VLOOKUP(A26,'Données projet'!$A$243:$I$263,6,0)),0%,VLOOKUP(A26,'Données projet'!$A$243:$I$263,6,0)*VLOOKUP('Données projet'!$B$17,Paramètres!$A$1:$I$88,7,0))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projet'!$B$17,Paramètres!$A$1:$I$88,3,0)*0.475*44/12</f>
        <v>#N/A</v>
      </c>
      <c r="GM26" s="23" t="e">
        <f>EXP(-LN(2)/25)*GM25+(1-EXP(-LN(2)/25))/(LN(2)/25)*Calculateur!GH26*Calculateur!GJ26*VLOOKUP('Données projet'!$B$17,Paramètres!$A$1:$I$88,3,0)*0.475*44/12</f>
        <v>#N/A</v>
      </c>
      <c r="GN26" s="23" t="e">
        <f>EXP(-LN(2)/2)*GN25+(1-EXP(-LN(2)/2))/(LN(2)/2)*GH26*GK26*VLOOKUP('Données projet'!$B$17,Paramètres!$A$1:$I$88,3,0)*0.475*44/12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64.149344534396107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projet'!$B$18,Paramètres!$A$1:$I$88,3,0)*VLOOKUP('Données projet'!$B$18,Paramètres!$A$1:$I$88,5,0)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projet'!$B$18,Paramètres!$A$1:$I$88,7,0))</f>
        <v>0</v>
      </c>
      <c r="HE26" s="17">
        <f>IF(ISNA(VLOOKUP(A26,'Données projet'!$A$269:$I$289,6,0)),0%,VLOOKUP(A26,'Données projet'!$A$269:$I$289,6,0)*VLOOKUP('Données projet'!$B$18,Paramètres!$A$1:$I$88,7,0))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projet'!$B$18,Paramètres!$A$1:$I$88,3,0)*0.475*44/12</f>
        <v>#N/A</v>
      </c>
      <c r="HH26" s="23" t="e">
        <f>EXP(-LN(2)/25)*HH25+(1-EXP(-LN(2)/25))/(LN(2)/25)*Calculateur!HC26*Calculateur!HE26*VLOOKUP('Données projet'!$B$18,Paramètres!$A$1:$I$88,3,0)*0.475*44/12</f>
        <v>#N/A</v>
      </c>
      <c r="HI26" s="23" t="e">
        <f>EXP(-LN(2)/2)*HI25+(1-EXP(-LN(2)/2))/(LN(2)/2)*HC26*HF26*VLOOKUP('Données projet'!$B$18,Paramètres!$A$1:$I$88,3,0)*0.475*44/12</f>
        <v>#N/A</v>
      </c>
      <c r="HJ26" s="24" t="e">
        <f t="shared" si="30"/>
        <v>#N/A</v>
      </c>
    </row>
    <row r="27" spans="1:218" s="5" customFormat="1" x14ac:dyDescent="0.35">
      <c r="A27" s="11">
        <f t="shared" si="31"/>
        <v>24</v>
      </c>
      <c r="B27" s="77">
        <f>'Scénario référence'!$B$16*5+'Scénario référence'!$B$17*0+'Scénario référence'!$B$18*5</f>
        <v>1.75</v>
      </c>
      <c r="C27" s="20">
        <f>Calculateur!C26+'Scénario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27" s="12">
        <f t="shared" si="3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6.416666666666667</v>
      </c>
      <c r="H27" s="70">
        <f t="shared" si="1"/>
        <v>231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64.25084032661826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10.119999999999999</v>
      </c>
      <c r="N27" s="14">
        <f>IF('Données projet'!$A$36&gt;35,N26+M27-V26,IF(A27&lt;'Données projet'!$A$36,$K$205^A27,IF(A27='Données projet'!$A$36,'Données projet'!$B$36,N26+M27-V26)))</f>
        <v>202.76626448341133</v>
      </c>
      <c r="O27" s="14">
        <f>N27*VLOOKUP('Données projet'!$B$9,Paramètres!$A$1:$I$88,3,0)*VLOOKUP('Données projet'!$B$9,Paramètres!$A$1:$I$88,5,0)</f>
        <v>113.34634184622693</v>
      </c>
      <c r="P27" s="14">
        <f t="shared" si="33"/>
        <v>30.118028445158924</v>
      </c>
      <c r="Q27" s="22">
        <f t="shared" si="2"/>
        <v>249.86711159083032</v>
      </c>
      <c r="R27" s="62">
        <f t="shared" si="0"/>
        <v>514.78685945509733</v>
      </c>
      <c r="S27" s="62">
        <f ca="1">AVERAGE(OFFSET($R$3,0,0,'Données projet'!$E$9+1,1))-AVERAGE(OFFSET($H$3,0,0,'Données projet'!$E$9+1,1))</f>
        <v>341.05096821796769</v>
      </c>
      <c r="T27" s="62">
        <f t="shared" si="34"/>
        <v>400.72519822215168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projet'!$B$9,Paramètres!$A$1:$I$88,7,0))</f>
        <v>0</v>
      </c>
      <c r="X27" s="17">
        <f>IF(ISNA(VLOOKUP(A27,'Données projet'!$A$35:$I$55,6,0)),0%,VLOOKUP(A27,'Données projet'!$A$35:$I$55,6,0)*VLOOKUP('Données projet'!$B$9,Paramètres!$A$1:$I$88,7,0))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projet'!$B$9,Paramètres!$A$1:$I$88,3,0)*0.475*44/12</f>
        <v>0</v>
      </c>
      <c r="AA27" s="23">
        <f>EXP(-LN(2)/25)*AA26+(1-EXP(-LN(2)/25))/(LN(2)/25)*Calculateur!V27*Calculateur!X27*VLOOKUP('Données projet'!$B$9,Paramètres!$A$1:$I$88,3,0)*0.475*44/12</f>
        <v>0</v>
      </c>
      <c r="AB27" s="23">
        <f>EXP(-LN(2)/2)*AB26+(1-EXP(-LN(2)/2))/(LN(2)/2)*V27*Y27*VLOOKUP('Données projet'!$B$9,Paramètres!$A$1:$I$88,3,0)*0.475*44/12</f>
        <v>0</v>
      </c>
      <c r="AC27" s="24">
        <f t="shared" si="3"/>
        <v>0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64.25084032661826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>
        <f>VLOOKUP(A27,'Données projet'!$A$61:$I$81,2,0)</f>
        <v>120.9</v>
      </c>
      <c r="AG27" s="13">
        <f>VLOOKUP(A27,'Données projet'!$A$61:$I$81,9,0)</f>
        <v>11.025000000000002</v>
      </c>
      <c r="AH27" s="13">
        <f t="array" ref="AH27">INDEX(AG:AG,MIN(IF(ISNUMBER(AG27:AG223),ROW(AG27:AG223),"")))</f>
        <v>11.025000000000002</v>
      </c>
      <c r="AI27" s="14">
        <f>IF('Données projet'!$A$62&gt;35,AI26+AH27-AQ26,IF(A27&lt;'Données projet'!$A$62,$AF$205^A27,IF(A27='Données projet'!$A$62,'Données projet'!$B$62,AI26+AH27-AQ26)))</f>
        <v>120.90000000000003</v>
      </c>
      <c r="AJ27" s="14">
        <f>AI27*VLOOKUP('Données projet'!$B$10,Paramètres!$A$1:$I$88,3,0)*VLOOKUP('Données projet'!$B$10,Paramètres!$A$1:$I$88,5,0)</f>
        <v>72.298200000000023</v>
      </c>
      <c r="AK27" s="14">
        <f t="shared" si="35"/>
        <v>20.243104193750582</v>
      </c>
      <c r="AL27" s="22">
        <f t="shared" si="4"/>
        <v>161.17610480411562</v>
      </c>
      <c r="AM27" s="62">
        <f t="shared" si="5"/>
        <v>426.09585266838258</v>
      </c>
      <c r="AN27" s="62">
        <f ca="1">AVERAGE(OFFSET($AM$3,0,0,'Données projet'!$E$10+1,1))-AVERAGE(OFFSET($H$3,0,0,'Données projet'!$E$10+1,1))</f>
        <v>231.96474801342879</v>
      </c>
      <c r="AO27" s="62">
        <f t="shared" si="36"/>
        <v>237.75726086383668</v>
      </c>
      <c r="AP27" s="16">
        <f>IF(ISNA(VLOOKUP(A27,'Données projet'!$A$61:$I$81,3,0)),0,VLOOKUP(A27,'Données projet'!$A$61:$I$81,3,0))</f>
        <v>3</v>
      </c>
      <c r="AQ27" s="16">
        <f>IF(ISNA(VLOOKUP(A27,'Données projet'!$A$61:$I$81,4,0)),0,VLOOKUP(A27,'Données projet'!$A$61:$I$81,4,0))</f>
        <v>19.7</v>
      </c>
      <c r="AR27" s="17">
        <f>IF(ISNA(VLOOKUP(A27,'Données projet'!$A$61:$I$81,5,0)),0%,VLOOKUP(A27,'Données projet'!$A$61:$I$81,5,0)*VLOOKUP('Données projet'!$B$10,Paramètres!$A$1:$I$88,7,0))</f>
        <v>4.5000000000000005E-2</v>
      </c>
      <c r="AS27" s="17">
        <f>IF(ISNA(VLOOKUP(A27,'Données projet'!$A$61:$I$81,6,0)),0%,VLOOKUP(A27,'Données projet'!$A$61:$I$81,6,0)*VLOOKUP('Données projet'!$B$10,Paramètres!$A$1:$I$88,7,0))</f>
        <v>0.36000000000000004</v>
      </c>
      <c r="AT27" s="17">
        <f>IF(ISNA(VLOOKUP(A27,'Données projet'!$A$61:$I$81,7,0)),0%,VLOOKUP(A27,'Données projet'!$A$61:$I$81,7,0))</f>
        <v>0</v>
      </c>
      <c r="AU27" s="23">
        <f>EXP(-LN(2)/35)*AU26+(1-EXP(-LN(2)/35))/(LN(2)/35)*AQ27*AR27*VLOOKUP('Données projet'!$B$10,Paramètres!$A$1:$I$88,3,0)*0.475*44/12</f>
        <v>1.1583590333119256</v>
      </c>
      <c r="AV27" s="23">
        <f>EXP(-LN(2)/25)*AV26+(1-EXP(-LN(2)/25))/(LN(2)/25)*Calculateur!AQ27*Calculateur!AS27*VLOOKUP('Données projet'!$B$10,Paramètres!$A$1:$I$88,3,0)*0.475*44/12</f>
        <v>11.2820475488749</v>
      </c>
      <c r="AW27" s="23">
        <f>EXP(-LN(2)/2)*AW26+(1-EXP(-LN(2)/2))/(LN(2)/2)*AQ27*AT27*VLOOKUP('Données projet'!$B$10,Paramètres!$A$1:$I$88,3,0)*0.475*44/12</f>
        <v>0</v>
      </c>
      <c r="AX27" s="23">
        <f t="shared" si="6"/>
        <v>12.440406582186824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64.25084032661826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6.5217391304347823</v>
      </c>
      <c r="BD27" s="13">
        <f>IF('Données projet'!$A$88&gt;35,BD26+BC27-BL26,IF(A27&lt;'Données projet'!$A$88,$BA$205^A27,IF(A27='Données projet'!$A$88,'Données projet'!$B$88,BD26+BC27-BL26)))</f>
        <v>156.52173913043478</v>
      </c>
      <c r="BE27" s="14">
        <f>BD27*VLOOKUP('Données projet'!$B$11,Paramètres!$A$1:$I$88,3,0)*VLOOKUP('Données projet'!$B$11,Paramètres!$A$1:$I$88,5,0)</f>
        <v>73.252173913043478</v>
      </c>
      <c r="BF27" s="14">
        <f t="shared" si="37"/>
        <v>20.478940039090016</v>
      </c>
      <c r="BG27" s="22">
        <f t="shared" si="7"/>
        <v>163.24835679996582</v>
      </c>
      <c r="BH27" s="62">
        <f t="shared" si="8"/>
        <v>428.16810466423283</v>
      </c>
      <c r="BI27" s="62">
        <f ca="1">AVERAGE(OFFSET($BH$3,0,0,'Données projet'!$E$11+1,1))-AVERAGE(OFFSET($H$3,0,0,'Données projet'!$E$11+1,1))</f>
        <v>364.96458059055169</v>
      </c>
      <c r="BJ27" s="62">
        <f t="shared" si="38"/>
        <v>246.27159120786257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projet'!$B$11,Paramètres!$A$1:$I$88,7,0))</f>
        <v>0</v>
      </c>
      <c r="BN27" s="17">
        <f>IF(ISNA(VLOOKUP(A27,'Données projet'!$A$87:$I$107,6,0)),0%,VLOOKUP(A27,'Données projet'!$A$87:$I$107,6,0)*VLOOKUP('Données projet'!$B$11,Paramètres!$A$1:$I$88,7,0))</f>
        <v>0</v>
      </c>
      <c r="BO27" s="17">
        <f>IF(ISNA(VLOOKUP(A27,'Données projet'!$A$87:$I$107,7,0)),0%,VLOOKUP(A27,'Données projet'!$A$87:$I$107,7,0))</f>
        <v>0</v>
      </c>
      <c r="BP27" s="23">
        <f>EXP(-LN(2)/35)*BP26+(1-EXP(-LN(2)/35))/(LN(2)/35)*BL27*BM27*VLOOKUP('Données projet'!$B$11,Paramètres!$A$1:$I$88,3,0)*0.475*44/12</f>
        <v>0</v>
      </c>
      <c r="BQ27" s="23">
        <f>EXP(-LN(2)/25)*BQ26+(1-EXP(-LN(2)/25))/(LN(2)/25)*Calculateur!BL27*Calculateur!BN27*VLOOKUP('Données projet'!$B$11,Paramètres!$A$1:$I$88,3,0)*0.475*44/12</f>
        <v>0</v>
      </c>
      <c r="BR27" s="23">
        <f>EXP(-LN(2)/2)*BR26+(1-EXP(-LN(2)/2))/(LN(2)/2)*BL27*BO27*VLOOKUP('Données projet'!$B$11,Paramètres!$A$1:$I$88,3,0)*0.475*44/12</f>
        <v>0</v>
      </c>
      <c r="BS27" s="24">
        <f t="shared" si="9"/>
        <v>0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64.25084032661826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4.1666667007873768</v>
      </c>
      <c r="BY27" s="13">
        <f>IF('Données projet'!$A$114&gt;35,BY26+BX27-CG26,IF(A27&lt;'Données projet'!$A$114,$BV$205^A27,IF(A27='Données projet'!$A$114,'Données projet'!$B$114,BY26+BX27-CG26)))</f>
        <v>100.00000081889701</v>
      </c>
      <c r="BZ27" s="14">
        <f>BY27*VLOOKUP('Données projet'!$B$12,Paramètres!$A$1:$I$88,3,0)*VLOOKUP('Données projet'!$B$12,Paramètres!$A$1:$I$88,5,0)</f>
        <v>101.40000083036156</v>
      </c>
      <c r="CA27" s="14">
        <f t="shared" si="39"/>
        <v>27.29525808495611</v>
      </c>
      <c r="CB27" s="22">
        <f t="shared" si="10"/>
        <v>224.14424261084494</v>
      </c>
      <c r="CC27" s="62">
        <f t="shared" si="11"/>
        <v>489.06399047511195</v>
      </c>
      <c r="CD27" s="62">
        <f ca="1">AVERAGE(OFFSET($CC$3,0,0,'Données projet'!$E$12+1,1))-AVERAGE(OFFSET($H$3,0,0,'Données projet'!$E$12+1,1))</f>
        <v>310.53598044763282</v>
      </c>
      <c r="CE27" s="62">
        <f t="shared" si="40"/>
        <v>322.01096634040596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projet'!$B$12,Paramètres!$A$1:$I$88,7,0))</f>
        <v>0</v>
      </c>
      <c r="CI27" s="17">
        <f>IF(ISNA(VLOOKUP(A27,'Données projet'!$A$113:$I$133,6,0)),0%,VLOOKUP(A27,'Données projet'!$A$113:$I$133,6,0)*VLOOKUP('Données projet'!$B$12,Paramètres!$A$1:$I$88,7,0))</f>
        <v>0</v>
      </c>
      <c r="CJ27" s="17">
        <f>IF(ISNA(VLOOKUP(A27,'Données projet'!$A$113:$I$133,7,0)),0%,VLOOKUP(A27,'Données projet'!$A$113:$I$133,7,0))</f>
        <v>0</v>
      </c>
      <c r="CK27" s="23">
        <f>EXP(-LN(2)/35)*CK26+(1-EXP(-LN(2)/35))/(LN(2)/35)*CG27*CH27*VLOOKUP('Données projet'!$B$12,Paramètres!$A$1:$I$88,3,0)*0.475*44/12</f>
        <v>0</v>
      </c>
      <c r="CL27" s="23">
        <f>EXP(-LN(2)/25)*CL26+(1-EXP(-LN(2)/25))/(LN(2)/25)*Calculateur!CG27*Calculateur!CI27*VLOOKUP('Données projet'!$B$12,Paramètres!$A$1:$I$88,3,0)*0.475*44/12</f>
        <v>0</v>
      </c>
      <c r="CM27" s="23">
        <f>EXP(-LN(2)/2)*CM26+(1-EXP(-LN(2)/2))/(LN(2)/2)*CG27*CJ27*VLOOKUP('Données projet'!$B$12,Paramètres!$A$1:$I$88,3,0)*0.475*44/12</f>
        <v>0</v>
      </c>
      <c r="CN27" s="24">
        <f t="shared" si="12"/>
        <v>0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64.25084032661826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projet'!$B$13,Paramètres!$A$1:$I$88,3,0)*VLOOKUP('Données projet'!$B$13,Paramètres!$A$1:$I$88,5,0)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projet'!$B$13,Paramètres!$A$1:$I$88,7,0))</f>
        <v>0</v>
      </c>
      <c r="DD27" s="17">
        <f>IF(ISNA(VLOOKUP(A27,'Données projet'!$A$139:$I$159,6,0)),0%,VLOOKUP(A27,'Données projet'!$A$139:$I$159,6,0)*VLOOKUP('Données projet'!$B$13,Paramètres!$A$1:$I$88,7,0))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projet'!$B$13,Paramètres!$A$1:$I$88,3,0)*0.475*44/12</f>
        <v>#N/A</v>
      </c>
      <c r="DG27" s="23" t="e">
        <f>EXP(-LN(2)/25)*DG26+(1-EXP(-LN(2)/25))/(LN(2)/25)*Calculateur!DB27*Calculateur!DD27*VLOOKUP('Données projet'!$B$13,Paramètres!$A$1:$I$88,3,0)*0.475*44/12</f>
        <v>#N/A</v>
      </c>
      <c r="DH27" s="23" t="e">
        <f>EXP(-LN(2)/2)*DH26+(1-EXP(-LN(2)/2))/(LN(2)/2)*DB27*DE27*VLOOKUP('Données projet'!$B$13,Paramètres!$A$1:$I$88,3,0)*0.475*44/12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64.25084032661826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projet'!$B$14,Paramètres!$A$1:$I$88,3,0)*VLOOKUP('Données projet'!$B$14,Paramètres!$A$1:$I$88,5,0)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projet'!$B$14,Paramètres!$A$1:$I$88,7,0))</f>
        <v>0</v>
      </c>
      <c r="DY27" s="17">
        <f>IF(ISNA(VLOOKUP(A27,'Données projet'!$A$165:$I$185,6,0)),0%,VLOOKUP(A27,'Données projet'!$A$165:$I$185,6,0)*VLOOKUP('Données projet'!$B$14,Paramètres!$A$1:$I$88,7,0))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projet'!$B$14,Paramètres!$A$1:$I$88,3,0)*0.475*44/12</f>
        <v>#N/A</v>
      </c>
      <c r="EB27" s="23" t="e">
        <f>EXP(-LN(2)/25)*EB26+(1-EXP(-LN(2)/25))/(LN(2)/25)*Calculateur!DW27*Calculateur!DY27*VLOOKUP('Données projet'!$B$14,Paramètres!$A$1:$I$88,3,0)*0.475*44/12</f>
        <v>#N/A</v>
      </c>
      <c r="EC27" s="23" t="e">
        <f>EXP(-LN(2)/2)*EC26+(1-EXP(-LN(2)/2))/(LN(2)/2)*DW27*DZ27*VLOOKUP('Données projet'!$B$14,Paramètres!$A$1:$I$88,3,0)*0.475*44/12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64.25084032661826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projet'!$B$15,Paramètres!$A$1:$I$88,3,0)*VLOOKUP('Données projet'!$B$15,Paramètres!$A$1:$I$88,5,0)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projet'!$B$15,Paramètres!$A$1:$I$88,7,0))</f>
        <v>0</v>
      </c>
      <c r="ET27" s="17">
        <f>IF(ISNA(VLOOKUP(A27,'Données projet'!$A$191:$I$211,6,0)),0%,VLOOKUP(A27,'Données projet'!$A$191:$I$211,6,0)*VLOOKUP('Données projet'!$B$15,Paramètres!$A$1:$I$88,7,0))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projet'!$B$15,Paramètres!$A$1:$I$88,3,0)*0.475*44/12</f>
        <v>#N/A</v>
      </c>
      <c r="EW27" s="23" t="e">
        <f>EXP(-LN(2)/25)*EW26+(1-EXP(-LN(2)/25))/(LN(2)/25)*Calculateur!ER27*Calculateur!ET27*VLOOKUP('Données projet'!$B$15,Paramètres!$A$1:$I$88,3,0)*0.475*44/12</f>
        <v>#N/A</v>
      </c>
      <c r="EX27" s="23" t="e">
        <f>EXP(-LN(2)/2)*EX26+(1-EXP(-LN(2)/2))/(LN(2)/2)*ER27*EU27*VLOOKUP('Données projet'!$B$15,Paramètres!$A$1:$I$88,3,0)*0.475*44/12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64.25084032661826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projet'!$B$16,Paramètres!$A$1:$I$88,3,0)*VLOOKUP('Données projet'!$B$16,Paramètres!$A$1:$I$88,5,0)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projet'!$B$16,Paramètres!$A$1:$I$88,7,0))</f>
        <v>0</v>
      </c>
      <c r="FO27" s="17">
        <f>IF(ISNA(VLOOKUP(A27,'Données projet'!$A$217:$I$237,6,0)),0%,VLOOKUP(A27,'Données projet'!$A$217:$I$237,6,0)*VLOOKUP('Données projet'!$B$16,Paramètres!$A$1:$I$88,7,0))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projet'!$B$16,Paramètres!$A$1:$I$88,3,0)*0.475*44/12</f>
        <v>#N/A</v>
      </c>
      <c r="FR27" s="23" t="e">
        <f>EXP(-LN(2)/25)*FR26+(1-EXP(-LN(2)/25))/(LN(2)/25)*Calculateur!FM27*Calculateur!FO27*VLOOKUP('Données projet'!$B$16,Paramètres!$A$1:$I$88,3,0)*0.475*44/12</f>
        <v>#N/A</v>
      </c>
      <c r="FS27" s="23" t="e">
        <f>EXP(-LN(2)/2)*FS26+(1-EXP(-LN(2)/2))/(LN(2)/2)*FM27*FP27*VLOOKUP('Données projet'!$B$16,Paramètres!$A$1:$I$88,3,0)*0.475*44/12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64.25084032661826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projet'!$B$17,Paramètres!$A$1:$I$88,3,0)*VLOOKUP('Données projet'!$B$17,Paramètres!$A$1:$I$88,5,0)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projet'!$B$17,Paramètres!$A$1:$I$88,7,0))</f>
        <v>0</v>
      </c>
      <c r="GJ27" s="17">
        <f>IF(ISNA(VLOOKUP(A27,'Données projet'!$A$243:$I$263,6,0)),0%,VLOOKUP(A27,'Données projet'!$A$243:$I$263,6,0)*VLOOKUP('Données projet'!$B$17,Paramètres!$A$1:$I$88,7,0))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projet'!$B$17,Paramètres!$A$1:$I$88,3,0)*0.475*44/12</f>
        <v>#N/A</v>
      </c>
      <c r="GM27" s="23" t="e">
        <f>EXP(-LN(2)/25)*GM26+(1-EXP(-LN(2)/25))/(LN(2)/25)*Calculateur!GH27*Calculateur!GJ27*VLOOKUP('Données projet'!$B$17,Paramètres!$A$1:$I$88,3,0)*0.475*44/12</f>
        <v>#N/A</v>
      </c>
      <c r="GN27" s="23" t="e">
        <f>EXP(-LN(2)/2)*GN26+(1-EXP(-LN(2)/2))/(LN(2)/2)*GH27*GK27*VLOOKUP('Données projet'!$B$17,Paramètres!$A$1:$I$88,3,0)*0.475*44/12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64.25084032661826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projet'!$B$18,Paramètres!$A$1:$I$88,3,0)*VLOOKUP('Données projet'!$B$18,Paramètres!$A$1:$I$88,5,0)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projet'!$B$18,Paramètres!$A$1:$I$88,7,0))</f>
        <v>0</v>
      </c>
      <c r="HE27" s="17">
        <f>IF(ISNA(VLOOKUP(A27,'Données projet'!$A$269:$I$289,6,0)),0%,VLOOKUP(A27,'Données projet'!$A$269:$I$289,6,0)*VLOOKUP('Données projet'!$B$18,Paramètres!$A$1:$I$88,7,0))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projet'!$B$18,Paramètres!$A$1:$I$88,3,0)*0.475*44/12</f>
        <v>#N/A</v>
      </c>
      <c r="HH27" s="23" t="e">
        <f>EXP(-LN(2)/25)*HH26+(1-EXP(-LN(2)/25))/(LN(2)/25)*Calculateur!HC27*Calculateur!HE27*VLOOKUP('Données projet'!$B$18,Paramètres!$A$1:$I$88,3,0)*0.475*44/12</f>
        <v>#N/A</v>
      </c>
      <c r="HI27" s="23" t="e">
        <f>EXP(-LN(2)/2)*HI26+(1-EXP(-LN(2)/2))/(LN(2)/2)*HC27*HF27*VLOOKUP('Données projet'!$B$18,Paramètres!$A$1:$I$88,3,0)*0.475*44/12</f>
        <v>#N/A</v>
      </c>
      <c r="HJ27" s="24" t="e">
        <f t="shared" si="30"/>
        <v>#N/A</v>
      </c>
    </row>
    <row r="28" spans="1:218" s="5" customFormat="1" x14ac:dyDescent="0.35">
      <c r="A28" s="11">
        <f t="shared" si="31"/>
        <v>25</v>
      </c>
      <c r="B28" s="77">
        <f>'Scénario référence'!$B$16*5+'Scénario référence'!$B$17*0+'Scénario référence'!$B$18*5</f>
        <v>1.75</v>
      </c>
      <c r="C28" s="20">
        <f>Calculateur!C27+'Scénario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28" s="12">
        <f t="shared" si="3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6.416666666666667</v>
      </c>
      <c r="H28" s="70">
        <f t="shared" si="1"/>
        <v>231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64.350575393755946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>
        <f>VLOOKUP(A28,'Données projet'!$A$35:$I$55,2,0)</f>
        <v>253</v>
      </c>
      <c r="L28" s="13">
        <f>VLOOKUP(A28,'Données projet'!$A$35:$I$55,9,0)</f>
        <v>10.119999999999999</v>
      </c>
      <c r="M28" s="13">
        <f t="array" ref="M28">INDEX(L:L,MIN(IF(ISNUMBER(L28:L224),ROW(L28:L224),"")))</f>
        <v>10.119999999999999</v>
      </c>
      <c r="N28" s="14">
        <f>IF('Données projet'!$A$36&gt;35,N27+M28-V27,IF(A28&lt;'Données projet'!$A$36,$K$205^A28,IF(A28='Données projet'!$A$36,'Données projet'!$B$36,N27+M28-V27)))</f>
        <v>253</v>
      </c>
      <c r="O28" s="14">
        <f>N28*VLOOKUP('Données projet'!$B$9,Paramètres!$A$1:$I$88,3,0)*VLOOKUP('Données projet'!$B$9,Paramètres!$A$1:$I$88,5,0)</f>
        <v>141.42699999999999</v>
      </c>
      <c r="P28" s="14">
        <f t="shared" si="33"/>
        <v>36.623717959686019</v>
      </c>
      <c r="Q28" s="22">
        <f t="shared" si="2"/>
        <v>310.10500044645312</v>
      </c>
      <c r="R28" s="62">
        <f t="shared" si="0"/>
        <v>576.61266577911374</v>
      </c>
      <c r="S28" s="62">
        <f ca="1">AVERAGE(OFFSET($R$3,0,0,'Données projet'!$E$9+1,1))-AVERAGE(OFFSET($H$3,0,0,'Données projet'!$E$9+1,1))</f>
        <v>341.05096821796769</v>
      </c>
      <c r="T28" s="62">
        <f t="shared" si="34"/>
        <v>400.72519822215168</v>
      </c>
      <c r="U28" s="16">
        <f>IF(ISNA(VLOOKUP(A28,'Données projet'!$A$35:$I$55,3,0)),0,VLOOKUP(A28,'Données projet'!$A$35:$I$55,3,0))</f>
        <v>1</v>
      </c>
      <c r="V28" s="16">
        <f>IF(ISNA(VLOOKUP(A28,'Données projet'!$A$35:$I$55,4,0)),0,VLOOKUP(A28,'Données projet'!$A$35:$I$55,4,0))</f>
        <v>59</v>
      </c>
      <c r="W28" s="17">
        <f>IF(ISNA(VLOOKUP(A28,'Données projet'!$A$35:$I$55,5,0)),0%,VLOOKUP(A28,'Données projet'!$A$35:$I$55,5,0)*VLOOKUP('Données projet'!$B$9,Paramètres!$A$1:$I$88,7,0))</f>
        <v>5.5000000000000007E-2</v>
      </c>
      <c r="X28" s="17">
        <f>IF(ISNA(VLOOKUP(A28,'Données projet'!$A$35:$I$55,6,0)),0%,VLOOKUP(A28,'Données projet'!$A$35:$I$55,6,0)*VLOOKUP('Données projet'!$B$9,Paramètres!$A$1:$I$88,7,0))</f>
        <v>0.44000000000000006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projet'!$B$9,Paramètres!$A$1:$I$88,3,0)*0.475*44/12</f>
        <v>2.4063282267668318</v>
      </c>
      <c r="AA28" s="23">
        <f>EXP(-LN(2)/25)*AA27+(1-EXP(-LN(2)/25))/(LN(2)/25)*Calculateur!V28*Calculateur!X28*VLOOKUP('Données projet'!$B$9,Paramètres!$A$1:$I$88,3,0)*0.475*44/12</f>
        <v>19.174828765240907</v>
      </c>
      <c r="AB28" s="23">
        <f>EXP(-LN(2)/2)*AB27+(1-EXP(-LN(2)/2))/(LN(2)/2)*V28*Y28*VLOOKUP('Données projet'!$B$9,Paramètres!$A$1:$I$88,3,0)*0.475*44/12</f>
        <v>0</v>
      </c>
      <c r="AC28" s="24">
        <f t="shared" si="3"/>
        <v>21.581156992007738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64.350575393755946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11.3</v>
      </c>
      <c r="AI28" s="14">
        <f>IF('Données projet'!$A$62&gt;35,AI27+AH28-AQ27,IF(A28&lt;'Données projet'!$A$62,$AF$205^A28,IF(A28='Données projet'!$A$62,'Données projet'!$B$62,AI27+AH28-AQ27)))</f>
        <v>112.50000000000004</v>
      </c>
      <c r="AJ28" s="14">
        <f>AI28*VLOOKUP('Données projet'!$B$10,Paramètres!$A$1:$I$88,3,0)*VLOOKUP('Données projet'!$B$10,Paramètres!$A$1:$I$88,5,0)</f>
        <v>67.275000000000034</v>
      </c>
      <c r="AK28" s="14">
        <f t="shared" si="35"/>
        <v>18.995188159468483</v>
      </c>
      <c r="AL28" s="22">
        <f t="shared" si="4"/>
        <v>150.25391104440766</v>
      </c>
      <c r="AM28" s="62">
        <f t="shared" si="5"/>
        <v>416.76157637706831</v>
      </c>
      <c r="AN28" s="62">
        <f ca="1">AVERAGE(OFFSET($AM$3,0,0,'Données projet'!$E$10+1,1))-AVERAGE(OFFSET($H$3,0,0,'Données projet'!$E$10+1,1))</f>
        <v>231.96474801342879</v>
      </c>
      <c r="AO28" s="62">
        <f t="shared" si="36"/>
        <v>237.75726086383668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projet'!$B$10,Paramètres!$A$1:$I$88,7,0))</f>
        <v>0</v>
      </c>
      <c r="AS28" s="17">
        <f>IF(ISNA(VLOOKUP(A28,'Données projet'!$A$61:$I$81,6,0)),0%,VLOOKUP(A28,'Données projet'!$A$61:$I$81,6,0)*VLOOKUP('Données projet'!$B$10,Paramètres!$A$1:$I$88,7,0))</f>
        <v>0</v>
      </c>
      <c r="AT28" s="17">
        <f>IF(ISNA(VLOOKUP(A28,'Données projet'!$A$61:$I$81,7,0)),0%,VLOOKUP(A28,'Données projet'!$A$61:$I$81,7,0))</f>
        <v>0</v>
      </c>
      <c r="AU28" s="23">
        <f>EXP(-LN(2)/35)*AU27+(1-EXP(-LN(2)/35))/(LN(2)/35)*AQ28*AR28*VLOOKUP('Données projet'!$B$10,Paramètres!$A$1:$I$88,3,0)*0.475*44/12</f>
        <v>1.1356443191979251</v>
      </c>
      <c r="AV28" s="23">
        <f>EXP(-LN(2)/25)*AV27+(1-EXP(-LN(2)/25))/(LN(2)/25)*Calculateur!AQ28*Calculateur!AS28*VLOOKUP('Données projet'!$B$10,Paramètres!$A$1:$I$88,3,0)*0.475*44/12</f>
        <v>10.973539365353821</v>
      </c>
      <c r="AW28" s="23">
        <f>EXP(-LN(2)/2)*AW27+(1-EXP(-LN(2)/2))/(LN(2)/2)*AQ28*AT28*VLOOKUP('Données projet'!$B$10,Paramètres!$A$1:$I$88,3,0)*0.475*44/12</f>
        <v>0</v>
      </c>
      <c r="AX28" s="23">
        <f t="shared" si="6"/>
        <v>12.109183684551745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64.350575393755946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6.5217391304347823</v>
      </c>
      <c r="BD28" s="13">
        <f>IF('Données projet'!$A$88&gt;35,BD27+BC28-BL27,IF(A28&lt;'Données projet'!$A$88,$BA$205^A28,IF(A28='Données projet'!$A$88,'Données projet'!$B$88,BD27+BC28-BL27)))</f>
        <v>163.04347826086956</v>
      </c>
      <c r="BE28" s="14">
        <f>BD28*VLOOKUP('Données projet'!$B$11,Paramètres!$A$1:$I$88,3,0)*VLOOKUP('Données projet'!$B$11,Paramètres!$A$1:$I$88,5,0)</f>
        <v>76.304347826086953</v>
      </c>
      <c r="BF28" s="14">
        <f t="shared" si="37"/>
        <v>21.231105720546942</v>
      </c>
      <c r="BG28" s="22">
        <f t="shared" si="7"/>
        <v>169.87424826038736</v>
      </c>
      <c r="BH28" s="62">
        <f t="shared" si="8"/>
        <v>436.38191359304801</v>
      </c>
      <c r="BI28" s="62">
        <f ca="1">AVERAGE(OFFSET($BH$3,0,0,'Données projet'!$E$11+1,1))-AVERAGE(OFFSET($H$3,0,0,'Données projet'!$E$11+1,1))</f>
        <v>364.96458059055169</v>
      </c>
      <c r="BJ28" s="62">
        <f t="shared" si="38"/>
        <v>246.27159120786257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projet'!$B$11,Paramètres!$A$1:$I$88,7,0))</f>
        <v>0</v>
      </c>
      <c r="BN28" s="17">
        <f>IF(ISNA(VLOOKUP(A28,'Données projet'!$A$87:$I$107,6,0)),0%,VLOOKUP(A28,'Données projet'!$A$87:$I$107,6,0)*VLOOKUP('Données projet'!$B$11,Paramètres!$A$1:$I$88,7,0))</f>
        <v>0</v>
      </c>
      <c r="BO28" s="17">
        <f>IF(ISNA(VLOOKUP(A28,'Données projet'!$A$87:$I$107,7,0)),0%,VLOOKUP(A28,'Données projet'!$A$87:$I$107,7,0))</f>
        <v>0</v>
      </c>
      <c r="BP28" s="23">
        <f>EXP(-LN(2)/35)*BP27+(1-EXP(-LN(2)/35))/(LN(2)/35)*BL28*BM28*VLOOKUP('Données projet'!$B$11,Paramètres!$A$1:$I$88,3,0)*0.475*44/12</f>
        <v>0</v>
      </c>
      <c r="BQ28" s="23">
        <f>EXP(-LN(2)/25)*BQ27+(1-EXP(-LN(2)/25))/(LN(2)/25)*Calculateur!BL28*Calculateur!BN28*VLOOKUP('Données projet'!$B$11,Paramètres!$A$1:$I$88,3,0)*0.475*44/12</f>
        <v>0</v>
      </c>
      <c r="BR28" s="23">
        <f>EXP(-LN(2)/2)*BR27+(1-EXP(-LN(2)/2))/(LN(2)/2)*BL28*BO28*VLOOKUP('Données projet'!$B$11,Paramètres!$A$1:$I$88,3,0)*0.475*44/12</f>
        <v>0</v>
      </c>
      <c r="BS28" s="24">
        <f t="shared" si="9"/>
        <v>0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64.350575393755946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4.1666667007873768</v>
      </c>
      <c r="BY28" s="13">
        <f>IF('Données projet'!$A$114&gt;35,BY27+BX28-CG27,IF(A28&lt;'Données projet'!$A$114,$BV$205^A28,IF(A28='Données projet'!$A$114,'Données projet'!$B$114,BY27+BX28-CG27)))</f>
        <v>104.16666751968438</v>
      </c>
      <c r="BZ28" s="14">
        <f>BY28*VLOOKUP('Données projet'!$B$12,Paramètres!$A$1:$I$88,3,0)*VLOOKUP('Données projet'!$B$12,Paramètres!$A$1:$I$88,5,0)</f>
        <v>105.62500086495997</v>
      </c>
      <c r="CA28" s="14">
        <f t="shared" si="39"/>
        <v>28.297778545430425</v>
      </c>
      <c r="CB28" s="22">
        <f t="shared" si="10"/>
        <v>233.24884080642994</v>
      </c>
      <c r="CC28" s="62">
        <f t="shared" si="11"/>
        <v>499.75650613909062</v>
      </c>
      <c r="CD28" s="62">
        <f ca="1">AVERAGE(OFFSET($CC$3,0,0,'Données projet'!$E$12+1,1))-AVERAGE(OFFSET($H$3,0,0,'Données projet'!$E$12+1,1))</f>
        <v>310.53598044763282</v>
      </c>
      <c r="CE28" s="62">
        <f t="shared" si="40"/>
        <v>322.01096634040596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projet'!$B$12,Paramètres!$A$1:$I$88,7,0))</f>
        <v>0</v>
      </c>
      <c r="CI28" s="17">
        <f>IF(ISNA(VLOOKUP(A28,'Données projet'!$A$113:$I$133,6,0)),0%,VLOOKUP(A28,'Données projet'!$A$113:$I$133,6,0)*VLOOKUP('Données projet'!$B$12,Paramètres!$A$1:$I$88,7,0))</f>
        <v>0</v>
      </c>
      <c r="CJ28" s="17">
        <f>IF(ISNA(VLOOKUP(A28,'Données projet'!$A$113:$I$133,7,0)),0%,VLOOKUP(A28,'Données projet'!$A$113:$I$133,7,0))</f>
        <v>0</v>
      </c>
      <c r="CK28" s="23">
        <f>EXP(-LN(2)/35)*CK27+(1-EXP(-LN(2)/35))/(LN(2)/35)*CG28*CH28*VLOOKUP('Données projet'!$B$12,Paramètres!$A$1:$I$88,3,0)*0.475*44/12</f>
        <v>0</v>
      </c>
      <c r="CL28" s="23">
        <f>EXP(-LN(2)/25)*CL27+(1-EXP(-LN(2)/25))/(LN(2)/25)*Calculateur!CG28*Calculateur!CI28*VLOOKUP('Données projet'!$B$12,Paramètres!$A$1:$I$88,3,0)*0.475*44/12</f>
        <v>0</v>
      </c>
      <c r="CM28" s="23">
        <f>EXP(-LN(2)/2)*CM27+(1-EXP(-LN(2)/2))/(LN(2)/2)*CG28*CJ28*VLOOKUP('Données projet'!$B$12,Paramètres!$A$1:$I$88,3,0)*0.475*44/12</f>
        <v>0</v>
      </c>
      <c r="CN28" s="24">
        <f t="shared" si="12"/>
        <v>0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64.350575393755946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projet'!$B$13,Paramètres!$A$1:$I$88,3,0)*VLOOKUP('Données projet'!$B$13,Paramètres!$A$1:$I$88,5,0)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projet'!$B$13,Paramètres!$A$1:$I$88,7,0))</f>
        <v>0</v>
      </c>
      <c r="DD28" s="17">
        <f>IF(ISNA(VLOOKUP(A28,'Données projet'!$A$139:$I$159,6,0)),0%,VLOOKUP(A28,'Données projet'!$A$139:$I$159,6,0)*VLOOKUP('Données projet'!$B$13,Paramètres!$A$1:$I$88,7,0))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projet'!$B$13,Paramètres!$A$1:$I$88,3,0)*0.475*44/12</f>
        <v>#N/A</v>
      </c>
      <c r="DG28" s="23" t="e">
        <f>EXP(-LN(2)/25)*DG27+(1-EXP(-LN(2)/25))/(LN(2)/25)*Calculateur!DB28*Calculateur!DD28*VLOOKUP('Données projet'!$B$13,Paramètres!$A$1:$I$88,3,0)*0.475*44/12</f>
        <v>#N/A</v>
      </c>
      <c r="DH28" s="23" t="e">
        <f>EXP(-LN(2)/2)*DH27+(1-EXP(-LN(2)/2))/(LN(2)/2)*DB28*DE28*VLOOKUP('Données projet'!$B$13,Paramètres!$A$1:$I$88,3,0)*0.475*44/12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64.350575393755946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projet'!$B$14,Paramètres!$A$1:$I$88,3,0)*VLOOKUP('Données projet'!$B$14,Paramètres!$A$1:$I$88,5,0)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projet'!$B$14,Paramètres!$A$1:$I$88,7,0))</f>
        <v>0</v>
      </c>
      <c r="DY28" s="17">
        <f>IF(ISNA(VLOOKUP(A28,'Données projet'!$A$165:$I$185,6,0)),0%,VLOOKUP(A28,'Données projet'!$A$165:$I$185,6,0)*VLOOKUP('Données projet'!$B$14,Paramètres!$A$1:$I$88,7,0))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projet'!$B$14,Paramètres!$A$1:$I$88,3,0)*0.475*44/12</f>
        <v>#N/A</v>
      </c>
      <c r="EB28" s="23" t="e">
        <f>EXP(-LN(2)/25)*EB27+(1-EXP(-LN(2)/25))/(LN(2)/25)*Calculateur!DW28*Calculateur!DY28*VLOOKUP('Données projet'!$B$14,Paramètres!$A$1:$I$88,3,0)*0.475*44/12</f>
        <v>#N/A</v>
      </c>
      <c r="EC28" s="23" t="e">
        <f>EXP(-LN(2)/2)*EC27+(1-EXP(-LN(2)/2))/(LN(2)/2)*DW28*DZ28*VLOOKUP('Données projet'!$B$14,Paramètres!$A$1:$I$88,3,0)*0.475*44/12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64.350575393755946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projet'!$B$15,Paramètres!$A$1:$I$88,3,0)*VLOOKUP('Données projet'!$B$15,Paramètres!$A$1:$I$88,5,0)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projet'!$B$15,Paramètres!$A$1:$I$88,7,0))</f>
        <v>0</v>
      </c>
      <c r="ET28" s="17">
        <f>IF(ISNA(VLOOKUP(A28,'Données projet'!$A$191:$I$211,6,0)),0%,VLOOKUP(A28,'Données projet'!$A$191:$I$211,6,0)*VLOOKUP('Données projet'!$B$15,Paramètres!$A$1:$I$88,7,0))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projet'!$B$15,Paramètres!$A$1:$I$88,3,0)*0.475*44/12</f>
        <v>#N/A</v>
      </c>
      <c r="EW28" s="23" t="e">
        <f>EXP(-LN(2)/25)*EW27+(1-EXP(-LN(2)/25))/(LN(2)/25)*Calculateur!ER28*Calculateur!ET28*VLOOKUP('Données projet'!$B$15,Paramètres!$A$1:$I$88,3,0)*0.475*44/12</f>
        <v>#N/A</v>
      </c>
      <c r="EX28" s="23" t="e">
        <f>EXP(-LN(2)/2)*EX27+(1-EXP(-LN(2)/2))/(LN(2)/2)*ER28*EU28*VLOOKUP('Données projet'!$B$15,Paramètres!$A$1:$I$88,3,0)*0.475*44/12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64.350575393755946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projet'!$B$16,Paramètres!$A$1:$I$88,3,0)*VLOOKUP('Données projet'!$B$16,Paramètres!$A$1:$I$88,5,0)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projet'!$B$16,Paramètres!$A$1:$I$88,7,0))</f>
        <v>0</v>
      </c>
      <c r="FO28" s="17">
        <f>IF(ISNA(VLOOKUP(A28,'Données projet'!$A$217:$I$237,6,0)),0%,VLOOKUP(A28,'Données projet'!$A$217:$I$237,6,0)*VLOOKUP('Données projet'!$B$16,Paramètres!$A$1:$I$88,7,0))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projet'!$B$16,Paramètres!$A$1:$I$88,3,0)*0.475*44/12</f>
        <v>#N/A</v>
      </c>
      <c r="FR28" s="23" t="e">
        <f>EXP(-LN(2)/25)*FR27+(1-EXP(-LN(2)/25))/(LN(2)/25)*Calculateur!FM28*Calculateur!FO28*VLOOKUP('Données projet'!$B$16,Paramètres!$A$1:$I$88,3,0)*0.475*44/12</f>
        <v>#N/A</v>
      </c>
      <c r="FS28" s="23" t="e">
        <f>EXP(-LN(2)/2)*FS27+(1-EXP(-LN(2)/2))/(LN(2)/2)*FM28*FP28*VLOOKUP('Données projet'!$B$16,Paramètres!$A$1:$I$88,3,0)*0.475*44/12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64.350575393755946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projet'!$B$17,Paramètres!$A$1:$I$88,3,0)*VLOOKUP('Données projet'!$B$17,Paramètres!$A$1:$I$88,5,0)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projet'!$B$17,Paramètres!$A$1:$I$88,7,0))</f>
        <v>0</v>
      </c>
      <c r="GJ28" s="17">
        <f>IF(ISNA(VLOOKUP(A28,'Données projet'!$A$243:$I$263,6,0)),0%,VLOOKUP(A28,'Données projet'!$A$243:$I$263,6,0)*VLOOKUP('Données projet'!$B$17,Paramètres!$A$1:$I$88,7,0))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projet'!$B$17,Paramètres!$A$1:$I$88,3,0)*0.475*44/12</f>
        <v>#N/A</v>
      </c>
      <c r="GM28" s="23" t="e">
        <f>EXP(-LN(2)/25)*GM27+(1-EXP(-LN(2)/25))/(LN(2)/25)*Calculateur!GH28*Calculateur!GJ28*VLOOKUP('Données projet'!$B$17,Paramètres!$A$1:$I$88,3,0)*0.475*44/12</f>
        <v>#N/A</v>
      </c>
      <c r="GN28" s="23" t="e">
        <f>EXP(-LN(2)/2)*GN27+(1-EXP(-LN(2)/2))/(LN(2)/2)*GH28*GK28*VLOOKUP('Données projet'!$B$17,Paramètres!$A$1:$I$88,3,0)*0.475*44/12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64.350575393755946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projet'!$B$18,Paramètres!$A$1:$I$88,3,0)*VLOOKUP('Données projet'!$B$18,Paramètres!$A$1:$I$88,5,0)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projet'!$B$18,Paramètres!$A$1:$I$88,7,0))</f>
        <v>0</v>
      </c>
      <c r="HE28" s="17">
        <f>IF(ISNA(VLOOKUP(A28,'Données projet'!$A$269:$I$289,6,0)),0%,VLOOKUP(A28,'Données projet'!$A$269:$I$289,6,0)*VLOOKUP('Données projet'!$B$18,Paramètres!$A$1:$I$88,7,0))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projet'!$B$18,Paramètres!$A$1:$I$88,3,0)*0.475*44/12</f>
        <v>#N/A</v>
      </c>
      <c r="HH28" s="23" t="e">
        <f>EXP(-LN(2)/25)*HH27+(1-EXP(-LN(2)/25))/(LN(2)/25)*Calculateur!HC28*Calculateur!HE28*VLOOKUP('Données projet'!$B$18,Paramètres!$A$1:$I$88,3,0)*0.475*44/12</f>
        <v>#N/A</v>
      </c>
      <c r="HI28" s="23" t="e">
        <f>EXP(-LN(2)/2)*HI27+(1-EXP(-LN(2)/2))/(LN(2)/2)*HC28*HF28*VLOOKUP('Données projet'!$B$18,Paramètres!$A$1:$I$88,3,0)*0.475*44/12</f>
        <v>#N/A</v>
      </c>
      <c r="HJ28" s="24" t="e">
        <f t="shared" si="30"/>
        <v>#N/A</v>
      </c>
    </row>
    <row r="29" spans="1:218" s="5" customFormat="1" x14ac:dyDescent="0.35">
      <c r="A29" s="11">
        <f t="shared" si="31"/>
        <v>26</v>
      </c>
      <c r="B29" s="77">
        <f>'Scénario référence'!$B$16*5+'Scénario référence'!$B$17*0+'Scénario référence'!$B$18*5</f>
        <v>1.75</v>
      </c>
      <c r="C29" s="20">
        <f>Calculateur!C28+'Scénario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29" s="12">
        <f t="shared" si="3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6.416666666666667</v>
      </c>
      <c r="H29" s="70">
        <f t="shared" si="1"/>
        <v>231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64.448580280453001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19.714285714285715</v>
      </c>
      <c r="N29" s="14">
        <f>IF('Données projet'!$A$36&gt;35,N28+M29-V28,IF(A29&lt;'Données projet'!$A$36,$K$205^A29,IF(A29='Données projet'!$A$36,'Données projet'!$B$36,N28+M29-V28)))</f>
        <v>213.71428571428572</v>
      </c>
      <c r="O29" s="14">
        <f>N29*VLOOKUP('Données projet'!$B$9,Paramètres!$A$1:$I$88,3,0)*VLOOKUP('Données projet'!$B$9,Paramètres!$A$1:$I$88,5,0)</f>
        <v>119.46628571428572</v>
      </c>
      <c r="P29" s="14">
        <f t="shared" si="33"/>
        <v>31.550486926257484</v>
      </c>
      <c r="Q29" s="22">
        <f t="shared" si="2"/>
        <v>263.02087901561271</v>
      </c>
      <c r="R29" s="62">
        <f t="shared" si="0"/>
        <v>531.11011782171818</v>
      </c>
      <c r="S29" s="62">
        <f ca="1">AVERAGE(OFFSET($R$3,0,0,'Données projet'!$E$9+1,1))-AVERAGE(OFFSET($H$3,0,0,'Données projet'!$E$9+1,1))</f>
        <v>341.05096821796769</v>
      </c>
      <c r="T29" s="62">
        <f t="shared" si="34"/>
        <v>400.72519822215168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projet'!$B$9,Paramètres!$A$1:$I$88,7,0))</f>
        <v>0</v>
      </c>
      <c r="X29" s="17">
        <f>IF(ISNA(VLOOKUP(A29,'Données projet'!$A$35:$I$55,6,0)),0%,VLOOKUP(A29,'Données projet'!$A$35:$I$55,6,0)*VLOOKUP('Données projet'!$B$9,Paramètres!$A$1:$I$88,7,0))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projet'!$B$9,Paramètres!$A$1:$I$88,3,0)*0.475*44/12</f>
        <v>2.3591415979552277</v>
      </c>
      <c r="AA29" s="23">
        <f>EXP(-LN(2)/25)*AA28+(1-EXP(-LN(2)/25))/(LN(2)/25)*Calculateur!V29*Calculateur!X29*VLOOKUP('Données projet'!$B$9,Paramètres!$A$1:$I$88,3,0)*0.475*44/12</f>
        <v>18.650492064294973</v>
      </c>
      <c r="AB29" s="23">
        <f>EXP(-LN(2)/2)*AB28+(1-EXP(-LN(2)/2))/(LN(2)/2)*V29*Y29*VLOOKUP('Données projet'!$B$9,Paramètres!$A$1:$I$88,3,0)*0.475*44/12</f>
        <v>0</v>
      </c>
      <c r="AC29" s="24">
        <f t="shared" si="3"/>
        <v>21.009633662250202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64.448580280453001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11.3</v>
      </c>
      <c r="AI29" s="14">
        <f>IF('Données projet'!$A$62&gt;35,AI28+AH29-AQ28,IF(A29&lt;'Données projet'!$A$62,$AF$205^A29,IF(A29='Données projet'!$A$62,'Données projet'!$B$62,AI28+AH29-AQ28)))</f>
        <v>123.80000000000004</v>
      </c>
      <c r="AJ29" s="14">
        <f>AI29*VLOOKUP('Données projet'!$B$10,Paramètres!$A$1:$I$88,3,0)*VLOOKUP('Données projet'!$B$10,Paramètres!$A$1:$I$88,5,0)</f>
        <v>74.032400000000024</v>
      </c>
      <c r="AK29" s="14">
        <f t="shared" si="35"/>
        <v>20.671557160876272</v>
      </c>
      <c r="AL29" s="22">
        <f t="shared" si="4"/>
        <v>164.94272538852621</v>
      </c>
      <c r="AM29" s="62">
        <f t="shared" si="5"/>
        <v>433.03196419463166</v>
      </c>
      <c r="AN29" s="62">
        <f ca="1">AVERAGE(OFFSET($AM$3,0,0,'Données projet'!$E$10+1,1))-AVERAGE(OFFSET($H$3,0,0,'Données projet'!$E$10+1,1))</f>
        <v>231.96474801342879</v>
      </c>
      <c r="AO29" s="62">
        <f t="shared" si="36"/>
        <v>237.75726086383668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projet'!$B$10,Paramètres!$A$1:$I$88,7,0))</f>
        <v>0</v>
      </c>
      <c r="AS29" s="17">
        <f>IF(ISNA(VLOOKUP(A29,'Données projet'!$A$61:$I$81,6,0)),0%,VLOOKUP(A29,'Données projet'!$A$61:$I$81,6,0)*VLOOKUP('Données projet'!$B$10,Paramètres!$A$1:$I$88,7,0))</f>
        <v>0</v>
      </c>
      <c r="AT29" s="17">
        <f>IF(ISNA(VLOOKUP(A29,'Données projet'!$A$61:$I$81,7,0)),0%,VLOOKUP(A29,'Données projet'!$A$61:$I$81,7,0))</f>
        <v>0</v>
      </c>
      <c r="AU29" s="23">
        <f>EXP(-LN(2)/35)*AU28+(1-EXP(-LN(2)/35))/(LN(2)/35)*AQ29*AR29*VLOOKUP('Données projet'!$B$10,Paramètres!$A$1:$I$88,3,0)*0.475*44/12</f>
        <v>1.1133750267730926</v>
      </c>
      <c r="AV29" s="23">
        <f>EXP(-LN(2)/25)*AV28+(1-EXP(-LN(2)/25))/(LN(2)/25)*Calculateur!AQ29*Calculateur!AS29*VLOOKUP('Données projet'!$B$10,Paramètres!$A$1:$I$88,3,0)*0.475*44/12</f>
        <v>10.673467354334866</v>
      </c>
      <c r="AW29" s="23">
        <f>EXP(-LN(2)/2)*AW28+(1-EXP(-LN(2)/2))/(LN(2)/2)*AQ29*AT29*VLOOKUP('Données projet'!$B$10,Paramètres!$A$1:$I$88,3,0)*0.475*44/12</f>
        <v>0</v>
      </c>
      <c r="AX29" s="23">
        <f t="shared" si="6"/>
        <v>11.786842381107959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64.448580280453001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6.5217391304347823</v>
      </c>
      <c r="BD29" s="13">
        <f>IF('Données projet'!$A$88&gt;35,BD28+BC29-BL28,IF(A29&lt;'Données projet'!$A$88,$BA$205^A29,IF(A29='Données projet'!$A$88,'Données projet'!$B$88,BD28+BC29-BL28)))</f>
        <v>169.56521739130434</v>
      </c>
      <c r="BE29" s="14">
        <f>BD29*VLOOKUP('Données projet'!$B$11,Paramètres!$A$1:$I$88,3,0)*VLOOKUP('Données projet'!$B$11,Paramètres!$A$1:$I$88,5,0)</f>
        <v>79.356521739130429</v>
      </c>
      <c r="BF29" s="14">
        <f t="shared" si="37"/>
        <v>21.979776474493026</v>
      </c>
      <c r="BG29" s="22">
        <f t="shared" si="7"/>
        <v>176.49405272206084</v>
      </c>
      <c r="BH29" s="62">
        <f t="shared" si="8"/>
        <v>444.58329152816634</v>
      </c>
      <c r="BI29" s="62">
        <f ca="1">AVERAGE(OFFSET($BH$3,0,0,'Données projet'!$E$11+1,1))-AVERAGE(OFFSET($H$3,0,0,'Données projet'!$E$11+1,1))</f>
        <v>364.96458059055169</v>
      </c>
      <c r="BJ29" s="62">
        <f t="shared" si="38"/>
        <v>246.27159120786257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projet'!$B$11,Paramètres!$A$1:$I$88,7,0))</f>
        <v>0</v>
      </c>
      <c r="BN29" s="17">
        <f>IF(ISNA(VLOOKUP(A29,'Données projet'!$A$87:$I$107,6,0)),0%,VLOOKUP(A29,'Données projet'!$A$87:$I$107,6,0)*VLOOKUP('Données projet'!$B$11,Paramètres!$A$1:$I$88,7,0))</f>
        <v>0</v>
      </c>
      <c r="BO29" s="17">
        <f>IF(ISNA(VLOOKUP(A29,'Données projet'!$A$87:$I$107,7,0)),0%,VLOOKUP(A29,'Données projet'!$A$87:$I$107,7,0))</f>
        <v>0</v>
      </c>
      <c r="BP29" s="23">
        <f>EXP(-LN(2)/35)*BP28+(1-EXP(-LN(2)/35))/(LN(2)/35)*BL29*BM29*VLOOKUP('Données projet'!$B$11,Paramètres!$A$1:$I$88,3,0)*0.475*44/12</f>
        <v>0</v>
      </c>
      <c r="BQ29" s="23">
        <f>EXP(-LN(2)/25)*BQ28+(1-EXP(-LN(2)/25))/(LN(2)/25)*Calculateur!BL29*Calculateur!BN29*VLOOKUP('Données projet'!$B$11,Paramètres!$A$1:$I$88,3,0)*0.475*44/12</f>
        <v>0</v>
      </c>
      <c r="BR29" s="23">
        <f>EXP(-LN(2)/2)*BR28+(1-EXP(-LN(2)/2))/(LN(2)/2)*BL29*BO29*VLOOKUP('Données projet'!$B$11,Paramètres!$A$1:$I$88,3,0)*0.475*44/12</f>
        <v>0</v>
      </c>
      <c r="BS29" s="24">
        <f t="shared" si="9"/>
        <v>0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64.448580280453001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4.1666667007873768</v>
      </c>
      <c r="BY29" s="13">
        <f>IF('Données projet'!$A$114&gt;35,BY28+BX29-CG28,IF(A29&lt;'Données projet'!$A$114,$BV$205^A29,IF(A29='Données projet'!$A$114,'Données projet'!$B$114,BY28+BX29-CG28)))</f>
        <v>108.33333422047176</v>
      </c>
      <c r="BZ29" s="14">
        <f>BY29*VLOOKUP('Données projet'!$B$12,Paramètres!$A$1:$I$88,3,0)*VLOOKUP('Données projet'!$B$12,Paramètres!$A$1:$I$88,5,0)</f>
        <v>109.85000089955838</v>
      </c>
      <c r="CA29" s="14">
        <f t="shared" si="39"/>
        <v>29.29564080835079</v>
      </c>
      <c r="CB29" s="22">
        <f t="shared" si="10"/>
        <v>242.34532597460847</v>
      </c>
      <c r="CC29" s="62">
        <f t="shared" si="11"/>
        <v>510.43456478071391</v>
      </c>
      <c r="CD29" s="62">
        <f ca="1">AVERAGE(OFFSET($CC$3,0,0,'Données projet'!$E$12+1,1))-AVERAGE(OFFSET($H$3,0,0,'Données projet'!$E$12+1,1))</f>
        <v>310.53598044763282</v>
      </c>
      <c r="CE29" s="62">
        <f t="shared" si="40"/>
        <v>322.01096634040596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projet'!$B$12,Paramètres!$A$1:$I$88,7,0))</f>
        <v>0</v>
      </c>
      <c r="CI29" s="17">
        <f>IF(ISNA(VLOOKUP(A29,'Données projet'!$A$113:$I$133,6,0)),0%,VLOOKUP(A29,'Données projet'!$A$113:$I$133,6,0)*VLOOKUP('Données projet'!$B$12,Paramètres!$A$1:$I$88,7,0))</f>
        <v>0</v>
      </c>
      <c r="CJ29" s="17">
        <f>IF(ISNA(VLOOKUP(A29,'Données projet'!$A$113:$I$133,7,0)),0%,VLOOKUP(A29,'Données projet'!$A$113:$I$133,7,0))</f>
        <v>0</v>
      </c>
      <c r="CK29" s="23">
        <f>EXP(-LN(2)/35)*CK28+(1-EXP(-LN(2)/35))/(LN(2)/35)*CG29*CH29*VLOOKUP('Données projet'!$B$12,Paramètres!$A$1:$I$88,3,0)*0.475*44/12</f>
        <v>0</v>
      </c>
      <c r="CL29" s="23">
        <f>EXP(-LN(2)/25)*CL28+(1-EXP(-LN(2)/25))/(LN(2)/25)*Calculateur!CG29*Calculateur!CI29*VLOOKUP('Données projet'!$B$12,Paramètres!$A$1:$I$88,3,0)*0.475*44/12</f>
        <v>0</v>
      </c>
      <c r="CM29" s="23">
        <f>EXP(-LN(2)/2)*CM28+(1-EXP(-LN(2)/2))/(LN(2)/2)*CG29*CJ29*VLOOKUP('Données projet'!$B$12,Paramètres!$A$1:$I$88,3,0)*0.475*44/12</f>
        <v>0</v>
      </c>
      <c r="CN29" s="24">
        <f t="shared" si="12"/>
        <v>0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64.448580280453001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projet'!$B$13,Paramètres!$A$1:$I$88,3,0)*VLOOKUP('Données projet'!$B$13,Paramètres!$A$1:$I$88,5,0)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projet'!$B$13,Paramètres!$A$1:$I$88,7,0))</f>
        <v>0</v>
      </c>
      <c r="DD29" s="17">
        <f>IF(ISNA(VLOOKUP(A29,'Données projet'!$A$139:$I$159,6,0)),0%,VLOOKUP(A29,'Données projet'!$A$139:$I$159,6,0)*VLOOKUP('Données projet'!$B$13,Paramètres!$A$1:$I$88,7,0))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projet'!$B$13,Paramètres!$A$1:$I$88,3,0)*0.475*44/12</f>
        <v>#N/A</v>
      </c>
      <c r="DG29" s="23" t="e">
        <f>EXP(-LN(2)/25)*DG28+(1-EXP(-LN(2)/25))/(LN(2)/25)*Calculateur!DB29*Calculateur!DD29*VLOOKUP('Données projet'!$B$13,Paramètres!$A$1:$I$88,3,0)*0.475*44/12</f>
        <v>#N/A</v>
      </c>
      <c r="DH29" s="23" t="e">
        <f>EXP(-LN(2)/2)*DH28+(1-EXP(-LN(2)/2))/(LN(2)/2)*DB29*DE29*VLOOKUP('Données projet'!$B$13,Paramètres!$A$1:$I$88,3,0)*0.475*44/12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64.448580280453001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projet'!$B$14,Paramètres!$A$1:$I$88,3,0)*VLOOKUP('Données projet'!$B$14,Paramètres!$A$1:$I$88,5,0)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projet'!$B$14,Paramètres!$A$1:$I$88,7,0))</f>
        <v>0</v>
      </c>
      <c r="DY29" s="17">
        <f>IF(ISNA(VLOOKUP(A29,'Données projet'!$A$165:$I$185,6,0)),0%,VLOOKUP(A29,'Données projet'!$A$165:$I$185,6,0)*VLOOKUP('Données projet'!$B$14,Paramètres!$A$1:$I$88,7,0))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projet'!$B$14,Paramètres!$A$1:$I$88,3,0)*0.475*44/12</f>
        <v>#N/A</v>
      </c>
      <c r="EB29" s="23" t="e">
        <f>EXP(-LN(2)/25)*EB28+(1-EXP(-LN(2)/25))/(LN(2)/25)*Calculateur!DW29*Calculateur!DY29*VLOOKUP('Données projet'!$B$14,Paramètres!$A$1:$I$88,3,0)*0.475*44/12</f>
        <v>#N/A</v>
      </c>
      <c r="EC29" s="23" t="e">
        <f>EXP(-LN(2)/2)*EC28+(1-EXP(-LN(2)/2))/(LN(2)/2)*DW29*DZ29*VLOOKUP('Données projet'!$B$14,Paramètres!$A$1:$I$88,3,0)*0.475*44/12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64.448580280453001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projet'!$B$15,Paramètres!$A$1:$I$88,3,0)*VLOOKUP('Données projet'!$B$15,Paramètres!$A$1:$I$88,5,0)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projet'!$B$15,Paramètres!$A$1:$I$88,7,0))</f>
        <v>0</v>
      </c>
      <c r="ET29" s="17">
        <f>IF(ISNA(VLOOKUP(A29,'Données projet'!$A$191:$I$211,6,0)),0%,VLOOKUP(A29,'Données projet'!$A$191:$I$211,6,0)*VLOOKUP('Données projet'!$B$15,Paramètres!$A$1:$I$88,7,0))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projet'!$B$15,Paramètres!$A$1:$I$88,3,0)*0.475*44/12</f>
        <v>#N/A</v>
      </c>
      <c r="EW29" s="23" t="e">
        <f>EXP(-LN(2)/25)*EW28+(1-EXP(-LN(2)/25))/(LN(2)/25)*Calculateur!ER29*Calculateur!ET29*VLOOKUP('Données projet'!$B$15,Paramètres!$A$1:$I$88,3,0)*0.475*44/12</f>
        <v>#N/A</v>
      </c>
      <c r="EX29" s="23" t="e">
        <f>EXP(-LN(2)/2)*EX28+(1-EXP(-LN(2)/2))/(LN(2)/2)*ER29*EU29*VLOOKUP('Données projet'!$B$15,Paramètres!$A$1:$I$88,3,0)*0.475*44/12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64.448580280453001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projet'!$B$16,Paramètres!$A$1:$I$88,3,0)*VLOOKUP('Données projet'!$B$16,Paramètres!$A$1:$I$88,5,0)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projet'!$B$16,Paramètres!$A$1:$I$88,7,0))</f>
        <v>0</v>
      </c>
      <c r="FO29" s="17">
        <f>IF(ISNA(VLOOKUP(A29,'Données projet'!$A$217:$I$237,6,0)),0%,VLOOKUP(A29,'Données projet'!$A$217:$I$237,6,0)*VLOOKUP('Données projet'!$B$16,Paramètres!$A$1:$I$88,7,0))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projet'!$B$16,Paramètres!$A$1:$I$88,3,0)*0.475*44/12</f>
        <v>#N/A</v>
      </c>
      <c r="FR29" s="23" t="e">
        <f>EXP(-LN(2)/25)*FR28+(1-EXP(-LN(2)/25))/(LN(2)/25)*Calculateur!FM29*Calculateur!FO29*VLOOKUP('Données projet'!$B$16,Paramètres!$A$1:$I$88,3,0)*0.475*44/12</f>
        <v>#N/A</v>
      </c>
      <c r="FS29" s="23" t="e">
        <f>EXP(-LN(2)/2)*FS28+(1-EXP(-LN(2)/2))/(LN(2)/2)*FM29*FP29*VLOOKUP('Données projet'!$B$16,Paramètres!$A$1:$I$88,3,0)*0.475*44/12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64.448580280453001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projet'!$B$17,Paramètres!$A$1:$I$88,3,0)*VLOOKUP('Données projet'!$B$17,Paramètres!$A$1:$I$88,5,0)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projet'!$B$17,Paramètres!$A$1:$I$88,7,0))</f>
        <v>0</v>
      </c>
      <c r="GJ29" s="17">
        <f>IF(ISNA(VLOOKUP(A29,'Données projet'!$A$243:$I$263,6,0)),0%,VLOOKUP(A29,'Données projet'!$A$243:$I$263,6,0)*VLOOKUP('Données projet'!$B$17,Paramètres!$A$1:$I$88,7,0))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projet'!$B$17,Paramètres!$A$1:$I$88,3,0)*0.475*44/12</f>
        <v>#N/A</v>
      </c>
      <c r="GM29" s="23" t="e">
        <f>EXP(-LN(2)/25)*GM28+(1-EXP(-LN(2)/25))/(LN(2)/25)*Calculateur!GH29*Calculateur!GJ29*VLOOKUP('Données projet'!$B$17,Paramètres!$A$1:$I$88,3,0)*0.475*44/12</f>
        <v>#N/A</v>
      </c>
      <c r="GN29" s="23" t="e">
        <f>EXP(-LN(2)/2)*GN28+(1-EXP(-LN(2)/2))/(LN(2)/2)*GH29*GK29*VLOOKUP('Données projet'!$B$17,Paramètres!$A$1:$I$88,3,0)*0.475*44/12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64.448580280453001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projet'!$B$18,Paramètres!$A$1:$I$88,3,0)*VLOOKUP('Données projet'!$B$18,Paramètres!$A$1:$I$88,5,0)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projet'!$B$18,Paramètres!$A$1:$I$88,7,0))</f>
        <v>0</v>
      </c>
      <c r="HE29" s="17">
        <f>IF(ISNA(VLOOKUP(A29,'Données projet'!$A$269:$I$289,6,0)),0%,VLOOKUP(A29,'Données projet'!$A$269:$I$289,6,0)*VLOOKUP('Données projet'!$B$18,Paramètres!$A$1:$I$88,7,0))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projet'!$B$18,Paramètres!$A$1:$I$88,3,0)*0.475*44/12</f>
        <v>#N/A</v>
      </c>
      <c r="HH29" s="23" t="e">
        <f>EXP(-LN(2)/25)*HH28+(1-EXP(-LN(2)/25))/(LN(2)/25)*Calculateur!HC29*Calculateur!HE29*VLOOKUP('Données projet'!$B$18,Paramètres!$A$1:$I$88,3,0)*0.475*44/12</f>
        <v>#N/A</v>
      </c>
      <c r="HI29" s="23" t="e">
        <f>EXP(-LN(2)/2)*HI28+(1-EXP(-LN(2)/2))/(LN(2)/2)*HC29*HF29*VLOOKUP('Données projet'!$B$18,Paramètres!$A$1:$I$88,3,0)*0.475*44/12</f>
        <v>#N/A</v>
      </c>
      <c r="HJ29" s="24" t="e">
        <f t="shared" si="30"/>
        <v>#N/A</v>
      </c>
    </row>
    <row r="30" spans="1:218" s="5" customFormat="1" x14ac:dyDescent="0.35">
      <c r="A30" s="11">
        <f t="shared" si="31"/>
        <v>27</v>
      </c>
      <c r="B30" s="77">
        <f>'Scénario référence'!$B$16*5+'Scénario référence'!$B$17*0+'Scénario référence'!$B$18*5</f>
        <v>1.75</v>
      </c>
      <c r="C30" s="20">
        <f>Calculateur!C29+'Scénario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30" s="12">
        <f t="shared" si="3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6.416666666666667</v>
      </c>
      <c r="H30" s="70">
        <f t="shared" si="1"/>
        <v>231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64.544885001471968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19.714285714285715</v>
      </c>
      <c r="N30" s="14">
        <f>IF('Données projet'!$A$36&gt;35,N29+M30-V29,IF(A30&lt;'Données projet'!$A$36,$K$205^A30,IF(A30='Données projet'!$A$36,'Données projet'!$B$36,N29+M30-V29)))</f>
        <v>233.42857142857144</v>
      </c>
      <c r="O30" s="14">
        <f>N30*VLOOKUP('Données projet'!$B$9,Paramètres!$A$1:$I$88,3,0)*VLOOKUP('Données projet'!$B$9,Paramètres!$A$1:$I$88,5,0)</f>
        <v>130.48657142857144</v>
      </c>
      <c r="P30" s="14">
        <f t="shared" si="33"/>
        <v>34.108767245824239</v>
      </c>
      <c r="Q30" s="22">
        <f t="shared" si="2"/>
        <v>286.67021485790582</v>
      </c>
      <c r="R30" s="62">
        <f t="shared" si="0"/>
        <v>556.33479319663638</v>
      </c>
      <c r="S30" s="62">
        <f ca="1">AVERAGE(OFFSET($R$3,0,0,'Données projet'!$E$9+1,1))-AVERAGE(OFFSET($H$3,0,0,'Données projet'!$E$9+1,1))</f>
        <v>341.05096821796769</v>
      </c>
      <c r="T30" s="62">
        <f t="shared" si="34"/>
        <v>400.72519822215168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projet'!$B$9,Paramètres!$A$1:$I$88,7,0))</f>
        <v>0</v>
      </c>
      <c r="X30" s="17">
        <f>IF(ISNA(VLOOKUP(A30,'Données projet'!$A$35:$I$55,6,0)),0%,VLOOKUP(A30,'Données projet'!$A$35:$I$55,6,0)*VLOOKUP('Données projet'!$B$9,Paramètres!$A$1:$I$88,7,0))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projet'!$B$9,Paramètres!$A$1:$I$88,3,0)*0.475*44/12</f>
        <v>2.3128802701536175</v>
      </c>
      <c r="AA30" s="23">
        <f>EXP(-LN(2)/25)*AA29+(1-EXP(-LN(2)/25))/(LN(2)/25)*Calculateur!V30*Calculateur!X30*VLOOKUP('Données projet'!$B$9,Paramètres!$A$1:$I$88,3,0)*0.475*44/12</f>
        <v>18.140493378010074</v>
      </c>
      <c r="AB30" s="23">
        <f>EXP(-LN(2)/2)*AB29+(1-EXP(-LN(2)/2))/(LN(2)/2)*V30*Y30*VLOOKUP('Données projet'!$B$9,Paramètres!$A$1:$I$88,3,0)*0.475*44/12</f>
        <v>0</v>
      </c>
      <c r="AC30" s="24">
        <f t="shared" si="3"/>
        <v>20.453373648163691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64.544885001471968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11.3</v>
      </c>
      <c r="AI30" s="14">
        <f>IF('Données projet'!$A$62&gt;35,AI29+AH30-AQ29,IF(A30&lt;'Données projet'!$A$62,$AF$205^A30,IF(A30='Données projet'!$A$62,'Données projet'!$B$62,AI29+AH30-AQ29)))</f>
        <v>135.10000000000005</v>
      </c>
      <c r="AJ30" s="14">
        <f>AI30*VLOOKUP('Données projet'!$B$10,Paramètres!$A$1:$I$88,3,0)*VLOOKUP('Données projet'!$B$10,Paramètres!$A$1:$I$88,5,0)</f>
        <v>80.789800000000042</v>
      </c>
      <c r="AK30" s="14">
        <f t="shared" si="35"/>
        <v>22.330183782957572</v>
      </c>
      <c r="AL30" s="22">
        <f t="shared" si="4"/>
        <v>179.60063842198451</v>
      </c>
      <c r="AM30" s="62">
        <f t="shared" si="5"/>
        <v>449.26521676071508</v>
      </c>
      <c r="AN30" s="62">
        <f ca="1">AVERAGE(OFFSET($AM$3,0,0,'Données projet'!$E$10+1,1))-AVERAGE(OFFSET($H$3,0,0,'Données projet'!$E$10+1,1))</f>
        <v>231.96474801342879</v>
      </c>
      <c r="AO30" s="62">
        <f t="shared" si="36"/>
        <v>237.75726086383668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projet'!$B$10,Paramètres!$A$1:$I$88,7,0))</f>
        <v>0</v>
      </c>
      <c r="AS30" s="17">
        <f>IF(ISNA(VLOOKUP(A30,'Données projet'!$A$61:$I$81,6,0)),0%,VLOOKUP(A30,'Données projet'!$A$61:$I$81,6,0)*VLOOKUP('Données projet'!$B$10,Paramètres!$A$1:$I$88,7,0))</f>
        <v>0</v>
      </c>
      <c r="AT30" s="17">
        <f>IF(ISNA(VLOOKUP(A30,'Données projet'!$A$61:$I$81,7,0)),0%,VLOOKUP(A30,'Données projet'!$A$61:$I$81,7,0))</f>
        <v>0</v>
      </c>
      <c r="AU30" s="23">
        <f>EXP(-LN(2)/35)*AU29+(1-EXP(-LN(2)/35))/(LN(2)/35)*AQ30*AR30*VLOOKUP('Données projet'!$B$10,Paramètres!$A$1:$I$88,3,0)*0.475*44/12</f>
        <v>1.091542421589784</v>
      </c>
      <c r="AV30" s="23">
        <f>EXP(-LN(2)/25)*AV29+(1-EXP(-LN(2)/25))/(LN(2)/25)*Calculateur!AQ30*Calculateur!AS30*VLOOKUP('Données projet'!$B$10,Paramètres!$A$1:$I$88,3,0)*0.475*44/12</f>
        <v>10.381600828237325</v>
      </c>
      <c r="AW30" s="23">
        <f>EXP(-LN(2)/2)*AW29+(1-EXP(-LN(2)/2))/(LN(2)/2)*AQ30*AT30*VLOOKUP('Données projet'!$B$10,Paramètres!$A$1:$I$88,3,0)*0.475*44/12</f>
        <v>0</v>
      </c>
      <c r="AX30" s="23">
        <f t="shared" si="6"/>
        <v>11.473143249827109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64.544885001471968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6.5217391304347823</v>
      </c>
      <c r="BD30" s="13">
        <f>IF('Données projet'!$A$88&gt;35,BD29+BC30-BL29,IF(A30&lt;'Données projet'!$A$88,$BA$205^A30,IF(A30='Données projet'!$A$88,'Données projet'!$B$88,BD29+BC30-BL29)))</f>
        <v>176.08695652173913</v>
      </c>
      <c r="BE30" s="14">
        <f>BD30*VLOOKUP('Données projet'!$B$11,Paramètres!$A$1:$I$88,3,0)*VLOOKUP('Données projet'!$B$11,Paramètres!$A$1:$I$88,5,0)</f>
        <v>82.408695652173918</v>
      </c>
      <c r="BF30" s="14">
        <f t="shared" si="37"/>
        <v>22.72510210753024</v>
      </c>
      <c r="BG30" s="22">
        <f t="shared" si="7"/>
        <v>183.10803109815137</v>
      </c>
      <c r="BH30" s="62">
        <f t="shared" si="8"/>
        <v>452.77260943688191</v>
      </c>
      <c r="BI30" s="62">
        <f ca="1">AVERAGE(OFFSET($BH$3,0,0,'Données projet'!$E$11+1,1))-AVERAGE(OFFSET($H$3,0,0,'Données projet'!$E$11+1,1))</f>
        <v>364.96458059055169</v>
      </c>
      <c r="BJ30" s="62">
        <f t="shared" si="38"/>
        <v>246.27159120786257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projet'!$B$11,Paramètres!$A$1:$I$88,7,0))</f>
        <v>0</v>
      </c>
      <c r="BN30" s="17">
        <f>IF(ISNA(VLOOKUP(A30,'Données projet'!$A$87:$I$107,6,0)),0%,VLOOKUP(A30,'Données projet'!$A$87:$I$107,6,0)*VLOOKUP('Données projet'!$B$11,Paramètres!$A$1:$I$88,7,0))</f>
        <v>0</v>
      </c>
      <c r="BO30" s="17">
        <f>IF(ISNA(VLOOKUP(A30,'Données projet'!$A$87:$I$107,7,0)),0%,VLOOKUP(A30,'Données projet'!$A$87:$I$107,7,0))</f>
        <v>0</v>
      </c>
      <c r="BP30" s="23">
        <f>EXP(-LN(2)/35)*BP29+(1-EXP(-LN(2)/35))/(LN(2)/35)*BL30*BM30*VLOOKUP('Données projet'!$B$11,Paramètres!$A$1:$I$88,3,0)*0.475*44/12</f>
        <v>0</v>
      </c>
      <c r="BQ30" s="23">
        <f>EXP(-LN(2)/25)*BQ29+(1-EXP(-LN(2)/25))/(LN(2)/25)*Calculateur!BL30*Calculateur!BN30*VLOOKUP('Données projet'!$B$11,Paramètres!$A$1:$I$88,3,0)*0.475*44/12</f>
        <v>0</v>
      </c>
      <c r="BR30" s="23">
        <f>EXP(-LN(2)/2)*BR29+(1-EXP(-LN(2)/2))/(LN(2)/2)*BL30*BO30*VLOOKUP('Données projet'!$B$11,Paramètres!$A$1:$I$88,3,0)*0.475*44/12</f>
        <v>0</v>
      </c>
      <c r="BS30" s="24">
        <f t="shared" si="9"/>
        <v>0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64.544885001471968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4.1666667007873768</v>
      </c>
      <c r="BY30" s="13">
        <f>IF('Données projet'!$A$114&gt;35,BY29+BX30-CG29,IF(A30&lt;'Données projet'!$A$114,$BV$205^A30,IF(A30='Données projet'!$A$114,'Données projet'!$B$114,BY29+BX30-CG29)))</f>
        <v>112.50000092125913</v>
      </c>
      <c r="BZ30" s="14">
        <f>BY30*VLOOKUP('Données projet'!$B$12,Paramètres!$A$1:$I$88,3,0)*VLOOKUP('Données projet'!$B$12,Paramètres!$A$1:$I$88,5,0)</f>
        <v>114.07500093415676</v>
      </c>
      <c r="CA30" s="14">
        <f t="shared" si="39"/>
        <v>30.289044542736047</v>
      </c>
      <c r="CB30" s="22">
        <f t="shared" si="10"/>
        <v>251.43404587225498</v>
      </c>
      <c r="CC30" s="62">
        <f t="shared" si="11"/>
        <v>521.09862421098558</v>
      </c>
      <c r="CD30" s="62">
        <f ca="1">AVERAGE(OFFSET($CC$3,0,0,'Données projet'!$E$12+1,1))-AVERAGE(OFFSET($H$3,0,0,'Données projet'!$E$12+1,1))</f>
        <v>310.53598044763282</v>
      </c>
      <c r="CE30" s="62">
        <f t="shared" si="40"/>
        <v>322.01096634040596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projet'!$B$12,Paramètres!$A$1:$I$88,7,0))</f>
        <v>0</v>
      </c>
      <c r="CI30" s="17">
        <f>IF(ISNA(VLOOKUP(A30,'Données projet'!$A$113:$I$133,6,0)),0%,VLOOKUP(A30,'Données projet'!$A$113:$I$133,6,0)*VLOOKUP('Données projet'!$B$12,Paramètres!$A$1:$I$88,7,0))</f>
        <v>0</v>
      </c>
      <c r="CJ30" s="17">
        <f>IF(ISNA(VLOOKUP(A30,'Données projet'!$A$113:$I$133,7,0)),0%,VLOOKUP(A30,'Données projet'!$A$113:$I$133,7,0))</f>
        <v>0</v>
      </c>
      <c r="CK30" s="23">
        <f>EXP(-LN(2)/35)*CK29+(1-EXP(-LN(2)/35))/(LN(2)/35)*CG30*CH30*VLOOKUP('Données projet'!$B$12,Paramètres!$A$1:$I$88,3,0)*0.475*44/12</f>
        <v>0</v>
      </c>
      <c r="CL30" s="23">
        <f>EXP(-LN(2)/25)*CL29+(1-EXP(-LN(2)/25))/(LN(2)/25)*Calculateur!CG30*Calculateur!CI30*VLOOKUP('Données projet'!$B$12,Paramètres!$A$1:$I$88,3,0)*0.475*44/12</f>
        <v>0</v>
      </c>
      <c r="CM30" s="23">
        <f>EXP(-LN(2)/2)*CM29+(1-EXP(-LN(2)/2))/(LN(2)/2)*CG30*CJ30*VLOOKUP('Données projet'!$B$12,Paramètres!$A$1:$I$88,3,0)*0.475*44/12</f>
        <v>0</v>
      </c>
      <c r="CN30" s="24">
        <f t="shared" si="12"/>
        <v>0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64.544885001471968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projet'!$B$13,Paramètres!$A$1:$I$88,3,0)*VLOOKUP('Données projet'!$B$13,Paramètres!$A$1:$I$88,5,0)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projet'!$B$13,Paramètres!$A$1:$I$88,7,0))</f>
        <v>0</v>
      </c>
      <c r="DD30" s="17">
        <f>IF(ISNA(VLOOKUP(A30,'Données projet'!$A$139:$I$159,6,0)),0%,VLOOKUP(A30,'Données projet'!$A$139:$I$159,6,0)*VLOOKUP('Données projet'!$B$13,Paramètres!$A$1:$I$88,7,0))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projet'!$B$13,Paramètres!$A$1:$I$88,3,0)*0.475*44/12</f>
        <v>#N/A</v>
      </c>
      <c r="DG30" s="23" t="e">
        <f>EXP(-LN(2)/25)*DG29+(1-EXP(-LN(2)/25))/(LN(2)/25)*Calculateur!DB30*Calculateur!DD30*VLOOKUP('Données projet'!$B$13,Paramètres!$A$1:$I$88,3,0)*0.475*44/12</f>
        <v>#N/A</v>
      </c>
      <c r="DH30" s="23" t="e">
        <f>EXP(-LN(2)/2)*DH29+(1-EXP(-LN(2)/2))/(LN(2)/2)*DB30*DE30*VLOOKUP('Données projet'!$B$13,Paramètres!$A$1:$I$88,3,0)*0.475*44/12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64.544885001471968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projet'!$B$14,Paramètres!$A$1:$I$88,3,0)*VLOOKUP('Données projet'!$B$14,Paramètres!$A$1:$I$88,5,0)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projet'!$B$14,Paramètres!$A$1:$I$88,7,0))</f>
        <v>0</v>
      </c>
      <c r="DY30" s="17">
        <f>IF(ISNA(VLOOKUP(A30,'Données projet'!$A$165:$I$185,6,0)),0%,VLOOKUP(A30,'Données projet'!$A$165:$I$185,6,0)*VLOOKUP('Données projet'!$B$14,Paramètres!$A$1:$I$88,7,0))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projet'!$B$14,Paramètres!$A$1:$I$88,3,0)*0.475*44/12</f>
        <v>#N/A</v>
      </c>
      <c r="EB30" s="23" t="e">
        <f>EXP(-LN(2)/25)*EB29+(1-EXP(-LN(2)/25))/(LN(2)/25)*Calculateur!DW30*Calculateur!DY30*VLOOKUP('Données projet'!$B$14,Paramètres!$A$1:$I$88,3,0)*0.475*44/12</f>
        <v>#N/A</v>
      </c>
      <c r="EC30" s="23" t="e">
        <f>EXP(-LN(2)/2)*EC29+(1-EXP(-LN(2)/2))/(LN(2)/2)*DW30*DZ30*VLOOKUP('Données projet'!$B$14,Paramètres!$A$1:$I$88,3,0)*0.475*44/12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64.544885001471968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projet'!$B$15,Paramètres!$A$1:$I$88,3,0)*VLOOKUP('Données projet'!$B$15,Paramètres!$A$1:$I$88,5,0)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projet'!$B$15,Paramètres!$A$1:$I$88,7,0))</f>
        <v>0</v>
      </c>
      <c r="ET30" s="17">
        <f>IF(ISNA(VLOOKUP(A30,'Données projet'!$A$191:$I$211,6,0)),0%,VLOOKUP(A30,'Données projet'!$A$191:$I$211,6,0)*VLOOKUP('Données projet'!$B$15,Paramètres!$A$1:$I$88,7,0))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projet'!$B$15,Paramètres!$A$1:$I$88,3,0)*0.475*44/12</f>
        <v>#N/A</v>
      </c>
      <c r="EW30" s="23" t="e">
        <f>EXP(-LN(2)/25)*EW29+(1-EXP(-LN(2)/25))/(LN(2)/25)*Calculateur!ER30*Calculateur!ET30*VLOOKUP('Données projet'!$B$15,Paramètres!$A$1:$I$88,3,0)*0.475*44/12</f>
        <v>#N/A</v>
      </c>
      <c r="EX30" s="23" t="e">
        <f>EXP(-LN(2)/2)*EX29+(1-EXP(-LN(2)/2))/(LN(2)/2)*ER30*EU30*VLOOKUP('Données projet'!$B$15,Paramètres!$A$1:$I$88,3,0)*0.475*44/12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64.544885001471968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projet'!$B$16,Paramètres!$A$1:$I$88,3,0)*VLOOKUP('Données projet'!$B$16,Paramètres!$A$1:$I$88,5,0)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projet'!$B$16,Paramètres!$A$1:$I$88,7,0))</f>
        <v>0</v>
      </c>
      <c r="FO30" s="17">
        <f>IF(ISNA(VLOOKUP(A30,'Données projet'!$A$217:$I$237,6,0)),0%,VLOOKUP(A30,'Données projet'!$A$217:$I$237,6,0)*VLOOKUP('Données projet'!$B$16,Paramètres!$A$1:$I$88,7,0))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projet'!$B$16,Paramètres!$A$1:$I$88,3,0)*0.475*44/12</f>
        <v>#N/A</v>
      </c>
      <c r="FR30" s="23" t="e">
        <f>EXP(-LN(2)/25)*FR29+(1-EXP(-LN(2)/25))/(LN(2)/25)*Calculateur!FM30*Calculateur!FO30*VLOOKUP('Données projet'!$B$16,Paramètres!$A$1:$I$88,3,0)*0.475*44/12</f>
        <v>#N/A</v>
      </c>
      <c r="FS30" s="23" t="e">
        <f>EXP(-LN(2)/2)*FS29+(1-EXP(-LN(2)/2))/(LN(2)/2)*FM30*FP30*VLOOKUP('Données projet'!$B$16,Paramètres!$A$1:$I$88,3,0)*0.475*44/12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64.544885001471968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projet'!$B$17,Paramètres!$A$1:$I$88,3,0)*VLOOKUP('Données projet'!$B$17,Paramètres!$A$1:$I$88,5,0)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projet'!$B$17,Paramètres!$A$1:$I$88,7,0))</f>
        <v>0</v>
      </c>
      <c r="GJ30" s="17">
        <f>IF(ISNA(VLOOKUP(A30,'Données projet'!$A$243:$I$263,6,0)),0%,VLOOKUP(A30,'Données projet'!$A$243:$I$263,6,0)*VLOOKUP('Données projet'!$B$17,Paramètres!$A$1:$I$88,7,0))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projet'!$B$17,Paramètres!$A$1:$I$88,3,0)*0.475*44/12</f>
        <v>#N/A</v>
      </c>
      <c r="GM30" s="23" t="e">
        <f>EXP(-LN(2)/25)*GM29+(1-EXP(-LN(2)/25))/(LN(2)/25)*Calculateur!GH30*Calculateur!GJ30*VLOOKUP('Données projet'!$B$17,Paramètres!$A$1:$I$88,3,0)*0.475*44/12</f>
        <v>#N/A</v>
      </c>
      <c r="GN30" s="23" t="e">
        <f>EXP(-LN(2)/2)*GN29+(1-EXP(-LN(2)/2))/(LN(2)/2)*GH30*GK30*VLOOKUP('Données projet'!$B$17,Paramètres!$A$1:$I$88,3,0)*0.475*44/12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64.544885001471968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projet'!$B$18,Paramètres!$A$1:$I$88,3,0)*VLOOKUP('Données projet'!$B$18,Paramètres!$A$1:$I$88,5,0)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projet'!$B$18,Paramètres!$A$1:$I$88,7,0))</f>
        <v>0</v>
      </c>
      <c r="HE30" s="17">
        <f>IF(ISNA(VLOOKUP(A30,'Données projet'!$A$269:$I$289,6,0)),0%,VLOOKUP(A30,'Données projet'!$A$269:$I$289,6,0)*VLOOKUP('Données projet'!$B$18,Paramètres!$A$1:$I$88,7,0))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projet'!$B$18,Paramètres!$A$1:$I$88,3,0)*0.475*44/12</f>
        <v>#N/A</v>
      </c>
      <c r="HH30" s="23" t="e">
        <f>EXP(-LN(2)/25)*HH29+(1-EXP(-LN(2)/25))/(LN(2)/25)*Calculateur!HC30*Calculateur!HE30*VLOOKUP('Données projet'!$B$18,Paramètres!$A$1:$I$88,3,0)*0.475*44/12</f>
        <v>#N/A</v>
      </c>
      <c r="HI30" s="23" t="e">
        <f>EXP(-LN(2)/2)*HI29+(1-EXP(-LN(2)/2))/(LN(2)/2)*HC30*HF30*VLOOKUP('Données projet'!$B$18,Paramètres!$A$1:$I$88,3,0)*0.475*44/12</f>
        <v>#N/A</v>
      </c>
      <c r="HJ30" s="24" t="e">
        <f t="shared" si="30"/>
        <v>#N/A</v>
      </c>
    </row>
    <row r="31" spans="1:218" s="5" customFormat="1" x14ac:dyDescent="0.35">
      <c r="A31" s="11">
        <f t="shared" si="31"/>
        <v>28</v>
      </c>
      <c r="B31" s="77">
        <f>'Scénario référence'!$B$16*5+'Scénario référence'!$B$17*0+'Scénario référence'!$B$18*5</f>
        <v>1.75</v>
      </c>
      <c r="C31" s="20">
        <f>Calculateur!C30+'Scénario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31" s="12">
        <f t="shared" si="3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6.416666666666667</v>
      </c>
      <c r="H31" s="70">
        <f t="shared" si="1"/>
        <v>231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64.639519050886349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19.714285714285715</v>
      </c>
      <c r="N31" s="14">
        <f>IF('Données projet'!$A$36&gt;35,N30+M31-V30,IF(A31&lt;'Données projet'!$A$36,$K$205^A31,IF(A31='Données projet'!$A$36,'Données projet'!$B$36,N30+M31-V30)))</f>
        <v>253.14285714285717</v>
      </c>
      <c r="O31" s="14">
        <f>N31*VLOOKUP('Données projet'!$B$9,Paramètres!$A$1:$I$88,3,0)*VLOOKUP('Données projet'!$B$9,Paramètres!$A$1:$I$88,5,0)</f>
        <v>141.50685714285717</v>
      </c>
      <c r="P31" s="14">
        <f t="shared" si="33"/>
        <v>36.641989926907435</v>
      </c>
      <c r="Q31" s="22">
        <f t="shared" si="2"/>
        <v>310.27590864650665</v>
      </c>
      <c r="R31" s="62">
        <f t="shared" si="0"/>
        <v>581.50970072197879</v>
      </c>
      <c r="S31" s="62">
        <f ca="1">AVERAGE(OFFSET($R$3,0,0,'Données projet'!$E$9+1,1))-AVERAGE(OFFSET($H$3,0,0,'Données projet'!$E$9+1,1))</f>
        <v>341.05096821796769</v>
      </c>
      <c r="T31" s="62">
        <f t="shared" si="34"/>
        <v>400.72519822215168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projet'!$B$9,Paramètres!$A$1:$I$88,7,0))</f>
        <v>0</v>
      </c>
      <c r="X31" s="17">
        <f>IF(ISNA(VLOOKUP(A31,'Données projet'!$A$35:$I$55,6,0)),0%,VLOOKUP(A31,'Données projet'!$A$35:$I$55,6,0)*VLOOKUP('Données projet'!$B$9,Paramètres!$A$1:$I$88,7,0))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projet'!$B$9,Paramètres!$A$1:$I$88,3,0)*0.475*44/12</f>
        <v>2.267526098773573</v>
      </c>
      <c r="AA31" s="23">
        <f>EXP(-LN(2)/25)*AA30+(1-EXP(-LN(2)/25))/(LN(2)/25)*Calculateur!V31*Calculateur!X31*VLOOKUP('Données projet'!$B$9,Paramètres!$A$1:$I$88,3,0)*0.475*44/12</f>
        <v>17.644440632621304</v>
      </c>
      <c r="AB31" s="23">
        <f>EXP(-LN(2)/2)*AB30+(1-EXP(-LN(2)/2))/(LN(2)/2)*V31*Y31*VLOOKUP('Données projet'!$B$9,Paramètres!$A$1:$I$88,3,0)*0.475*44/12</f>
        <v>0</v>
      </c>
      <c r="AC31" s="24">
        <f t="shared" si="3"/>
        <v>19.911966731394877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64.639519050886349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>
        <f>VLOOKUP(A31,'Données projet'!$A$61:$I$81,2,0)</f>
        <v>146.4</v>
      </c>
      <c r="AG31" s="13">
        <f>VLOOKUP(A31,'Données projet'!$A$61:$I$81,9,0)</f>
        <v>11.3</v>
      </c>
      <c r="AH31" s="13">
        <f t="array" ref="AH31">INDEX(AG:AG,MIN(IF(ISNUMBER(AG31:AG227),ROW(AG31:AG227),"")))</f>
        <v>11.3</v>
      </c>
      <c r="AI31" s="14">
        <f>IF('Données projet'!$A$62&gt;35,AI30+AH31-AQ30,IF(A31&lt;'Données projet'!$A$62,$AF$205^A31,IF(A31='Données projet'!$A$62,'Données projet'!$B$62,AI30+AH31-AQ30)))</f>
        <v>146.40000000000006</v>
      </c>
      <c r="AJ31" s="14">
        <f>AI31*VLOOKUP('Données projet'!$B$10,Paramètres!$A$1:$I$88,3,0)*VLOOKUP('Données projet'!$B$10,Paramètres!$A$1:$I$88,5,0)</f>
        <v>87.547200000000046</v>
      </c>
      <c r="AK31" s="14">
        <f t="shared" si="35"/>
        <v>23.972720748088616</v>
      </c>
      <c r="AL31" s="22">
        <f t="shared" si="4"/>
        <v>194.23052863625443</v>
      </c>
      <c r="AM31" s="62">
        <f t="shared" si="5"/>
        <v>465.4643207117266</v>
      </c>
      <c r="AN31" s="62">
        <f ca="1">AVERAGE(OFFSET($AM$3,0,0,'Données projet'!$E$10+1,1))-AVERAGE(OFFSET($H$3,0,0,'Données projet'!$E$10+1,1))</f>
        <v>231.96474801342879</v>
      </c>
      <c r="AO31" s="62">
        <f t="shared" si="36"/>
        <v>237.75726086383668</v>
      </c>
      <c r="AP31" s="16">
        <f>IF(ISNA(VLOOKUP(A31,'Données projet'!$A$61:$I$81,3,0)),0,VLOOKUP(A31,'Données projet'!$A$61:$I$81,3,0))</f>
        <v>4</v>
      </c>
      <c r="AQ31" s="16">
        <f>IF(ISNA(VLOOKUP(A31,'Données projet'!$A$61:$I$81,4,0)),0,VLOOKUP(A31,'Données projet'!$A$61:$I$81,4,0))</f>
        <v>23.4</v>
      </c>
      <c r="AR31" s="17">
        <f>IF(ISNA(VLOOKUP(A31,'Données projet'!$A$61:$I$81,5,0)),0%,VLOOKUP(A31,'Données projet'!$A$61:$I$81,5,0)*VLOOKUP('Données projet'!$B$10,Paramètres!$A$1:$I$88,7,0))</f>
        <v>4.5000000000000005E-2</v>
      </c>
      <c r="AS31" s="17">
        <f>IF(ISNA(VLOOKUP(A31,'Données projet'!$A$61:$I$81,6,0)),0%,VLOOKUP(A31,'Données projet'!$A$61:$I$81,6,0)*VLOOKUP('Données projet'!$B$10,Paramètres!$A$1:$I$88,7,0))</f>
        <v>0.36000000000000004</v>
      </c>
      <c r="AT31" s="17">
        <f>IF(ISNA(VLOOKUP(A31,'Données projet'!$A$61:$I$81,7,0)),0%,VLOOKUP(A31,'Données projet'!$A$61:$I$81,7,0))</f>
        <v>0</v>
      </c>
      <c r="AU31" s="23">
        <f>EXP(-LN(2)/35)*AU30+(1-EXP(-LN(2)/35))/(LN(2)/35)*AQ31*AR31*VLOOKUP('Données projet'!$B$10,Paramètres!$A$1:$I$88,3,0)*0.475*44/12</f>
        <v>1.9054676186810917</v>
      </c>
      <c r="AV31" s="23">
        <f>EXP(-LN(2)/25)*AV30+(1-EXP(-LN(2)/25))/(LN(2)/25)*Calculateur!AQ31*Calculateur!AS31*VLOOKUP('Données projet'!$B$10,Paramètres!$A$1:$I$88,3,0)*0.475*44/12</f>
        <v>16.754040743443699</v>
      </c>
      <c r="AW31" s="23">
        <f>EXP(-LN(2)/2)*AW30+(1-EXP(-LN(2)/2))/(LN(2)/2)*AQ31*AT31*VLOOKUP('Données projet'!$B$10,Paramètres!$A$1:$I$88,3,0)*0.475*44/12</f>
        <v>0</v>
      </c>
      <c r="AX31" s="23">
        <f t="shared" si="6"/>
        <v>18.659508362124789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64.639519050886349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6.5217391304347823</v>
      </c>
      <c r="BD31" s="13">
        <f>IF('Données projet'!$A$88&gt;35,BD30+BC31-BL30,IF(A31&lt;'Données projet'!$A$88,$BA$205^A31,IF(A31='Données projet'!$A$88,'Données projet'!$B$88,BD30+BC31-BL30)))</f>
        <v>182.60869565217391</v>
      </c>
      <c r="BE31" s="14">
        <f>BD31*VLOOKUP('Données projet'!$B$11,Paramètres!$A$1:$I$88,3,0)*VLOOKUP('Données projet'!$B$11,Paramètres!$A$1:$I$88,5,0)</f>
        <v>85.460869565217394</v>
      </c>
      <c r="BF31" s="14">
        <f t="shared" si="37"/>
        <v>23.46722070073432</v>
      </c>
      <c r="BG31" s="22">
        <f t="shared" si="7"/>
        <v>189.71642387986586</v>
      </c>
      <c r="BH31" s="62">
        <f t="shared" si="8"/>
        <v>460.95021595533797</v>
      </c>
      <c r="BI31" s="62">
        <f ca="1">AVERAGE(OFFSET($BH$3,0,0,'Données projet'!$E$11+1,1))-AVERAGE(OFFSET($H$3,0,0,'Données projet'!$E$11+1,1))</f>
        <v>364.96458059055169</v>
      </c>
      <c r="BJ31" s="62">
        <f t="shared" si="38"/>
        <v>246.27159120786257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projet'!$B$11,Paramètres!$A$1:$I$88,7,0))</f>
        <v>0</v>
      </c>
      <c r="BN31" s="17">
        <f>IF(ISNA(VLOOKUP(A31,'Données projet'!$A$87:$I$107,6,0)),0%,VLOOKUP(A31,'Données projet'!$A$87:$I$107,6,0)*VLOOKUP('Données projet'!$B$11,Paramètres!$A$1:$I$88,7,0))</f>
        <v>0</v>
      </c>
      <c r="BO31" s="17">
        <f>IF(ISNA(VLOOKUP(A31,'Données projet'!$A$87:$I$107,7,0)),0%,VLOOKUP(A31,'Données projet'!$A$87:$I$107,7,0))</f>
        <v>0</v>
      </c>
      <c r="BP31" s="23">
        <f>EXP(-LN(2)/35)*BP30+(1-EXP(-LN(2)/35))/(LN(2)/35)*BL31*BM31*VLOOKUP('Données projet'!$B$11,Paramètres!$A$1:$I$88,3,0)*0.475*44/12</f>
        <v>0</v>
      </c>
      <c r="BQ31" s="23">
        <f>EXP(-LN(2)/25)*BQ30+(1-EXP(-LN(2)/25))/(LN(2)/25)*Calculateur!BL31*Calculateur!BN31*VLOOKUP('Données projet'!$B$11,Paramètres!$A$1:$I$88,3,0)*0.475*44/12</f>
        <v>0</v>
      </c>
      <c r="BR31" s="23">
        <f>EXP(-LN(2)/2)*BR30+(1-EXP(-LN(2)/2))/(LN(2)/2)*BL31*BO31*VLOOKUP('Données projet'!$B$11,Paramètres!$A$1:$I$88,3,0)*0.475*44/12</f>
        <v>0</v>
      </c>
      <c r="BS31" s="24">
        <f t="shared" si="9"/>
        <v>0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64.639519050886349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4.1666667007873768</v>
      </c>
      <c r="BY31" s="13">
        <f>IF('Données projet'!$A$114&gt;35,BY30+BX31-CG30,IF(A31&lt;'Données projet'!$A$114,$BV$205^A31,IF(A31='Données projet'!$A$114,'Données projet'!$B$114,BY30+BX31-CG30)))</f>
        <v>116.6666676220465</v>
      </c>
      <c r="BZ31" s="14">
        <f>BY31*VLOOKUP('Données projet'!$B$12,Paramètres!$A$1:$I$88,3,0)*VLOOKUP('Données projet'!$B$12,Paramètres!$A$1:$I$88,5,0)</f>
        <v>118.30000096875516</v>
      </c>
      <c r="CA31" s="14">
        <f t="shared" si="39"/>
        <v>31.278173789293017</v>
      </c>
      <c r="CB31" s="22">
        <f t="shared" si="10"/>
        <v>260.51532103693393</v>
      </c>
      <c r="CC31" s="62">
        <f t="shared" si="11"/>
        <v>531.74911311240612</v>
      </c>
      <c r="CD31" s="62">
        <f ca="1">AVERAGE(OFFSET($CC$3,0,0,'Données projet'!$E$12+1,1))-AVERAGE(OFFSET($H$3,0,0,'Données projet'!$E$12+1,1))</f>
        <v>310.53598044763282</v>
      </c>
      <c r="CE31" s="62">
        <f t="shared" si="40"/>
        <v>322.01096634040596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projet'!$B$12,Paramètres!$A$1:$I$88,7,0))</f>
        <v>0</v>
      </c>
      <c r="CI31" s="17">
        <f>IF(ISNA(VLOOKUP(A31,'Données projet'!$A$113:$I$133,6,0)),0%,VLOOKUP(A31,'Données projet'!$A$113:$I$133,6,0)*VLOOKUP('Données projet'!$B$12,Paramètres!$A$1:$I$88,7,0))</f>
        <v>0</v>
      </c>
      <c r="CJ31" s="17">
        <f>IF(ISNA(VLOOKUP(A31,'Données projet'!$A$113:$I$133,7,0)),0%,VLOOKUP(A31,'Données projet'!$A$113:$I$133,7,0))</f>
        <v>0</v>
      </c>
      <c r="CK31" s="23">
        <f>EXP(-LN(2)/35)*CK30+(1-EXP(-LN(2)/35))/(LN(2)/35)*CG31*CH31*VLOOKUP('Données projet'!$B$12,Paramètres!$A$1:$I$88,3,0)*0.475*44/12</f>
        <v>0</v>
      </c>
      <c r="CL31" s="23">
        <f>EXP(-LN(2)/25)*CL30+(1-EXP(-LN(2)/25))/(LN(2)/25)*Calculateur!CG31*Calculateur!CI31*VLOOKUP('Données projet'!$B$12,Paramètres!$A$1:$I$88,3,0)*0.475*44/12</f>
        <v>0</v>
      </c>
      <c r="CM31" s="23">
        <f>EXP(-LN(2)/2)*CM30+(1-EXP(-LN(2)/2))/(LN(2)/2)*CG31*CJ31*VLOOKUP('Données projet'!$B$12,Paramètres!$A$1:$I$88,3,0)*0.475*44/12</f>
        <v>0</v>
      </c>
      <c r="CN31" s="24">
        <f t="shared" si="12"/>
        <v>0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64.639519050886349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projet'!$B$13,Paramètres!$A$1:$I$88,3,0)*VLOOKUP('Données projet'!$B$13,Paramètres!$A$1:$I$88,5,0)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projet'!$B$13,Paramètres!$A$1:$I$88,7,0))</f>
        <v>0</v>
      </c>
      <c r="DD31" s="17">
        <f>IF(ISNA(VLOOKUP(A31,'Données projet'!$A$139:$I$159,6,0)),0%,VLOOKUP(A31,'Données projet'!$A$139:$I$159,6,0)*VLOOKUP('Données projet'!$B$13,Paramètres!$A$1:$I$88,7,0))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projet'!$B$13,Paramètres!$A$1:$I$88,3,0)*0.475*44/12</f>
        <v>#N/A</v>
      </c>
      <c r="DG31" s="23" t="e">
        <f>EXP(-LN(2)/25)*DG30+(1-EXP(-LN(2)/25))/(LN(2)/25)*Calculateur!DB31*Calculateur!DD31*VLOOKUP('Données projet'!$B$13,Paramètres!$A$1:$I$88,3,0)*0.475*44/12</f>
        <v>#N/A</v>
      </c>
      <c r="DH31" s="23" t="e">
        <f>EXP(-LN(2)/2)*DH30+(1-EXP(-LN(2)/2))/(LN(2)/2)*DB31*DE31*VLOOKUP('Données projet'!$B$13,Paramètres!$A$1:$I$88,3,0)*0.475*44/12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64.639519050886349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projet'!$B$14,Paramètres!$A$1:$I$88,3,0)*VLOOKUP('Données projet'!$B$14,Paramètres!$A$1:$I$88,5,0)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projet'!$B$14,Paramètres!$A$1:$I$88,7,0))</f>
        <v>0</v>
      </c>
      <c r="DY31" s="17">
        <f>IF(ISNA(VLOOKUP(A31,'Données projet'!$A$165:$I$185,6,0)),0%,VLOOKUP(A31,'Données projet'!$A$165:$I$185,6,0)*VLOOKUP('Données projet'!$B$14,Paramètres!$A$1:$I$88,7,0))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projet'!$B$14,Paramètres!$A$1:$I$88,3,0)*0.475*44/12</f>
        <v>#N/A</v>
      </c>
      <c r="EB31" s="23" t="e">
        <f>EXP(-LN(2)/25)*EB30+(1-EXP(-LN(2)/25))/(LN(2)/25)*Calculateur!DW31*Calculateur!DY31*VLOOKUP('Données projet'!$B$14,Paramètres!$A$1:$I$88,3,0)*0.475*44/12</f>
        <v>#N/A</v>
      </c>
      <c r="EC31" s="23" t="e">
        <f>EXP(-LN(2)/2)*EC30+(1-EXP(-LN(2)/2))/(LN(2)/2)*DW31*DZ31*VLOOKUP('Données projet'!$B$14,Paramètres!$A$1:$I$88,3,0)*0.475*44/12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64.639519050886349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projet'!$B$15,Paramètres!$A$1:$I$88,3,0)*VLOOKUP('Données projet'!$B$15,Paramètres!$A$1:$I$88,5,0)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projet'!$B$15,Paramètres!$A$1:$I$88,7,0))</f>
        <v>0</v>
      </c>
      <c r="ET31" s="17">
        <f>IF(ISNA(VLOOKUP(A31,'Données projet'!$A$191:$I$211,6,0)),0%,VLOOKUP(A31,'Données projet'!$A$191:$I$211,6,0)*VLOOKUP('Données projet'!$B$15,Paramètres!$A$1:$I$88,7,0))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projet'!$B$15,Paramètres!$A$1:$I$88,3,0)*0.475*44/12</f>
        <v>#N/A</v>
      </c>
      <c r="EW31" s="23" t="e">
        <f>EXP(-LN(2)/25)*EW30+(1-EXP(-LN(2)/25))/(LN(2)/25)*Calculateur!ER31*Calculateur!ET31*VLOOKUP('Données projet'!$B$15,Paramètres!$A$1:$I$88,3,0)*0.475*44/12</f>
        <v>#N/A</v>
      </c>
      <c r="EX31" s="23" t="e">
        <f>EXP(-LN(2)/2)*EX30+(1-EXP(-LN(2)/2))/(LN(2)/2)*ER31*EU31*VLOOKUP('Données projet'!$B$15,Paramètres!$A$1:$I$88,3,0)*0.475*44/12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64.639519050886349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projet'!$B$16,Paramètres!$A$1:$I$88,3,0)*VLOOKUP('Données projet'!$B$16,Paramètres!$A$1:$I$88,5,0)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projet'!$B$16,Paramètres!$A$1:$I$88,7,0))</f>
        <v>0</v>
      </c>
      <c r="FO31" s="17">
        <f>IF(ISNA(VLOOKUP(A31,'Données projet'!$A$217:$I$237,6,0)),0%,VLOOKUP(A31,'Données projet'!$A$217:$I$237,6,0)*VLOOKUP('Données projet'!$B$16,Paramètres!$A$1:$I$88,7,0))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projet'!$B$16,Paramètres!$A$1:$I$88,3,0)*0.475*44/12</f>
        <v>#N/A</v>
      </c>
      <c r="FR31" s="23" t="e">
        <f>EXP(-LN(2)/25)*FR30+(1-EXP(-LN(2)/25))/(LN(2)/25)*Calculateur!FM31*Calculateur!FO31*VLOOKUP('Données projet'!$B$16,Paramètres!$A$1:$I$88,3,0)*0.475*44/12</f>
        <v>#N/A</v>
      </c>
      <c r="FS31" s="23" t="e">
        <f>EXP(-LN(2)/2)*FS30+(1-EXP(-LN(2)/2))/(LN(2)/2)*FM31*FP31*VLOOKUP('Données projet'!$B$16,Paramètres!$A$1:$I$88,3,0)*0.475*44/12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64.639519050886349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projet'!$B$17,Paramètres!$A$1:$I$88,3,0)*VLOOKUP('Données projet'!$B$17,Paramètres!$A$1:$I$88,5,0)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projet'!$B$17,Paramètres!$A$1:$I$88,7,0))</f>
        <v>0</v>
      </c>
      <c r="GJ31" s="17">
        <f>IF(ISNA(VLOOKUP(A31,'Données projet'!$A$243:$I$263,6,0)),0%,VLOOKUP(A31,'Données projet'!$A$243:$I$263,6,0)*VLOOKUP('Données projet'!$B$17,Paramètres!$A$1:$I$88,7,0))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projet'!$B$17,Paramètres!$A$1:$I$88,3,0)*0.475*44/12</f>
        <v>#N/A</v>
      </c>
      <c r="GM31" s="23" t="e">
        <f>EXP(-LN(2)/25)*GM30+(1-EXP(-LN(2)/25))/(LN(2)/25)*Calculateur!GH31*Calculateur!GJ31*VLOOKUP('Données projet'!$B$17,Paramètres!$A$1:$I$88,3,0)*0.475*44/12</f>
        <v>#N/A</v>
      </c>
      <c r="GN31" s="23" t="e">
        <f>EXP(-LN(2)/2)*GN30+(1-EXP(-LN(2)/2))/(LN(2)/2)*GH31*GK31*VLOOKUP('Données projet'!$B$17,Paramètres!$A$1:$I$88,3,0)*0.475*44/12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64.639519050886349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projet'!$B$18,Paramètres!$A$1:$I$88,3,0)*VLOOKUP('Données projet'!$B$18,Paramètres!$A$1:$I$88,5,0)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projet'!$B$18,Paramètres!$A$1:$I$88,7,0))</f>
        <v>0</v>
      </c>
      <c r="HE31" s="17">
        <f>IF(ISNA(VLOOKUP(A31,'Données projet'!$A$269:$I$289,6,0)),0%,VLOOKUP(A31,'Données projet'!$A$269:$I$289,6,0)*VLOOKUP('Données projet'!$B$18,Paramètres!$A$1:$I$88,7,0))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projet'!$B$18,Paramètres!$A$1:$I$88,3,0)*0.475*44/12</f>
        <v>#N/A</v>
      </c>
      <c r="HH31" s="23" t="e">
        <f>EXP(-LN(2)/25)*HH30+(1-EXP(-LN(2)/25))/(LN(2)/25)*Calculateur!HC31*Calculateur!HE31*VLOOKUP('Données projet'!$B$18,Paramètres!$A$1:$I$88,3,0)*0.475*44/12</f>
        <v>#N/A</v>
      </c>
      <c r="HI31" s="23" t="e">
        <f>EXP(-LN(2)/2)*HI30+(1-EXP(-LN(2)/2))/(LN(2)/2)*HC31*HF31*VLOOKUP('Données projet'!$B$18,Paramètres!$A$1:$I$88,3,0)*0.475*44/12</f>
        <v>#N/A</v>
      </c>
      <c r="HJ31" s="24" t="e">
        <f t="shared" si="30"/>
        <v>#N/A</v>
      </c>
    </row>
    <row r="32" spans="1:218" s="5" customFormat="1" x14ac:dyDescent="0.35">
      <c r="A32" s="11">
        <f t="shared" si="31"/>
        <v>29</v>
      </c>
      <c r="B32" s="77">
        <f>'Scénario référence'!$B$16*5+'Scénario référence'!$B$17*0+'Scénario référence'!$B$18*5</f>
        <v>1.75</v>
      </c>
      <c r="C32" s="20">
        <f>Calculateur!C31+'Scénario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32" s="12">
        <f t="shared" si="3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6.416666666666667</v>
      </c>
      <c r="H32" s="70">
        <f t="shared" si="1"/>
        <v>231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64.73251141111345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19.714285714285715</v>
      </c>
      <c r="N32" s="14">
        <f>IF('Données projet'!$A$36&gt;35,N31+M32-V31,IF(A32&lt;'Données projet'!$A$36,$K$205^A32,IF(A32='Données projet'!$A$36,'Données projet'!$B$36,N31+M32-V31)))</f>
        <v>272.85714285714289</v>
      </c>
      <c r="O32" s="14">
        <f>N32*VLOOKUP('Données projet'!$B$9,Paramètres!$A$1:$I$88,3,0)*VLOOKUP('Données projet'!$B$9,Paramètres!$A$1:$I$88,5,0)</f>
        <v>152.52714285714288</v>
      </c>
      <c r="P32" s="14">
        <f t="shared" si="33"/>
        <v>39.152328281389373</v>
      </c>
      <c r="Q32" s="22">
        <f t="shared" si="2"/>
        <v>333.84174556627698</v>
      </c>
      <c r="R32" s="62">
        <f t="shared" si="0"/>
        <v>606.63873185147077</v>
      </c>
      <c r="S32" s="62">
        <f ca="1">AVERAGE(OFFSET($R$3,0,0,'Données projet'!$E$9+1,1))-AVERAGE(OFFSET($H$3,0,0,'Données projet'!$E$9+1,1))</f>
        <v>341.05096821796769</v>
      </c>
      <c r="T32" s="62">
        <f t="shared" si="34"/>
        <v>400.72519822215168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projet'!$B$9,Paramètres!$A$1:$I$88,7,0))</f>
        <v>0</v>
      </c>
      <c r="X32" s="17">
        <f>IF(ISNA(VLOOKUP(A32,'Données projet'!$A$35:$I$55,6,0)),0%,VLOOKUP(A32,'Données projet'!$A$35:$I$55,6,0)*VLOOKUP('Données projet'!$B$9,Paramètres!$A$1:$I$88,7,0))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projet'!$B$9,Paramètres!$A$1:$I$88,3,0)*0.475*44/12</f>
        <v>2.2230612950309783</v>
      </c>
      <c r="AA32" s="23">
        <f>EXP(-LN(2)/25)*AA31+(1-EXP(-LN(2)/25))/(LN(2)/25)*Calculateur!V32*Calculateur!X32*VLOOKUP('Données projet'!$B$9,Paramètres!$A$1:$I$88,3,0)*0.475*44/12</f>
        <v>17.161952475641467</v>
      </c>
      <c r="AB32" s="23">
        <f>EXP(-LN(2)/2)*AB31+(1-EXP(-LN(2)/2))/(LN(2)/2)*V32*Y32*VLOOKUP('Données projet'!$B$9,Paramètres!$A$1:$I$88,3,0)*0.475*44/12</f>
        <v>0</v>
      </c>
      <c r="AC32" s="24">
        <f t="shared" si="3"/>
        <v>19.385013770672444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64.73251141111345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11.766666666666666</v>
      </c>
      <c r="AI32" s="14">
        <f>IF('Données projet'!$A$62&gt;35,AI31+AH32-AQ31,IF(A32&lt;'Données projet'!$A$62,$AF$205^A32,IF(A32='Données projet'!$A$62,'Données projet'!$B$62,AI31+AH32-AQ31)))</f>
        <v>134.76666666666674</v>
      </c>
      <c r="AJ32" s="14">
        <f>AI32*VLOOKUP('Données projet'!$B$10,Paramètres!$A$1:$I$88,3,0)*VLOOKUP('Données projet'!$B$10,Paramètres!$A$1:$I$88,5,0)</f>
        <v>80.590466666666714</v>
      </c>
      <c r="AK32" s="14">
        <f t="shared" si="35"/>
        <v>22.281494450839684</v>
      </c>
      <c r="AL32" s="22">
        <f t="shared" si="4"/>
        <v>179.16866561299028</v>
      </c>
      <c r="AM32" s="62">
        <f t="shared" si="5"/>
        <v>451.96565189818409</v>
      </c>
      <c r="AN32" s="62">
        <f ca="1">AVERAGE(OFFSET($AM$3,0,0,'Données projet'!$E$10+1,1))-AVERAGE(OFFSET($H$3,0,0,'Données projet'!$E$10+1,1))</f>
        <v>231.96474801342879</v>
      </c>
      <c r="AO32" s="62">
        <f t="shared" si="36"/>
        <v>237.75726086383668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projet'!$B$10,Paramètres!$A$1:$I$88,7,0))</f>
        <v>0</v>
      </c>
      <c r="AS32" s="17">
        <f>IF(ISNA(VLOOKUP(A32,'Données projet'!$A$61:$I$81,6,0)),0%,VLOOKUP(A32,'Données projet'!$A$61:$I$81,6,0)*VLOOKUP('Données projet'!$B$10,Paramètres!$A$1:$I$88,7,0))</f>
        <v>0</v>
      </c>
      <c r="AT32" s="17">
        <f>IF(ISNA(VLOOKUP(A32,'Données projet'!$A$61:$I$81,7,0)),0%,VLOOKUP(A32,'Données projet'!$A$61:$I$81,7,0))</f>
        <v>0</v>
      </c>
      <c r="AU32" s="23">
        <f>EXP(-LN(2)/35)*AU31+(1-EXP(-LN(2)/35))/(LN(2)/35)*AQ32*AR32*VLOOKUP('Données projet'!$B$10,Paramètres!$A$1:$I$88,3,0)*0.475*44/12</f>
        <v>1.8681025608992432</v>
      </c>
      <c r="AV32" s="23">
        <f>EXP(-LN(2)/25)*AV31+(1-EXP(-LN(2)/25))/(LN(2)/25)*Calculateur!AQ32*Calculateur!AS32*VLOOKUP('Données projet'!$B$10,Paramètres!$A$1:$I$88,3,0)*0.475*44/12</f>
        <v>16.295900618257519</v>
      </c>
      <c r="AW32" s="23">
        <f>EXP(-LN(2)/2)*AW31+(1-EXP(-LN(2)/2))/(LN(2)/2)*AQ32*AT32*VLOOKUP('Données projet'!$B$10,Paramètres!$A$1:$I$88,3,0)*0.475*44/12</f>
        <v>0</v>
      </c>
      <c r="AX32" s="23">
        <f t="shared" si="6"/>
        <v>18.164003179156762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64.73251141111345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6.5217391304347823</v>
      </c>
      <c r="BD32" s="13">
        <f>IF('Données projet'!$A$88&gt;35,BD31+BC32-BL31,IF(A32&lt;'Données projet'!$A$88,$BA$205^A32,IF(A32='Données projet'!$A$88,'Données projet'!$B$88,BD31+BC32-BL31)))</f>
        <v>189.13043478260869</v>
      </c>
      <c r="BE32" s="14">
        <f>BD32*VLOOKUP('Données projet'!$B$11,Paramètres!$A$1:$I$88,3,0)*VLOOKUP('Données projet'!$B$11,Paramètres!$A$1:$I$88,5,0)</f>
        <v>88.513043478260869</v>
      </c>
      <c r="BF32" s="14">
        <f t="shared" si="37"/>
        <v>24.206259913134204</v>
      </c>
      <c r="BG32" s="22">
        <f t="shared" si="7"/>
        <v>196.31945340667974</v>
      </c>
      <c r="BH32" s="62">
        <f t="shared" si="8"/>
        <v>469.11643969187355</v>
      </c>
      <c r="BI32" s="62">
        <f ca="1">AVERAGE(OFFSET($BH$3,0,0,'Données projet'!$E$11+1,1))-AVERAGE(OFFSET($H$3,0,0,'Données projet'!$E$11+1,1))</f>
        <v>364.96458059055169</v>
      </c>
      <c r="BJ32" s="62">
        <f t="shared" si="38"/>
        <v>246.27159120786257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projet'!$B$11,Paramètres!$A$1:$I$88,7,0))</f>
        <v>0</v>
      </c>
      <c r="BN32" s="17">
        <f>IF(ISNA(VLOOKUP(A32,'Données projet'!$A$87:$I$107,6,0)),0%,VLOOKUP(A32,'Données projet'!$A$87:$I$107,6,0)*VLOOKUP('Données projet'!$B$11,Paramètres!$A$1:$I$88,7,0))</f>
        <v>0</v>
      </c>
      <c r="BO32" s="17">
        <f>IF(ISNA(VLOOKUP(A32,'Données projet'!$A$87:$I$107,7,0)),0%,VLOOKUP(A32,'Données projet'!$A$87:$I$107,7,0))</f>
        <v>0</v>
      </c>
      <c r="BP32" s="23">
        <f>EXP(-LN(2)/35)*BP31+(1-EXP(-LN(2)/35))/(LN(2)/35)*BL32*BM32*VLOOKUP('Données projet'!$B$11,Paramètres!$A$1:$I$88,3,0)*0.475*44/12</f>
        <v>0</v>
      </c>
      <c r="BQ32" s="23">
        <f>EXP(-LN(2)/25)*BQ31+(1-EXP(-LN(2)/25))/(LN(2)/25)*Calculateur!BL32*Calculateur!BN32*VLOOKUP('Données projet'!$B$11,Paramètres!$A$1:$I$88,3,0)*0.475*44/12</f>
        <v>0</v>
      </c>
      <c r="BR32" s="23">
        <f>EXP(-LN(2)/2)*BR31+(1-EXP(-LN(2)/2))/(LN(2)/2)*BL32*BO32*VLOOKUP('Données projet'!$B$11,Paramètres!$A$1:$I$88,3,0)*0.475*44/12</f>
        <v>0</v>
      </c>
      <c r="BS32" s="24">
        <f t="shared" si="9"/>
        <v>0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64.73251141111345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4.1666667007873768</v>
      </c>
      <c r="BY32" s="13">
        <f>IF('Données projet'!$A$114&gt;35,BY31+BX32-CG31,IF(A32&lt;'Données projet'!$A$114,$BV$205^A32,IF(A32='Données projet'!$A$114,'Données projet'!$B$114,BY31+BX32-CG31)))</f>
        <v>120.83333432283388</v>
      </c>
      <c r="BZ32" s="14">
        <f>BY32*VLOOKUP('Données projet'!$B$12,Paramètres!$A$1:$I$88,3,0)*VLOOKUP('Données projet'!$B$12,Paramètres!$A$1:$I$88,5,0)</f>
        <v>122.52500100335357</v>
      </c>
      <c r="CA32" s="14">
        <f t="shared" si="39"/>
        <v>32.263198697752749</v>
      </c>
      <c r="CB32" s="22">
        <f t="shared" si="10"/>
        <v>269.58944781276017</v>
      </c>
      <c r="CC32" s="62">
        <f t="shared" si="11"/>
        <v>542.38643409795395</v>
      </c>
      <c r="CD32" s="62">
        <f ca="1">AVERAGE(OFFSET($CC$3,0,0,'Données projet'!$E$12+1,1))-AVERAGE(OFFSET($H$3,0,0,'Données projet'!$E$12+1,1))</f>
        <v>310.53598044763282</v>
      </c>
      <c r="CE32" s="62">
        <f t="shared" si="40"/>
        <v>322.01096634040596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projet'!$B$12,Paramètres!$A$1:$I$88,7,0))</f>
        <v>0</v>
      </c>
      <c r="CI32" s="17">
        <f>IF(ISNA(VLOOKUP(A32,'Données projet'!$A$113:$I$133,6,0)),0%,VLOOKUP(A32,'Données projet'!$A$113:$I$133,6,0)*VLOOKUP('Données projet'!$B$12,Paramètres!$A$1:$I$88,7,0))</f>
        <v>0</v>
      </c>
      <c r="CJ32" s="17">
        <f>IF(ISNA(VLOOKUP(A32,'Données projet'!$A$113:$I$133,7,0)),0%,VLOOKUP(A32,'Données projet'!$A$113:$I$133,7,0))</f>
        <v>0</v>
      </c>
      <c r="CK32" s="23">
        <f>EXP(-LN(2)/35)*CK31+(1-EXP(-LN(2)/35))/(LN(2)/35)*CG32*CH32*VLOOKUP('Données projet'!$B$12,Paramètres!$A$1:$I$88,3,0)*0.475*44/12</f>
        <v>0</v>
      </c>
      <c r="CL32" s="23">
        <f>EXP(-LN(2)/25)*CL31+(1-EXP(-LN(2)/25))/(LN(2)/25)*Calculateur!CG32*Calculateur!CI32*VLOOKUP('Données projet'!$B$12,Paramètres!$A$1:$I$88,3,0)*0.475*44/12</f>
        <v>0</v>
      </c>
      <c r="CM32" s="23">
        <f>EXP(-LN(2)/2)*CM31+(1-EXP(-LN(2)/2))/(LN(2)/2)*CG32*CJ32*VLOOKUP('Données projet'!$B$12,Paramètres!$A$1:$I$88,3,0)*0.475*44/12</f>
        <v>0</v>
      </c>
      <c r="CN32" s="24">
        <f t="shared" si="12"/>
        <v>0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64.73251141111345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projet'!$B$13,Paramètres!$A$1:$I$88,3,0)*VLOOKUP('Données projet'!$B$13,Paramètres!$A$1:$I$88,5,0)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projet'!$B$13,Paramètres!$A$1:$I$88,7,0))</f>
        <v>0</v>
      </c>
      <c r="DD32" s="17">
        <f>IF(ISNA(VLOOKUP(A32,'Données projet'!$A$139:$I$159,6,0)),0%,VLOOKUP(A32,'Données projet'!$A$139:$I$159,6,0)*VLOOKUP('Données projet'!$B$13,Paramètres!$A$1:$I$88,7,0))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projet'!$B$13,Paramètres!$A$1:$I$88,3,0)*0.475*44/12</f>
        <v>#N/A</v>
      </c>
      <c r="DG32" s="23" t="e">
        <f>EXP(-LN(2)/25)*DG31+(1-EXP(-LN(2)/25))/(LN(2)/25)*Calculateur!DB32*Calculateur!DD32*VLOOKUP('Données projet'!$B$13,Paramètres!$A$1:$I$88,3,0)*0.475*44/12</f>
        <v>#N/A</v>
      </c>
      <c r="DH32" s="23" t="e">
        <f>EXP(-LN(2)/2)*DH31+(1-EXP(-LN(2)/2))/(LN(2)/2)*DB32*DE32*VLOOKUP('Données projet'!$B$13,Paramètres!$A$1:$I$88,3,0)*0.475*44/12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64.73251141111345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projet'!$B$14,Paramètres!$A$1:$I$88,3,0)*VLOOKUP('Données projet'!$B$14,Paramètres!$A$1:$I$88,5,0)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projet'!$B$14,Paramètres!$A$1:$I$88,7,0))</f>
        <v>0</v>
      </c>
      <c r="DY32" s="17">
        <f>IF(ISNA(VLOOKUP(A32,'Données projet'!$A$165:$I$185,6,0)),0%,VLOOKUP(A32,'Données projet'!$A$165:$I$185,6,0)*VLOOKUP('Données projet'!$B$14,Paramètres!$A$1:$I$88,7,0))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projet'!$B$14,Paramètres!$A$1:$I$88,3,0)*0.475*44/12</f>
        <v>#N/A</v>
      </c>
      <c r="EB32" s="23" t="e">
        <f>EXP(-LN(2)/25)*EB31+(1-EXP(-LN(2)/25))/(LN(2)/25)*Calculateur!DW32*Calculateur!DY32*VLOOKUP('Données projet'!$B$14,Paramètres!$A$1:$I$88,3,0)*0.475*44/12</f>
        <v>#N/A</v>
      </c>
      <c r="EC32" s="23" t="e">
        <f>EXP(-LN(2)/2)*EC31+(1-EXP(-LN(2)/2))/(LN(2)/2)*DW32*DZ32*VLOOKUP('Données projet'!$B$14,Paramètres!$A$1:$I$88,3,0)*0.475*44/12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64.73251141111345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projet'!$B$15,Paramètres!$A$1:$I$88,3,0)*VLOOKUP('Données projet'!$B$15,Paramètres!$A$1:$I$88,5,0)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projet'!$B$15,Paramètres!$A$1:$I$88,7,0))</f>
        <v>0</v>
      </c>
      <c r="ET32" s="17">
        <f>IF(ISNA(VLOOKUP(A32,'Données projet'!$A$191:$I$211,6,0)),0%,VLOOKUP(A32,'Données projet'!$A$191:$I$211,6,0)*VLOOKUP('Données projet'!$B$15,Paramètres!$A$1:$I$88,7,0))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projet'!$B$15,Paramètres!$A$1:$I$88,3,0)*0.475*44/12</f>
        <v>#N/A</v>
      </c>
      <c r="EW32" s="23" t="e">
        <f>EXP(-LN(2)/25)*EW31+(1-EXP(-LN(2)/25))/(LN(2)/25)*Calculateur!ER32*Calculateur!ET32*VLOOKUP('Données projet'!$B$15,Paramètres!$A$1:$I$88,3,0)*0.475*44/12</f>
        <v>#N/A</v>
      </c>
      <c r="EX32" s="23" t="e">
        <f>EXP(-LN(2)/2)*EX31+(1-EXP(-LN(2)/2))/(LN(2)/2)*ER32*EU32*VLOOKUP('Données projet'!$B$15,Paramètres!$A$1:$I$88,3,0)*0.475*44/12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64.73251141111345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projet'!$B$16,Paramètres!$A$1:$I$88,3,0)*VLOOKUP('Données projet'!$B$16,Paramètres!$A$1:$I$88,5,0)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projet'!$B$16,Paramètres!$A$1:$I$88,7,0))</f>
        <v>0</v>
      </c>
      <c r="FO32" s="17">
        <f>IF(ISNA(VLOOKUP(A32,'Données projet'!$A$217:$I$237,6,0)),0%,VLOOKUP(A32,'Données projet'!$A$217:$I$237,6,0)*VLOOKUP('Données projet'!$B$16,Paramètres!$A$1:$I$88,7,0))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projet'!$B$16,Paramètres!$A$1:$I$88,3,0)*0.475*44/12</f>
        <v>#N/A</v>
      </c>
      <c r="FR32" s="23" t="e">
        <f>EXP(-LN(2)/25)*FR31+(1-EXP(-LN(2)/25))/(LN(2)/25)*Calculateur!FM32*Calculateur!FO32*VLOOKUP('Données projet'!$B$16,Paramètres!$A$1:$I$88,3,0)*0.475*44/12</f>
        <v>#N/A</v>
      </c>
      <c r="FS32" s="23" t="e">
        <f>EXP(-LN(2)/2)*FS31+(1-EXP(-LN(2)/2))/(LN(2)/2)*FM32*FP32*VLOOKUP('Données projet'!$B$16,Paramètres!$A$1:$I$88,3,0)*0.475*44/12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64.73251141111345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projet'!$B$17,Paramètres!$A$1:$I$88,3,0)*VLOOKUP('Données projet'!$B$17,Paramètres!$A$1:$I$88,5,0)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projet'!$B$17,Paramètres!$A$1:$I$88,7,0))</f>
        <v>0</v>
      </c>
      <c r="GJ32" s="17">
        <f>IF(ISNA(VLOOKUP(A32,'Données projet'!$A$243:$I$263,6,0)),0%,VLOOKUP(A32,'Données projet'!$A$243:$I$263,6,0)*VLOOKUP('Données projet'!$B$17,Paramètres!$A$1:$I$88,7,0))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projet'!$B$17,Paramètres!$A$1:$I$88,3,0)*0.475*44/12</f>
        <v>#N/A</v>
      </c>
      <c r="GM32" s="23" t="e">
        <f>EXP(-LN(2)/25)*GM31+(1-EXP(-LN(2)/25))/(LN(2)/25)*Calculateur!GH32*Calculateur!GJ32*VLOOKUP('Données projet'!$B$17,Paramètres!$A$1:$I$88,3,0)*0.475*44/12</f>
        <v>#N/A</v>
      </c>
      <c r="GN32" s="23" t="e">
        <f>EXP(-LN(2)/2)*GN31+(1-EXP(-LN(2)/2))/(LN(2)/2)*GH32*GK32*VLOOKUP('Données projet'!$B$17,Paramètres!$A$1:$I$88,3,0)*0.475*44/12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64.73251141111345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projet'!$B$18,Paramètres!$A$1:$I$88,3,0)*VLOOKUP('Données projet'!$B$18,Paramètres!$A$1:$I$88,5,0)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projet'!$B$18,Paramètres!$A$1:$I$88,7,0))</f>
        <v>0</v>
      </c>
      <c r="HE32" s="17">
        <f>IF(ISNA(VLOOKUP(A32,'Données projet'!$A$269:$I$289,6,0)),0%,VLOOKUP(A32,'Données projet'!$A$269:$I$289,6,0)*VLOOKUP('Données projet'!$B$18,Paramètres!$A$1:$I$88,7,0))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projet'!$B$18,Paramètres!$A$1:$I$88,3,0)*0.475*44/12</f>
        <v>#N/A</v>
      </c>
      <c r="HH32" s="23" t="e">
        <f>EXP(-LN(2)/25)*HH31+(1-EXP(-LN(2)/25))/(LN(2)/25)*Calculateur!HC32*Calculateur!HE32*VLOOKUP('Données projet'!$B$18,Paramètres!$A$1:$I$88,3,0)*0.475*44/12</f>
        <v>#N/A</v>
      </c>
      <c r="HI32" s="23" t="e">
        <f>EXP(-LN(2)/2)*HI31+(1-EXP(-LN(2)/2))/(LN(2)/2)*HC32*HF32*VLOOKUP('Données projet'!$B$18,Paramètres!$A$1:$I$88,3,0)*0.475*44/12</f>
        <v>#N/A</v>
      </c>
      <c r="HJ32" s="24" t="e">
        <f t="shared" si="30"/>
        <v>#N/A</v>
      </c>
    </row>
    <row r="33" spans="1:218" s="5" customFormat="1" x14ac:dyDescent="0.35">
      <c r="A33" s="11">
        <f t="shared" si="31"/>
        <v>30</v>
      </c>
      <c r="B33" s="77">
        <f>'Scénario référence'!$B$16*5+'Scénario référence'!$B$17*0+'Scénario référence'!$B$18*5</f>
        <v>1.75</v>
      </c>
      <c r="C33" s="20">
        <f>Calculateur!C32+'Scénario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33" s="12">
        <f t="shared" si="3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6.416666666666667</v>
      </c>
      <c r="H33" s="70">
        <f t="shared" si="1"/>
        <v>231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64.823890561790364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 t="e">
        <f>VLOOKUP(A33,'Données projet'!$A$35:$I$55,2,0)</f>
        <v>#N/A</v>
      </c>
      <c r="L33" s="13" t="e">
        <f>VLOOKUP(A33,'Données projet'!$A$35:$I$55,9,0)</f>
        <v>#N/A</v>
      </c>
      <c r="M33" s="13">
        <f t="array" ref="M33">INDEX(L:L,MIN(IF(ISNUMBER(L33:L229),ROW(L33:L229),"")))</f>
        <v>19.714285714285715</v>
      </c>
      <c r="N33" s="14">
        <f>IF('Données projet'!$A$36&gt;35,N32+M33-V32,IF(A33&lt;'Données projet'!$A$36,$K$205^A33,IF(A33='Données projet'!$A$36,'Données projet'!$B$36,N32+M33-V32)))</f>
        <v>292.57142857142861</v>
      </c>
      <c r="O33" s="14">
        <f>N33*VLOOKUP('Données projet'!$B$9,Paramètres!$A$1:$I$88,3,0)*VLOOKUP('Données projet'!$B$9,Paramètres!$A$1:$I$88,5,0)</f>
        <v>163.54742857142861</v>
      </c>
      <c r="P33" s="14">
        <f t="shared" si="33"/>
        <v>41.641623770535254</v>
      </c>
      <c r="Q33" s="22">
        <f t="shared" si="2"/>
        <v>357.37093282892039</v>
      </c>
      <c r="R33" s="62">
        <f t="shared" si="0"/>
        <v>631.72519822215168</v>
      </c>
      <c r="S33" s="62">
        <f ca="1">AVERAGE(OFFSET($R$3,0,0,'Données projet'!$E$9+1,1))-AVERAGE(OFFSET($H$3,0,0,'Données projet'!$E$9+1,1))</f>
        <v>341.05096821796769</v>
      </c>
      <c r="T33" s="62">
        <f t="shared" si="34"/>
        <v>400.72519822215168</v>
      </c>
      <c r="U33" s="16">
        <f>IF(ISNA(VLOOKUP(A33,'Données projet'!$A$35:$I$55,3,0)),0,VLOOKUP(A33,'Données projet'!$A$35:$I$55,3,0))</f>
        <v>0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projet'!$B$9,Paramètres!$A$1:$I$88,7,0))</f>
        <v>0</v>
      </c>
      <c r="X33" s="17">
        <f>IF(ISNA(VLOOKUP(A33,'Données projet'!$A$35:$I$55,6,0)),0%,VLOOKUP(A33,'Données projet'!$A$35:$I$55,6,0)*VLOOKUP('Données projet'!$B$9,Paramètres!$A$1:$I$88,7,0))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projet'!$B$9,Paramètres!$A$1:$I$88,3,0)*0.475*44/12</f>
        <v>2.1794684189689235</v>
      </c>
      <c r="AA33" s="23">
        <f>EXP(-LN(2)/25)*AA32+(1-EXP(-LN(2)/25))/(LN(2)/25)*Calculateur!V33*Calculateur!X33*VLOOKUP('Données projet'!$B$9,Paramètres!$A$1:$I$88,3,0)*0.475*44/12</f>
        <v>16.692657982687194</v>
      </c>
      <c r="AB33" s="23">
        <f>EXP(-LN(2)/2)*AB32+(1-EXP(-LN(2)/2))/(LN(2)/2)*V33*Y33*VLOOKUP('Données projet'!$B$9,Paramètres!$A$1:$I$88,3,0)*0.475*44/12</f>
        <v>0</v>
      </c>
      <c r="AC33" s="24">
        <f t="shared" si="3"/>
        <v>18.872126401656118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64.823890561790364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11.766666666666666</v>
      </c>
      <c r="AI33" s="14">
        <f>IF('Données projet'!$A$62&gt;35,AI32+AH33-AQ32,IF(A33&lt;'Données projet'!$A$62,$AF$205^A33,IF(A33='Données projet'!$A$62,'Données projet'!$B$62,AI32+AH33-AQ32)))</f>
        <v>146.53333333333342</v>
      </c>
      <c r="AJ33" s="14">
        <f>AI33*VLOOKUP('Données projet'!$B$10,Paramètres!$A$1:$I$88,3,0)*VLOOKUP('Données projet'!$B$10,Paramètres!$A$1:$I$88,5,0)</f>
        <v>87.626933333333383</v>
      </c>
      <c r="AK33" s="14">
        <f t="shared" si="35"/>
        <v>23.992011434478336</v>
      </c>
      <c r="AL33" s="22">
        <f t="shared" si="4"/>
        <v>194.40299547060536</v>
      </c>
      <c r="AM33" s="62">
        <f t="shared" si="5"/>
        <v>468.75726086383668</v>
      </c>
      <c r="AN33" s="62">
        <f ca="1">AVERAGE(OFFSET($AM$3,0,0,'Données projet'!$E$10+1,1))-AVERAGE(OFFSET($H$3,0,0,'Données projet'!$E$10+1,1))</f>
        <v>231.96474801342879</v>
      </c>
      <c r="AO33" s="62">
        <f t="shared" si="36"/>
        <v>237.75726086383668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projet'!$B$10,Paramètres!$A$1:$I$88,7,0))</f>
        <v>0</v>
      </c>
      <c r="AS33" s="17">
        <f>IF(ISNA(VLOOKUP(A33,'Données projet'!$A$61:$I$81,6,0)),0%,VLOOKUP(A33,'Données projet'!$A$61:$I$81,6,0)*VLOOKUP('Données projet'!$B$10,Paramètres!$A$1:$I$88,7,0))</f>
        <v>0</v>
      </c>
      <c r="AT33" s="17">
        <f>IF(ISNA(VLOOKUP(A33,'Données projet'!$A$61:$I$81,7,0)),0%,VLOOKUP(A33,'Données projet'!$A$61:$I$81,7,0))</f>
        <v>0</v>
      </c>
      <c r="AU33" s="23">
        <f>EXP(-LN(2)/35)*AU32+(1-EXP(-LN(2)/35))/(LN(2)/35)*AQ33*AR33*VLOOKUP('Données projet'!$B$10,Paramètres!$A$1:$I$88,3,0)*0.475*44/12</f>
        <v>1.8314702091100619</v>
      </c>
      <c r="AV33" s="23">
        <f>EXP(-LN(2)/25)*AV32+(1-EXP(-LN(2)/25))/(LN(2)/25)*Calculateur!AQ33*Calculateur!AS33*VLOOKUP('Données projet'!$B$10,Paramètres!$A$1:$I$88,3,0)*0.475*44/12</f>
        <v>15.850288358887099</v>
      </c>
      <c r="AW33" s="23">
        <f>EXP(-LN(2)/2)*AW32+(1-EXP(-LN(2)/2))/(LN(2)/2)*AQ33*AT33*VLOOKUP('Données projet'!$B$10,Paramètres!$A$1:$I$88,3,0)*0.475*44/12</f>
        <v>0</v>
      </c>
      <c r="AX33" s="23">
        <f t="shared" si="6"/>
        <v>17.681758567997161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64.823890561790364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6.5217391304347823</v>
      </c>
      <c r="BD33" s="13">
        <f>IF('Données projet'!$A$88&gt;35,BD32+BC33-BL32,IF(A33&lt;'Données projet'!$A$88,$BA$205^A33,IF(A33='Données projet'!$A$88,'Données projet'!$B$88,BD32+BC33-BL32)))</f>
        <v>195.65217391304347</v>
      </c>
      <c r="BE33" s="14">
        <f>BD33*VLOOKUP('Données projet'!$B$11,Paramètres!$A$1:$I$88,3,0)*VLOOKUP('Données projet'!$B$11,Paramètres!$A$1:$I$88,5,0)</f>
        <v>91.565217391304344</v>
      </c>
      <c r="BF33" s="14">
        <f t="shared" si="37"/>
        <v>24.942338100349936</v>
      </c>
      <c r="BG33" s="22">
        <f t="shared" si="7"/>
        <v>202.9173258146312</v>
      </c>
      <c r="BH33" s="62">
        <f t="shared" si="8"/>
        <v>477.27159120786257</v>
      </c>
      <c r="BI33" s="62">
        <f ca="1">AVERAGE(OFFSET($BH$3,0,0,'Données projet'!$E$11+1,1))-AVERAGE(OFFSET($H$3,0,0,'Données projet'!$E$11+1,1))</f>
        <v>364.96458059055169</v>
      </c>
      <c r="BJ33" s="62">
        <f t="shared" si="38"/>
        <v>246.27159120786257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projet'!$B$11,Paramètres!$A$1:$I$88,7,0))</f>
        <v>0</v>
      </c>
      <c r="BN33" s="17">
        <f>IF(ISNA(VLOOKUP(A33,'Données projet'!$A$87:$I$107,6,0)),0%,VLOOKUP(A33,'Données projet'!$A$87:$I$107,6,0)*VLOOKUP('Données projet'!$B$11,Paramètres!$A$1:$I$88,7,0))</f>
        <v>0</v>
      </c>
      <c r="BO33" s="17">
        <f>IF(ISNA(VLOOKUP(A33,'Données projet'!$A$87:$I$107,7,0)),0%,VLOOKUP(A33,'Données projet'!$A$87:$I$107,7,0))</f>
        <v>0</v>
      </c>
      <c r="BP33" s="23">
        <f>EXP(-LN(2)/35)*BP32+(1-EXP(-LN(2)/35))/(LN(2)/35)*BL33*BM33*VLOOKUP('Données projet'!$B$11,Paramètres!$A$1:$I$88,3,0)*0.475*44/12</f>
        <v>0</v>
      </c>
      <c r="BQ33" s="23">
        <f>EXP(-LN(2)/25)*BQ32+(1-EXP(-LN(2)/25))/(LN(2)/25)*Calculateur!BL33*Calculateur!BN33*VLOOKUP('Données projet'!$B$11,Paramètres!$A$1:$I$88,3,0)*0.475*44/12</f>
        <v>0</v>
      </c>
      <c r="BR33" s="23">
        <f>EXP(-LN(2)/2)*BR32+(1-EXP(-LN(2)/2))/(LN(2)/2)*BL33*BO33*VLOOKUP('Données projet'!$B$11,Paramètres!$A$1:$I$88,3,0)*0.475*44/12</f>
        <v>0</v>
      </c>
      <c r="BS33" s="24">
        <f t="shared" si="9"/>
        <v>0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64.823890561790364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4.1666667007873768</v>
      </c>
      <c r="BY33" s="13">
        <f>IF('Données projet'!$A$114&gt;35,BY32+BX33-CG32,IF(A33&lt;'Données projet'!$A$114,$BV$205^A33,IF(A33='Données projet'!$A$114,'Données projet'!$B$114,BY32+BX33-CG32)))</f>
        <v>125.00000102362125</v>
      </c>
      <c r="BZ33" s="14">
        <f>BY33*VLOOKUP('Données projet'!$B$12,Paramètres!$A$1:$I$88,3,0)*VLOOKUP('Données projet'!$B$12,Paramètres!$A$1:$I$88,5,0)</f>
        <v>126.75000103795195</v>
      </c>
      <c r="CA33" s="14">
        <f t="shared" si="39"/>
        <v>33.244277017842052</v>
      </c>
      <c r="CB33" s="22">
        <f t="shared" si="10"/>
        <v>278.65670094717456</v>
      </c>
      <c r="CC33" s="62">
        <f t="shared" si="11"/>
        <v>553.01096634040596</v>
      </c>
      <c r="CD33" s="62">
        <f ca="1">AVERAGE(OFFSET($CC$3,0,0,'Données projet'!$E$12+1,1))-AVERAGE(OFFSET($H$3,0,0,'Données projet'!$E$12+1,1))</f>
        <v>310.53598044763282</v>
      </c>
      <c r="CE33" s="62">
        <f t="shared" si="40"/>
        <v>322.01096634040596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projet'!$B$12,Paramètres!$A$1:$I$88,7,0))</f>
        <v>0</v>
      </c>
      <c r="CI33" s="17">
        <f>IF(ISNA(VLOOKUP(A33,'Données projet'!$A$113:$I$133,6,0)),0%,VLOOKUP(A33,'Données projet'!$A$113:$I$133,6,0)*VLOOKUP('Données projet'!$B$12,Paramètres!$A$1:$I$88,7,0))</f>
        <v>0</v>
      </c>
      <c r="CJ33" s="17">
        <f>IF(ISNA(VLOOKUP(A33,'Données projet'!$A$113:$I$133,7,0)),0%,VLOOKUP(A33,'Données projet'!$A$113:$I$133,7,0))</f>
        <v>0</v>
      </c>
      <c r="CK33" s="23">
        <f>EXP(-LN(2)/35)*CK32+(1-EXP(-LN(2)/35))/(LN(2)/35)*CG33*CH33*VLOOKUP('Données projet'!$B$12,Paramètres!$A$1:$I$88,3,0)*0.475*44/12</f>
        <v>0</v>
      </c>
      <c r="CL33" s="23">
        <f>EXP(-LN(2)/25)*CL32+(1-EXP(-LN(2)/25))/(LN(2)/25)*Calculateur!CG33*Calculateur!CI33*VLOOKUP('Données projet'!$B$12,Paramètres!$A$1:$I$88,3,0)*0.475*44/12</f>
        <v>0</v>
      </c>
      <c r="CM33" s="23">
        <f>EXP(-LN(2)/2)*CM32+(1-EXP(-LN(2)/2))/(LN(2)/2)*CG33*CJ33*VLOOKUP('Données projet'!$B$12,Paramètres!$A$1:$I$88,3,0)*0.475*44/12</f>
        <v>0</v>
      </c>
      <c r="CN33" s="24">
        <f t="shared" si="12"/>
        <v>0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64.823890561790364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projet'!$B$13,Paramètres!$A$1:$I$88,3,0)*VLOOKUP('Données projet'!$B$13,Paramètres!$A$1:$I$88,5,0)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projet'!$B$13,Paramètres!$A$1:$I$88,7,0))</f>
        <v>0</v>
      </c>
      <c r="DD33" s="17">
        <f>IF(ISNA(VLOOKUP(A33,'Données projet'!$A$139:$I$159,6,0)),0%,VLOOKUP(A33,'Données projet'!$A$139:$I$159,6,0)*VLOOKUP('Données projet'!$B$13,Paramètres!$A$1:$I$88,7,0))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projet'!$B$13,Paramètres!$A$1:$I$88,3,0)*0.475*44/12</f>
        <v>#N/A</v>
      </c>
      <c r="DG33" s="23" t="e">
        <f>EXP(-LN(2)/25)*DG32+(1-EXP(-LN(2)/25))/(LN(2)/25)*Calculateur!DB33*Calculateur!DD33*VLOOKUP('Données projet'!$B$13,Paramètres!$A$1:$I$88,3,0)*0.475*44/12</f>
        <v>#N/A</v>
      </c>
      <c r="DH33" s="23" t="e">
        <f>EXP(-LN(2)/2)*DH32+(1-EXP(-LN(2)/2))/(LN(2)/2)*DB33*DE33*VLOOKUP('Données projet'!$B$13,Paramètres!$A$1:$I$88,3,0)*0.475*44/12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64.823890561790364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projet'!$B$14,Paramètres!$A$1:$I$88,3,0)*VLOOKUP('Données projet'!$B$14,Paramètres!$A$1:$I$88,5,0)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projet'!$B$14,Paramètres!$A$1:$I$88,7,0))</f>
        <v>0</v>
      </c>
      <c r="DY33" s="17">
        <f>IF(ISNA(VLOOKUP(A33,'Données projet'!$A$165:$I$185,6,0)),0%,VLOOKUP(A33,'Données projet'!$A$165:$I$185,6,0)*VLOOKUP('Données projet'!$B$14,Paramètres!$A$1:$I$88,7,0))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projet'!$B$14,Paramètres!$A$1:$I$88,3,0)*0.475*44/12</f>
        <v>#N/A</v>
      </c>
      <c r="EB33" s="23" t="e">
        <f>EXP(-LN(2)/25)*EB32+(1-EXP(-LN(2)/25))/(LN(2)/25)*Calculateur!DW33*Calculateur!DY33*VLOOKUP('Données projet'!$B$14,Paramètres!$A$1:$I$88,3,0)*0.475*44/12</f>
        <v>#N/A</v>
      </c>
      <c r="EC33" s="23" t="e">
        <f>EXP(-LN(2)/2)*EC32+(1-EXP(-LN(2)/2))/(LN(2)/2)*DW33*DZ33*VLOOKUP('Données projet'!$B$14,Paramètres!$A$1:$I$88,3,0)*0.475*44/12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64.823890561790364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projet'!$B$15,Paramètres!$A$1:$I$88,3,0)*VLOOKUP('Données projet'!$B$15,Paramètres!$A$1:$I$88,5,0)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projet'!$B$15,Paramètres!$A$1:$I$88,7,0))</f>
        <v>0</v>
      </c>
      <c r="ET33" s="17">
        <f>IF(ISNA(VLOOKUP(A33,'Données projet'!$A$191:$I$211,6,0)),0%,VLOOKUP(A33,'Données projet'!$A$191:$I$211,6,0)*VLOOKUP('Données projet'!$B$15,Paramètres!$A$1:$I$88,7,0))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projet'!$B$15,Paramètres!$A$1:$I$88,3,0)*0.475*44/12</f>
        <v>#N/A</v>
      </c>
      <c r="EW33" s="23" t="e">
        <f>EXP(-LN(2)/25)*EW32+(1-EXP(-LN(2)/25))/(LN(2)/25)*Calculateur!ER33*Calculateur!ET33*VLOOKUP('Données projet'!$B$15,Paramètres!$A$1:$I$88,3,0)*0.475*44/12</f>
        <v>#N/A</v>
      </c>
      <c r="EX33" s="23" t="e">
        <f>EXP(-LN(2)/2)*EX32+(1-EXP(-LN(2)/2))/(LN(2)/2)*ER33*EU33*VLOOKUP('Données projet'!$B$15,Paramètres!$A$1:$I$88,3,0)*0.475*44/12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64.823890561790364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projet'!$B$16,Paramètres!$A$1:$I$88,3,0)*VLOOKUP('Données projet'!$B$16,Paramètres!$A$1:$I$88,5,0)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projet'!$B$16,Paramètres!$A$1:$I$88,7,0))</f>
        <v>0</v>
      </c>
      <c r="FO33" s="17">
        <f>IF(ISNA(VLOOKUP(A33,'Données projet'!$A$217:$I$237,6,0)),0%,VLOOKUP(A33,'Données projet'!$A$217:$I$237,6,0)*VLOOKUP('Données projet'!$B$16,Paramètres!$A$1:$I$88,7,0))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projet'!$B$16,Paramètres!$A$1:$I$88,3,0)*0.475*44/12</f>
        <v>#N/A</v>
      </c>
      <c r="FR33" s="23" t="e">
        <f>EXP(-LN(2)/25)*FR32+(1-EXP(-LN(2)/25))/(LN(2)/25)*Calculateur!FM33*Calculateur!FO33*VLOOKUP('Données projet'!$B$16,Paramètres!$A$1:$I$88,3,0)*0.475*44/12</f>
        <v>#N/A</v>
      </c>
      <c r="FS33" s="23" t="e">
        <f>EXP(-LN(2)/2)*FS32+(1-EXP(-LN(2)/2))/(LN(2)/2)*FM33*FP33*VLOOKUP('Données projet'!$B$16,Paramètres!$A$1:$I$88,3,0)*0.475*44/12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64.823890561790364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projet'!$B$17,Paramètres!$A$1:$I$88,3,0)*VLOOKUP('Données projet'!$B$17,Paramètres!$A$1:$I$88,5,0)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projet'!$B$17,Paramètres!$A$1:$I$88,7,0))</f>
        <v>0</v>
      </c>
      <c r="GJ33" s="17">
        <f>IF(ISNA(VLOOKUP(A33,'Données projet'!$A$243:$I$263,6,0)),0%,VLOOKUP(A33,'Données projet'!$A$243:$I$263,6,0)*VLOOKUP('Données projet'!$B$17,Paramètres!$A$1:$I$88,7,0))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projet'!$B$17,Paramètres!$A$1:$I$88,3,0)*0.475*44/12</f>
        <v>#N/A</v>
      </c>
      <c r="GM33" s="23" t="e">
        <f>EXP(-LN(2)/25)*GM32+(1-EXP(-LN(2)/25))/(LN(2)/25)*Calculateur!GH33*Calculateur!GJ33*VLOOKUP('Données projet'!$B$17,Paramètres!$A$1:$I$88,3,0)*0.475*44/12</f>
        <v>#N/A</v>
      </c>
      <c r="GN33" s="23" t="e">
        <f>EXP(-LN(2)/2)*GN32+(1-EXP(-LN(2)/2))/(LN(2)/2)*GH33*GK33*VLOOKUP('Données projet'!$B$17,Paramètres!$A$1:$I$88,3,0)*0.475*44/12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64.823890561790364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projet'!$B$18,Paramètres!$A$1:$I$88,3,0)*VLOOKUP('Données projet'!$B$18,Paramètres!$A$1:$I$88,5,0)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projet'!$B$18,Paramètres!$A$1:$I$88,7,0))</f>
        <v>0</v>
      </c>
      <c r="HE33" s="17">
        <f>IF(ISNA(VLOOKUP(A33,'Données projet'!$A$269:$I$289,6,0)),0%,VLOOKUP(A33,'Données projet'!$A$269:$I$289,6,0)*VLOOKUP('Données projet'!$B$18,Paramètres!$A$1:$I$88,7,0))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projet'!$B$18,Paramètres!$A$1:$I$88,3,0)*0.475*44/12</f>
        <v>#N/A</v>
      </c>
      <c r="HH33" s="23" t="e">
        <f>EXP(-LN(2)/25)*HH32+(1-EXP(-LN(2)/25))/(LN(2)/25)*Calculateur!HC33*Calculateur!HE33*VLOOKUP('Données projet'!$B$18,Paramètres!$A$1:$I$88,3,0)*0.475*44/12</f>
        <v>#N/A</v>
      </c>
      <c r="HI33" s="23" t="e">
        <f>EXP(-LN(2)/2)*HI32+(1-EXP(-LN(2)/2))/(LN(2)/2)*HC33*HF33*VLOOKUP('Données projet'!$B$18,Paramètres!$A$1:$I$88,3,0)*0.475*44/12</f>
        <v>#N/A</v>
      </c>
      <c r="HJ33" s="24" t="e">
        <f t="shared" si="30"/>
        <v>#N/A</v>
      </c>
    </row>
    <row r="34" spans="1:218" s="5" customFormat="1" x14ac:dyDescent="0.35">
      <c r="A34" s="11">
        <f t="shared" si="31"/>
        <v>31</v>
      </c>
      <c r="B34" s="77">
        <f>'Scénario référence'!$B$16*5+'Scénario référence'!$B$17*0+'Scénario référence'!$B$18*5</f>
        <v>1.75</v>
      </c>
      <c r="C34" s="20">
        <f>Calculateur!C33+'Scénario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34" s="12">
        <f t="shared" si="3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6.416666666666667</v>
      </c>
      <c r="H34" s="70">
        <f t="shared" si="1"/>
        <v>231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64.913684488496216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19.714285714285715</v>
      </c>
      <c r="N34" s="14">
        <f>IF('Données projet'!$A$36&gt;35,N33+M34-V33,IF(A34&lt;'Données projet'!$A$36,$K$205^A34,IF(A34='Données projet'!$A$36,'Données projet'!$B$36,N33+M34-V33)))</f>
        <v>312.28571428571433</v>
      </c>
      <c r="O34" s="14">
        <f>N34*VLOOKUP('Données projet'!$B$9,Paramètres!$A$1:$I$88,3,0)*VLOOKUP('Données projet'!$B$9,Paramètres!$A$1:$I$88,5,0)</f>
        <v>174.56771428571432</v>
      </c>
      <c r="P34" s="14">
        <f t="shared" si="33"/>
        <v>44.111455647166053</v>
      </c>
      <c r="Q34" s="22">
        <f t="shared" si="2"/>
        <v>380.86622096643327</v>
      </c>
      <c r="R34" s="62">
        <f t="shared" si="0"/>
        <v>655.54973075758608</v>
      </c>
      <c r="S34" s="62">
        <f ca="1">AVERAGE(OFFSET($R$3,0,0,'Données projet'!$E$9+1,1))-AVERAGE(OFFSET($H$3,0,0,'Données projet'!$E$9+1,1))</f>
        <v>341.05096821796769</v>
      </c>
      <c r="T34" s="62">
        <f t="shared" si="34"/>
        <v>400.72519822215168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projet'!$B$9,Paramètres!$A$1:$I$88,7,0))</f>
        <v>0</v>
      </c>
      <c r="X34" s="17">
        <f>IF(ISNA(VLOOKUP(A34,'Données projet'!$A$35:$I$55,6,0)),0%,VLOOKUP(A34,'Données projet'!$A$35:$I$55,6,0)*VLOOKUP('Données projet'!$B$9,Paramètres!$A$1:$I$88,7,0))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projet'!$B$9,Paramètres!$A$1:$I$88,3,0)*0.475*44/12</f>
        <v>2.1367303726174165</v>
      </c>
      <c r="AA34" s="23">
        <f>EXP(-LN(2)/25)*AA33+(1-EXP(-LN(2)/25))/(LN(2)/25)*Calculateur!V34*Calculateur!X34*VLOOKUP('Données projet'!$B$9,Paramètres!$A$1:$I$88,3,0)*0.475*44/12</f>
        <v>16.236196372321881</v>
      </c>
      <c r="AB34" s="23">
        <f>EXP(-LN(2)/2)*AB33+(1-EXP(-LN(2)/2))/(LN(2)/2)*V34*Y34*VLOOKUP('Données projet'!$B$9,Paramètres!$A$1:$I$88,3,0)*0.475*44/12</f>
        <v>0</v>
      </c>
      <c r="AC34" s="24">
        <f t="shared" si="3"/>
        <v>18.372926744939299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64.913684488496216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11.766666666666666</v>
      </c>
      <c r="AI34" s="14">
        <f>IF('Données projet'!$A$62&gt;35,AI33+AH34-AQ33,IF(A34&lt;'Données projet'!$A$62,$AF$205^A34,IF(A34='Données projet'!$A$62,'Données projet'!$B$62,AI33+AH34-AQ33)))</f>
        <v>158.30000000000007</v>
      </c>
      <c r="AJ34" s="14">
        <f>AI34*VLOOKUP('Données projet'!$B$10,Paramètres!$A$1:$I$88,3,0)*VLOOKUP('Données projet'!$B$10,Paramètres!$A$1:$I$88,5,0)</f>
        <v>94.663400000000053</v>
      </c>
      <c r="AK34" s="14">
        <f t="shared" si="35"/>
        <v>25.686596724372428</v>
      </c>
      <c r="AL34" s="22">
        <f t="shared" si="4"/>
        <v>209.60957762828207</v>
      </c>
      <c r="AM34" s="62">
        <f t="shared" si="5"/>
        <v>484.29308741943487</v>
      </c>
      <c r="AN34" s="62">
        <f ca="1">AVERAGE(OFFSET($AM$3,0,0,'Données projet'!$E$10+1,1))-AVERAGE(OFFSET($H$3,0,0,'Données projet'!$E$10+1,1))</f>
        <v>231.96474801342879</v>
      </c>
      <c r="AO34" s="62">
        <f t="shared" si="36"/>
        <v>237.75726086383668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projet'!$B$10,Paramètres!$A$1:$I$88,7,0))</f>
        <v>0</v>
      </c>
      <c r="AS34" s="17">
        <f>IF(ISNA(VLOOKUP(A34,'Données projet'!$A$61:$I$81,6,0)),0%,VLOOKUP(A34,'Données projet'!$A$61:$I$81,6,0)*VLOOKUP('Données projet'!$B$10,Paramètres!$A$1:$I$88,7,0))</f>
        <v>0</v>
      </c>
      <c r="AT34" s="17">
        <f>IF(ISNA(VLOOKUP(A34,'Données projet'!$A$61:$I$81,7,0)),0%,VLOOKUP(A34,'Données projet'!$A$61:$I$81,7,0))</f>
        <v>0</v>
      </c>
      <c r="AU34" s="23">
        <f>EXP(-LN(2)/35)*AU33+(1-EXP(-LN(2)/35))/(LN(2)/35)*AQ34*AR34*VLOOKUP('Données projet'!$B$10,Paramètres!$A$1:$I$88,3,0)*0.475*44/12</f>
        <v>1.795556195395938</v>
      </c>
      <c r="AV34" s="23">
        <f>EXP(-LN(2)/25)*AV33+(1-EXP(-LN(2)/25))/(LN(2)/25)*Calculateur!AQ34*Calculateur!AS34*VLOOKUP('Données projet'!$B$10,Paramètres!$A$1:$I$88,3,0)*0.475*44/12</f>
        <v>15.416861390182893</v>
      </c>
      <c r="AW34" s="23">
        <f>EXP(-LN(2)/2)*AW33+(1-EXP(-LN(2)/2))/(LN(2)/2)*AQ34*AT34*VLOOKUP('Données projet'!$B$10,Paramètres!$A$1:$I$88,3,0)*0.475*44/12</f>
        <v>0</v>
      </c>
      <c r="AX34" s="23">
        <f t="shared" si="6"/>
        <v>17.21241758557883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64.913684488496216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6.5217391304347823</v>
      </c>
      <c r="BD34" s="13">
        <f>IF('Données projet'!$A$88&gt;35,BD33+BC34-BL33,IF(A34&lt;'Données projet'!$A$88,$BA$205^A34,IF(A34='Données projet'!$A$88,'Données projet'!$B$88,BD33+BC34-BL33)))</f>
        <v>202.17391304347825</v>
      </c>
      <c r="BE34" s="14">
        <f>BD34*VLOOKUP('Données projet'!$B$11,Paramètres!$A$1:$I$88,3,0)*VLOOKUP('Données projet'!$B$11,Paramètres!$A$1:$I$88,5,0)</f>
        <v>94.617391304347834</v>
      </c>
      <c r="BF34" s="14">
        <f t="shared" si="37"/>
        <v>25.675565279889113</v>
      </c>
      <c r="BG34" s="22">
        <f t="shared" si="7"/>
        <v>209.51023271754602</v>
      </c>
      <c r="BH34" s="62">
        <f t="shared" si="8"/>
        <v>484.19374250869885</v>
      </c>
      <c r="BI34" s="62">
        <f ca="1">AVERAGE(OFFSET($BH$3,0,0,'Données projet'!$E$11+1,1))-AVERAGE(OFFSET($H$3,0,0,'Données projet'!$E$11+1,1))</f>
        <v>364.96458059055169</v>
      </c>
      <c r="BJ34" s="62">
        <f t="shared" si="38"/>
        <v>246.27159120786257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projet'!$B$11,Paramètres!$A$1:$I$88,7,0))</f>
        <v>0</v>
      </c>
      <c r="BN34" s="17">
        <f>IF(ISNA(VLOOKUP(A34,'Données projet'!$A$87:$I$107,6,0)),0%,VLOOKUP(A34,'Données projet'!$A$87:$I$107,6,0)*VLOOKUP('Données projet'!$B$11,Paramètres!$A$1:$I$88,7,0))</f>
        <v>0</v>
      </c>
      <c r="BO34" s="17">
        <f>IF(ISNA(VLOOKUP(A34,'Données projet'!$A$87:$I$107,7,0)),0%,VLOOKUP(A34,'Données projet'!$A$87:$I$107,7,0))</f>
        <v>0</v>
      </c>
      <c r="BP34" s="23">
        <f>EXP(-LN(2)/35)*BP33+(1-EXP(-LN(2)/35))/(LN(2)/35)*BL34*BM34*VLOOKUP('Données projet'!$B$11,Paramètres!$A$1:$I$88,3,0)*0.475*44/12</f>
        <v>0</v>
      </c>
      <c r="BQ34" s="23">
        <f>EXP(-LN(2)/25)*BQ33+(1-EXP(-LN(2)/25))/(LN(2)/25)*Calculateur!BL34*Calculateur!BN34*VLOOKUP('Données projet'!$B$11,Paramètres!$A$1:$I$88,3,0)*0.475*44/12</f>
        <v>0</v>
      </c>
      <c r="BR34" s="23">
        <f>EXP(-LN(2)/2)*BR33+(1-EXP(-LN(2)/2))/(LN(2)/2)*BL34*BO34*VLOOKUP('Données projet'!$B$11,Paramètres!$A$1:$I$88,3,0)*0.475*44/12</f>
        <v>0</v>
      </c>
      <c r="BS34" s="24">
        <f t="shared" si="9"/>
        <v>0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64.913684488496216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4.1666667007873768</v>
      </c>
      <c r="BY34" s="13">
        <f>IF('Données projet'!$A$114&gt;35,BY33+BX34-CG33,IF(A34&lt;'Données projet'!$A$114,$BV$205^A34,IF(A34='Données projet'!$A$114,'Données projet'!$B$114,BY33+BX34-CG33)))</f>
        <v>129.16666772440863</v>
      </c>
      <c r="BZ34" s="14">
        <f>BY34*VLOOKUP('Données projet'!$B$12,Paramètres!$A$1:$I$88,3,0)*VLOOKUP('Données projet'!$B$12,Paramètres!$A$1:$I$88,5,0)</f>
        <v>130.97500107255036</v>
      </c>
      <c r="CA34" s="14">
        <f t="shared" si="39"/>
        <v>34.221555385873984</v>
      </c>
      <c r="CB34" s="22">
        <f t="shared" si="10"/>
        <v>287.71733583175569</v>
      </c>
      <c r="CC34" s="62">
        <f t="shared" si="11"/>
        <v>562.40084562290849</v>
      </c>
      <c r="CD34" s="62">
        <f ca="1">AVERAGE(OFFSET($CC$3,0,0,'Données projet'!$E$12+1,1))-AVERAGE(OFFSET($H$3,0,0,'Données projet'!$E$12+1,1))</f>
        <v>310.53598044763282</v>
      </c>
      <c r="CE34" s="62">
        <f t="shared" si="40"/>
        <v>322.01096634040596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projet'!$B$12,Paramètres!$A$1:$I$88,7,0))</f>
        <v>0</v>
      </c>
      <c r="CI34" s="17">
        <f>IF(ISNA(VLOOKUP(A34,'Données projet'!$A$113:$I$133,6,0)),0%,VLOOKUP(A34,'Données projet'!$A$113:$I$133,6,0)*VLOOKUP('Données projet'!$B$12,Paramètres!$A$1:$I$88,7,0))</f>
        <v>0</v>
      </c>
      <c r="CJ34" s="17">
        <f>IF(ISNA(VLOOKUP(A34,'Données projet'!$A$113:$I$133,7,0)),0%,VLOOKUP(A34,'Données projet'!$A$113:$I$133,7,0))</f>
        <v>0</v>
      </c>
      <c r="CK34" s="23">
        <f>EXP(-LN(2)/35)*CK33+(1-EXP(-LN(2)/35))/(LN(2)/35)*CG34*CH34*VLOOKUP('Données projet'!$B$12,Paramètres!$A$1:$I$88,3,0)*0.475*44/12</f>
        <v>0</v>
      </c>
      <c r="CL34" s="23">
        <f>EXP(-LN(2)/25)*CL33+(1-EXP(-LN(2)/25))/(LN(2)/25)*Calculateur!CG34*Calculateur!CI34*VLOOKUP('Données projet'!$B$12,Paramètres!$A$1:$I$88,3,0)*0.475*44/12</f>
        <v>0</v>
      </c>
      <c r="CM34" s="23">
        <f>EXP(-LN(2)/2)*CM33+(1-EXP(-LN(2)/2))/(LN(2)/2)*CG34*CJ34*VLOOKUP('Données projet'!$B$12,Paramètres!$A$1:$I$88,3,0)*0.475*44/12</f>
        <v>0</v>
      </c>
      <c r="CN34" s="24">
        <f t="shared" si="12"/>
        <v>0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64.913684488496216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projet'!$B$13,Paramètres!$A$1:$I$88,3,0)*VLOOKUP('Données projet'!$B$13,Paramètres!$A$1:$I$88,5,0)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projet'!$B$13,Paramètres!$A$1:$I$88,7,0))</f>
        <v>0</v>
      </c>
      <c r="DD34" s="17">
        <f>IF(ISNA(VLOOKUP(A34,'Données projet'!$A$139:$I$159,6,0)),0%,VLOOKUP(A34,'Données projet'!$A$139:$I$159,6,0)*VLOOKUP('Données projet'!$B$13,Paramètres!$A$1:$I$88,7,0))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projet'!$B$13,Paramètres!$A$1:$I$88,3,0)*0.475*44/12</f>
        <v>#N/A</v>
      </c>
      <c r="DG34" s="23" t="e">
        <f>EXP(-LN(2)/25)*DG33+(1-EXP(-LN(2)/25))/(LN(2)/25)*Calculateur!DB34*Calculateur!DD34*VLOOKUP('Données projet'!$B$13,Paramètres!$A$1:$I$88,3,0)*0.475*44/12</f>
        <v>#N/A</v>
      </c>
      <c r="DH34" s="23" t="e">
        <f>EXP(-LN(2)/2)*DH33+(1-EXP(-LN(2)/2))/(LN(2)/2)*DB34*DE34*VLOOKUP('Données projet'!$B$13,Paramètres!$A$1:$I$88,3,0)*0.475*44/12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64.913684488496216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projet'!$B$14,Paramètres!$A$1:$I$88,3,0)*VLOOKUP('Données projet'!$B$14,Paramètres!$A$1:$I$88,5,0)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projet'!$B$14,Paramètres!$A$1:$I$88,7,0))</f>
        <v>0</v>
      </c>
      <c r="DY34" s="17">
        <f>IF(ISNA(VLOOKUP(A34,'Données projet'!$A$165:$I$185,6,0)),0%,VLOOKUP(A34,'Données projet'!$A$165:$I$185,6,0)*VLOOKUP('Données projet'!$B$14,Paramètres!$A$1:$I$88,7,0))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projet'!$B$14,Paramètres!$A$1:$I$88,3,0)*0.475*44/12</f>
        <v>#N/A</v>
      </c>
      <c r="EB34" s="23" t="e">
        <f>EXP(-LN(2)/25)*EB33+(1-EXP(-LN(2)/25))/(LN(2)/25)*Calculateur!DW34*Calculateur!DY34*VLOOKUP('Données projet'!$B$14,Paramètres!$A$1:$I$88,3,0)*0.475*44/12</f>
        <v>#N/A</v>
      </c>
      <c r="EC34" s="23" t="e">
        <f>EXP(-LN(2)/2)*EC33+(1-EXP(-LN(2)/2))/(LN(2)/2)*DW34*DZ34*VLOOKUP('Données projet'!$B$14,Paramètres!$A$1:$I$88,3,0)*0.475*44/12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64.913684488496216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projet'!$B$15,Paramètres!$A$1:$I$88,3,0)*VLOOKUP('Données projet'!$B$15,Paramètres!$A$1:$I$88,5,0)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projet'!$B$15,Paramètres!$A$1:$I$88,7,0))</f>
        <v>0</v>
      </c>
      <c r="ET34" s="17">
        <f>IF(ISNA(VLOOKUP(A34,'Données projet'!$A$191:$I$211,6,0)),0%,VLOOKUP(A34,'Données projet'!$A$191:$I$211,6,0)*VLOOKUP('Données projet'!$B$15,Paramètres!$A$1:$I$88,7,0))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projet'!$B$15,Paramètres!$A$1:$I$88,3,0)*0.475*44/12</f>
        <v>#N/A</v>
      </c>
      <c r="EW34" s="23" t="e">
        <f>EXP(-LN(2)/25)*EW33+(1-EXP(-LN(2)/25))/(LN(2)/25)*Calculateur!ER34*Calculateur!ET34*VLOOKUP('Données projet'!$B$15,Paramètres!$A$1:$I$88,3,0)*0.475*44/12</f>
        <v>#N/A</v>
      </c>
      <c r="EX34" s="23" t="e">
        <f>EXP(-LN(2)/2)*EX33+(1-EXP(-LN(2)/2))/(LN(2)/2)*ER34*EU34*VLOOKUP('Données projet'!$B$15,Paramètres!$A$1:$I$88,3,0)*0.475*44/12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64.913684488496216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projet'!$B$16,Paramètres!$A$1:$I$88,3,0)*VLOOKUP('Données projet'!$B$16,Paramètres!$A$1:$I$88,5,0)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projet'!$B$16,Paramètres!$A$1:$I$88,7,0))</f>
        <v>0</v>
      </c>
      <c r="FO34" s="17">
        <f>IF(ISNA(VLOOKUP(A34,'Données projet'!$A$217:$I$237,6,0)),0%,VLOOKUP(A34,'Données projet'!$A$217:$I$237,6,0)*VLOOKUP('Données projet'!$B$16,Paramètres!$A$1:$I$88,7,0))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projet'!$B$16,Paramètres!$A$1:$I$88,3,0)*0.475*44/12</f>
        <v>#N/A</v>
      </c>
      <c r="FR34" s="23" t="e">
        <f>EXP(-LN(2)/25)*FR33+(1-EXP(-LN(2)/25))/(LN(2)/25)*Calculateur!FM34*Calculateur!FO34*VLOOKUP('Données projet'!$B$16,Paramètres!$A$1:$I$88,3,0)*0.475*44/12</f>
        <v>#N/A</v>
      </c>
      <c r="FS34" s="23" t="e">
        <f>EXP(-LN(2)/2)*FS33+(1-EXP(-LN(2)/2))/(LN(2)/2)*FM34*FP34*VLOOKUP('Données projet'!$B$16,Paramètres!$A$1:$I$88,3,0)*0.475*44/12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64.913684488496216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projet'!$B$17,Paramètres!$A$1:$I$88,3,0)*VLOOKUP('Données projet'!$B$17,Paramètres!$A$1:$I$88,5,0)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projet'!$B$17,Paramètres!$A$1:$I$88,7,0))</f>
        <v>0</v>
      </c>
      <c r="GJ34" s="17">
        <f>IF(ISNA(VLOOKUP(A34,'Données projet'!$A$243:$I$263,6,0)),0%,VLOOKUP(A34,'Données projet'!$A$243:$I$263,6,0)*VLOOKUP('Données projet'!$B$17,Paramètres!$A$1:$I$88,7,0))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projet'!$B$17,Paramètres!$A$1:$I$88,3,0)*0.475*44/12</f>
        <v>#N/A</v>
      </c>
      <c r="GM34" s="23" t="e">
        <f>EXP(-LN(2)/25)*GM33+(1-EXP(-LN(2)/25))/(LN(2)/25)*Calculateur!GH34*Calculateur!GJ34*VLOOKUP('Données projet'!$B$17,Paramètres!$A$1:$I$88,3,0)*0.475*44/12</f>
        <v>#N/A</v>
      </c>
      <c r="GN34" s="23" t="e">
        <f>EXP(-LN(2)/2)*GN33+(1-EXP(-LN(2)/2))/(LN(2)/2)*GH34*GK34*VLOOKUP('Données projet'!$B$17,Paramètres!$A$1:$I$88,3,0)*0.475*44/12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64.913684488496216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projet'!$B$18,Paramètres!$A$1:$I$88,3,0)*VLOOKUP('Données projet'!$B$18,Paramètres!$A$1:$I$88,5,0)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projet'!$B$18,Paramètres!$A$1:$I$88,7,0))</f>
        <v>0</v>
      </c>
      <c r="HE34" s="17">
        <f>IF(ISNA(VLOOKUP(A34,'Données projet'!$A$269:$I$289,6,0)),0%,VLOOKUP(A34,'Données projet'!$A$269:$I$289,6,0)*VLOOKUP('Données projet'!$B$18,Paramètres!$A$1:$I$88,7,0))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projet'!$B$18,Paramètres!$A$1:$I$88,3,0)*0.475*44/12</f>
        <v>#N/A</v>
      </c>
      <c r="HH34" s="23" t="e">
        <f>EXP(-LN(2)/25)*HH33+(1-EXP(-LN(2)/25))/(LN(2)/25)*Calculateur!HC34*Calculateur!HE34*VLOOKUP('Données projet'!$B$18,Paramètres!$A$1:$I$88,3,0)*0.475*44/12</f>
        <v>#N/A</v>
      </c>
      <c r="HI34" s="23" t="e">
        <f>EXP(-LN(2)/2)*HI33+(1-EXP(-LN(2)/2))/(LN(2)/2)*HC34*HF34*VLOOKUP('Données projet'!$B$18,Paramètres!$A$1:$I$88,3,0)*0.475*44/12</f>
        <v>#N/A</v>
      </c>
      <c r="HJ34" s="24" t="e">
        <f t="shared" si="30"/>
        <v>#N/A</v>
      </c>
    </row>
    <row r="35" spans="1:218" s="5" customFormat="1" x14ac:dyDescent="0.35">
      <c r="A35" s="11">
        <f t="shared" si="31"/>
        <v>32</v>
      </c>
      <c r="B35" s="77">
        <f>'Scénario référence'!$B$16*5+'Scénario référence'!$B$17*0+'Scénario référence'!$B$18*5</f>
        <v>1.75</v>
      </c>
      <c r="C35" s="20">
        <f>Calculateur!C34+'Scénario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35" s="12">
        <f t="shared" si="3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6.416666666666667</v>
      </c>
      <c r="H35" s="70">
        <f t="shared" si="1"/>
        <v>231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65.001920691322866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>
        <f>VLOOKUP(A35,'Données projet'!$A$35:$I$55,2,0)</f>
        <v>332</v>
      </c>
      <c r="L35" s="13">
        <f>VLOOKUP(A35,'Données projet'!$A$35:$I$55,9,0)</f>
        <v>19.714285714285715</v>
      </c>
      <c r="M35" s="13">
        <f t="array" ref="M35">INDEX(L:L,MIN(IF(ISNUMBER(L35:L231),ROW(L35:L231),"")))</f>
        <v>19.714285714285715</v>
      </c>
      <c r="N35" s="14">
        <f>IF('Données projet'!$A$36&gt;35,N34+M35-V34,IF(A35&lt;'Données projet'!$A$36,$K$205^A35,IF(A35='Données projet'!$A$36,'Données projet'!$B$36,N34+M35-V34)))</f>
        <v>332.00000000000006</v>
      </c>
      <c r="O35" s="14">
        <f>N35*VLOOKUP('Données projet'!$B$9,Paramètres!$A$1:$I$88,3,0)*VLOOKUP('Données projet'!$B$9,Paramètres!$A$1:$I$88,5,0)</f>
        <v>185.58800000000002</v>
      </c>
      <c r="P35" s="14">
        <f t="shared" si="33"/>
        <v>46.563192499694225</v>
      </c>
      <c r="Q35" s="22">
        <f t="shared" ref="Q35:Q66" si="53">(O35+P35)*0.475*44/12</f>
        <v>404.32999360363414</v>
      </c>
      <c r="R35" s="62">
        <f t="shared" si="0"/>
        <v>679.33703613848468</v>
      </c>
      <c r="S35" s="62">
        <f ca="1">AVERAGE(OFFSET($R$3,0,0,'Données projet'!$E$9+1,1))-AVERAGE(OFFSET($H$3,0,0,'Données projet'!$E$9+1,1))</f>
        <v>341.05096821796769</v>
      </c>
      <c r="T35" s="62">
        <f t="shared" si="34"/>
        <v>400.72519822215168</v>
      </c>
      <c r="U35" s="16">
        <f>IF(ISNA(VLOOKUP(A35,'Données projet'!$A$35:$I$55,3,0)),0,VLOOKUP(A35,'Données projet'!$A$35:$I$55,3,0))</f>
        <v>2</v>
      </c>
      <c r="V35" s="16">
        <f>IF(ISNA(VLOOKUP(A35,'Données projet'!$A$35:$I$55,4,0)),0,VLOOKUP(A35,'Données projet'!$A$35:$I$55,4,0))</f>
        <v>79</v>
      </c>
      <c r="W35" s="17">
        <f>IF(ISNA(VLOOKUP(A35,'Données projet'!$A$35:$I$55,5,0)),0%,VLOOKUP(A35,'Données projet'!$A$35:$I$55,5,0)*VLOOKUP('Données projet'!$B$9,Paramètres!$A$1:$I$88,7,0))</f>
        <v>0.16500000000000001</v>
      </c>
      <c r="X35" s="17">
        <f>IF(ISNA(VLOOKUP(A35,'Données projet'!$A$35:$I$55,6,0)),0%,VLOOKUP(A35,'Données projet'!$A$35:$I$55,6,0)*VLOOKUP('Données projet'!$B$9,Paramètres!$A$1:$I$88,7,0))</f>
        <v>0.27500000000000002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projet'!$B$9,Paramètres!$A$1:$I$88,3,0)*0.475*44/12</f>
        <v>11.760928524537043</v>
      </c>
      <c r="AA35" s="23">
        <f>EXP(-LN(2)/25)*AA34+(1-EXP(-LN(2)/25))/(LN(2)/25)*Calculateur!V35*Calculateur!X35*VLOOKUP('Données projet'!$B$9,Paramètres!$A$1:$I$88,3,0)*0.475*44/12</f>
        <v>31.83894842842119</v>
      </c>
      <c r="AB35" s="23">
        <f>EXP(-LN(2)/2)*AB34+(1-EXP(-LN(2)/2))/(LN(2)/2)*V35*Y35*VLOOKUP('Données projet'!$B$9,Paramètres!$A$1:$I$88,3,0)*0.475*44/12</f>
        <v>0</v>
      </c>
      <c r="AC35" s="24">
        <f t="shared" si="3"/>
        <v>43.599876952958233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65.001920691322866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11.766666666666666</v>
      </c>
      <c r="AI35" s="14">
        <f>IF('Données projet'!$A$62&gt;35,AI34+AH35-AQ34,IF(A35&lt;'Données projet'!$A$62,$AF$205^A35,IF(A35='Données projet'!$A$62,'Données projet'!$B$62,AI34+AH35-AQ34)))</f>
        <v>170.06666666666672</v>
      </c>
      <c r="AJ35" s="14">
        <f>AI35*VLOOKUP('Données projet'!$B$10,Paramètres!$A$1:$I$88,3,0)*VLOOKUP('Données projet'!$B$10,Paramètres!$A$1:$I$88,5,0)</f>
        <v>101.69986666666671</v>
      </c>
      <c r="AK35" s="14">
        <f t="shared" si="35"/>
        <v>27.366569207246041</v>
      </c>
      <c r="AL35" s="22">
        <f t="shared" si="4"/>
        <v>224.79070914706469</v>
      </c>
      <c r="AM35" s="62">
        <f t="shared" si="5"/>
        <v>499.7977516819152</v>
      </c>
      <c r="AN35" s="62">
        <f ca="1">AVERAGE(OFFSET($AM$3,0,0,'Données projet'!$E$10+1,1))-AVERAGE(OFFSET($H$3,0,0,'Données projet'!$E$10+1,1))</f>
        <v>231.96474801342879</v>
      </c>
      <c r="AO35" s="62">
        <f t="shared" si="36"/>
        <v>237.75726086383668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projet'!$B$10,Paramètres!$A$1:$I$88,7,0))</f>
        <v>0</v>
      </c>
      <c r="AS35" s="17">
        <f>IF(ISNA(VLOOKUP(A35,'Données projet'!$A$61:$I$81,6,0)),0%,VLOOKUP(A35,'Données projet'!$A$61:$I$81,6,0)*VLOOKUP('Données projet'!$B$10,Paramètres!$A$1:$I$88,7,0))</f>
        <v>0</v>
      </c>
      <c r="AT35" s="17">
        <f>IF(ISNA(VLOOKUP(A35,'Données projet'!$A$61:$I$81,7,0)),0%,VLOOKUP(A35,'Données projet'!$A$61:$I$81,7,0))</f>
        <v>0</v>
      </c>
      <c r="AU35" s="23">
        <f>EXP(-LN(2)/35)*AU34+(1-EXP(-LN(2)/35))/(LN(2)/35)*AQ35*AR35*VLOOKUP('Données projet'!$B$10,Paramètres!$A$1:$I$88,3,0)*0.475*44/12</f>
        <v>1.7603464335853627</v>
      </c>
      <c r="AV35" s="23">
        <f>EXP(-LN(2)/25)*AV34+(1-EXP(-LN(2)/25))/(LN(2)/25)*Calculateur!AQ35*Calculateur!AS35*VLOOKUP('Données projet'!$B$10,Paramètres!$A$1:$I$88,3,0)*0.475*44/12</f>
        <v>14.995286504730837</v>
      </c>
      <c r="AW35" s="23">
        <f>EXP(-LN(2)/2)*AW34+(1-EXP(-LN(2)/2))/(LN(2)/2)*AQ35*AT35*VLOOKUP('Données projet'!$B$10,Paramètres!$A$1:$I$88,3,0)*0.475*44/12</f>
        <v>0</v>
      </c>
      <c r="AX35" s="23">
        <f t="shared" si="6"/>
        <v>16.7556329383162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65.001920691322866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6.5217391304347823</v>
      </c>
      <c r="BD35" s="13">
        <f>IF('Données projet'!$A$88&gt;35,BD34+BC35-BL34,IF(A35&lt;'Données projet'!$A$88,$BA$205^A35,IF(A35='Données projet'!$A$88,'Données projet'!$B$88,BD34+BC35-BL34)))</f>
        <v>208.69565217391303</v>
      </c>
      <c r="BE35" s="14">
        <f>BD35*VLOOKUP('Données projet'!$B$11,Paramètres!$A$1:$I$88,3,0)*VLOOKUP('Données projet'!$B$11,Paramètres!$A$1:$I$88,5,0)</f>
        <v>97.669565217391295</v>
      </c>
      <c r="BF35" s="14">
        <f t="shared" si="37"/>
        <v>26.406043968389962</v>
      </c>
      <c r="BG35" s="22">
        <f t="shared" si="7"/>
        <v>216.09835266523569</v>
      </c>
      <c r="BH35" s="62">
        <f t="shared" si="8"/>
        <v>491.10539520008626</v>
      </c>
      <c r="BI35" s="62">
        <f ca="1">AVERAGE(OFFSET($BH$3,0,0,'Données projet'!$E$11+1,1))-AVERAGE(OFFSET($H$3,0,0,'Données projet'!$E$11+1,1))</f>
        <v>364.96458059055169</v>
      </c>
      <c r="BJ35" s="62">
        <f t="shared" si="38"/>
        <v>246.27159120786257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projet'!$B$11,Paramètres!$A$1:$I$88,7,0))</f>
        <v>0</v>
      </c>
      <c r="BN35" s="17">
        <f>IF(ISNA(VLOOKUP(A35,'Données projet'!$A$87:$I$107,6,0)),0%,VLOOKUP(A35,'Données projet'!$A$87:$I$107,6,0)*VLOOKUP('Données projet'!$B$11,Paramètres!$A$1:$I$88,7,0))</f>
        <v>0</v>
      </c>
      <c r="BO35" s="17">
        <f>IF(ISNA(VLOOKUP(A35,'Données projet'!$A$87:$I$107,7,0)),0%,VLOOKUP(A35,'Données projet'!$A$87:$I$107,7,0))</f>
        <v>0</v>
      </c>
      <c r="BP35" s="23">
        <f>EXP(-LN(2)/35)*BP34+(1-EXP(-LN(2)/35))/(LN(2)/35)*BL35*BM35*VLOOKUP('Données projet'!$B$11,Paramètres!$A$1:$I$88,3,0)*0.475*44/12</f>
        <v>0</v>
      </c>
      <c r="BQ35" s="23">
        <f>EXP(-LN(2)/25)*BQ34+(1-EXP(-LN(2)/25))/(LN(2)/25)*Calculateur!BL35*Calculateur!BN35*VLOOKUP('Données projet'!$B$11,Paramètres!$A$1:$I$88,3,0)*0.475*44/12</f>
        <v>0</v>
      </c>
      <c r="BR35" s="23">
        <f>EXP(-LN(2)/2)*BR34+(1-EXP(-LN(2)/2))/(LN(2)/2)*BL35*BO35*VLOOKUP('Données projet'!$B$11,Paramètres!$A$1:$I$88,3,0)*0.475*44/12</f>
        <v>0</v>
      </c>
      <c r="BS35" s="24">
        <f t="shared" si="9"/>
        <v>0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65.001920691322866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4.1666667007873768</v>
      </c>
      <c r="BY35" s="13">
        <f>IF('Données projet'!$A$114&gt;35,BY34+BX35-CG34,IF(A35&lt;'Données projet'!$A$114,$BV$205^A35,IF(A35='Données projet'!$A$114,'Données projet'!$B$114,BY34+BX35-CG34)))</f>
        <v>133.333334425196</v>
      </c>
      <c r="BZ35" s="14">
        <f>BY35*VLOOKUP('Données projet'!$B$12,Paramètres!$A$1:$I$88,3,0)*VLOOKUP('Données projet'!$B$12,Paramètres!$A$1:$I$88,5,0)</f>
        <v>135.20000110714875</v>
      </c>
      <c r="CA35" s="14">
        <f t="shared" si="39"/>
        <v>35.195170440663588</v>
      </c>
      <c r="CB35" s="22">
        <f t="shared" si="10"/>
        <v>296.77159044577314</v>
      </c>
      <c r="CC35" s="62">
        <f t="shared" si="11"/>
        <v>571.77863298062368</v>
      </c>
      <c r="CD35" s="62">
        <f ca="1">AVERAGE(OFFSET($CC$3,0,0,'Données projet'!$E$12+1,1))-AVERAGE(OFFSET($H$3,0,0,'Données projet'!$E$12+1,1))</f>
        <v>310.53598044763282</v>
      </c>
      <c r="CE35" s="62">
        <f t="shared" si="40"/>
        <v>322.01096634040596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projet'!$B$12,Paramètres!$A$1:$I$88,7,0))</f>
        <v>0</v>
      </c>
      <c r="CI35" s="17">
        <f>IF(ISNA(VLOOKUP(A35,'Données projet'!$A$113:$I$133,6,0)),0%,VLOOKUP(A35,'Données projet'!$A$113:$I$133,6,0)*VLOOKUP('Données projet'!$B$12,Paramètres!$A$1:$I$88,7,0))</f>
        <v>0</v>
      </c>
      <c r="CJ35" s="17">
        <f>IF(ISNA(VLOOKUP(A35,'Données projet'!$A$113:$I$133,7,0)),0%,VLOOKUP(A35,'Données projet'!$A$113:$I$133,7,0))</f>
        <v>0</v>
      </c>
      <c r="CK35" s="23">
        <f>EXP(-LN(2)/35)*CK34+(1-EXP(-LN(2)/35))/(LN(2)/35)*CG35*CH35*VLOOKUP('Données projet'!$B$12,Paramètres!$A$1:$I$88,3,0)*0.475*44/12</f>
        <v>0</v>
      </c>
      <c r="CL35" s="23">
        <f>EXP(-LN(2)/25)*CL34+(1-EXP(-LN(2)/25))/(LN(2)/25)*Calculateur!CG35*Calculateur!CI35*VLOOKUP('Données projet'!$B$12,Paramètres!$A$1:$I$88,3,0)*0.475*44/12</f>
        <v>0</v>
      </c>
      <c r="CM35" s="23">
        <f>EXP(-LN(2)/2)*CM34+(1-EXP(-LN(2)/2))/(LN(2)/2)*CG35*CJ35*VLOOKUP('Données projet'!$B$12,Paramètres!$A$1:$I$88,3,0)*0.475*44/12</f>
        <v>0</v>
      </c>
      <c r="CN35" s="24">
        <f t="shared" si="12"/>
        <v>0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65.001920691322866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projet'!$B$13,Paramètres!$A$1:$I$88,3,0)*VLOOKUP('Données projet'!$B$13,Paramètres!$A$1:$I$88,5,0)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projet'!$B$13,Paramètres!$A$1:$I$88,7,0))</f>
        <v>0</v>
      </c>
      <c r="DD35" s="17">
        <f>IF(ISNA(VLOOKUP(A35,'Données projet'!$A$139:$I$159,6,0)),0%,VLOOKUP(A35,'Données projet'!$A$139:$I$159,6,0)*VLOOKUP('Données projet'!$B$13,Paramètres!$A$1:$I$88,7,0))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projet'!$B$13,Paramètres!$A$1:$I$88,3,0)*0.475*44/12</f>
        <v>#N/A</v>
      </c>
      <c r="DG35" s="23" t="e">
        <f>EXP(-LN(2)/25)*DG34+(1-EXP(-LN(2)/25))/(LN(2)/25)*Calculateur!DB35*Calculateur!DD35*VLOOKUP('Données projet'!$B$13,Paramètres!$A$1:$I$88,3,0)*0.475*44/12</f>
        <v>#N/A</v>
      </c>
      <c r="DH35" s="23" t="e">
        <f>EXP(-LN(2)/2)*DH34+(1-EXP(-LN(2)/2))/(LN(2)/2)*DB35*DE35*VLOOKUP('Données projet'!$B$13,Paramètres!$A$1:$I$88,3,0)*0.475*44/12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65.001920691322866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projet'!$B$14,Paramètres!$A$1:$I$88,3,0)*VLOOKUP('Données projet'!$B$14,Paramètres!$A$1:$I$88,5,0)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projet'!$B$14,Paramètres!$A$1:$I$88,7,0))</f>
        <v>0</v>
      </c>
      <c r="DY35" s="17">
        <f>IF(ISNA(VLOOKUP(A35,'Données projet'!$A$165:$I$185,6,0)),0%,VLOOKUP(A35,'Données projet'!$A$165:$I$185,6,0)*VLOOKUP('Données projet'!$B$14,Paramètres!$A$1:$I$88,7,0))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projet'!$B$14,Paramètres!$A$1:$I$88,3,0)*0.475*44/12</f>
        <v>#N/A</v>
      </c>
      <c r="EB35" s="23" t="e">
        <f>EXP(-LN(2)/25)*EB34+(1-EXP(-LN(2)/25))/(LN(2)/25)*Calculateur!DW35*Calculateur!DY35*VLOOKUP('Données projet'!$B$14,Paramètres!$A$1:$I$88,3,0)*0.475*44/12</f>
        <v>#N/A</v>
      </c>
      <c r="EC35" s="23" t="e">
        <f>EXP(-LN(2)/2)*EC34+(1-EXP(-LN(2)/2))/(LN(2)/2)*DW35*DZ35*VLOOKUP('Données projet'!$B$14,Paramètres!$A$1:$I$88,3,0)*0.475*44/12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65.001920691322866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projet'!$B$15,Paramètres!$A$1:$I$88,3,0)*VLOOKUP('Données projet'!$B$15,Paramètres!$A$1:$I$88,5,0)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projet'!$B$15,Paramètres!$A$1:$I$88,7,0))</f>
        <v>0</v>
      </c>
      <c r="ET35" s="17">
        <f>IF(ISNA(VLOOKUP(A35,'Données projet'!$A$191:$I$211,6,0)),0%,VLOOKUP(A35,'Données projet'!$A$191:$I$211,6,0)*VLOOKUP('Données projet'!$B$15,Paramètres!$A$1:$I$88,7,0))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projet'!$B$15,Paramètres!$A$1:$I$88,3,0)*0.475*44/12</f>
        <v>#N/A</v>
      </c>
      <c r="EW35" s="23" t="e">
        <f>EXP(-LN(2)/25)*EW34+(1-EXP(-LN(2)/25))/(LN(2)/25)*Calculateur!ER35*Calculateur!ET35*VLOOKUP('Données projet'!$B$15,Paramètres!$A$1:$I$88,3,0)*0.475*44/12</f>
        <v>#N/A</v>
      </c>
      <c r="EX35" s="23" t="e">
        <f>EXP(-LN(2)/2)*EX34+(1-EXP(-LN(2)/2))/(LN(2)/2)*ER35*EU35*VLOOKUP('Données projet'!$B$15,Paramètres!$A$1:$I$88,3,0)*0.475*44/12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65.001920691322866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projet'!$B$16,Paramètres!$A$1:$I$88,3,0)*VLOOKUP('Données projet'!$B$16,Paramètres!$A$1:$I$88,5,0)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projet'!$B$16,Paramètres!$A$1:$I$88,7,0))</f>
        <v>0</v>
      </c>
      <c r="FO35" s="17">
        <f>IF(ISNA(VLOOKUP(A35,'Données projet'!$A$217:$I$237,6,0)),0%,VLOOKUP(A35,'Données projet'!$A$217:$I$237,6,0)*VLOOKUP('Données projet'!$B$16,Paramètres!$A$1:$I$88,7,0))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projet'!$B$16,Paramètres!$A$1:$I$88,3,0)*0.475*44/12</f>
        <v>#N/A</v>
      </c>
      <c r="FR35" s="23" t="e">
        <f>EXP(-LN(2)/25)*FR34+(1-EXP(-LN(2)/25))/(LN(2)/25)*Calculateur!FM35*Calculateur!FO35*VLOOKUP('Données projet'!$B$16,Paramètres!$A$1:$I$88,3,0)*0.475*44/12</f>
        <v>#N/A</v>
      </c>
      <c r="FS35" s="23" t="e">
        <f>EXP(-LN(2)/2)*FS34+(1-EXP(-LN(2)/2))/(LN(2)/2)*FM35*FP35*VLOOKUP('Données projet'!$B$16,Paramètres!$A$1:$I$88,3,0)*0.475*44/12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65.001920691322866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projet'!$B$17,Paramètres!$A$1:$I$88,3,0)*VLOOKUP('Données projet'!$B$17,Paramètres!$A$1:$I$88,5,0)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projet'!$B$17,Paramètres!$A$1:$I$88,7,0))</f>
        <v>0</v>
      </c>
      <c r="GJ35" s="17">
        <f>IF(ISNA(VLOOKUP(A35,'Données projet'!$A$243:$I$263,6,0)),0%,VLOOKUP(A35,'Données projet'!$A$243:$I$263,6,0)*VLOOKUP('Données projet'!$B$17,Paramètres!$A$1:$I$88,7,0))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projet'!$B$17,Paramètres!$A$1:$I$88,3,0)*0.475*44/12</f>
        <v>#N/A</v>
      </c>
      <c r="GM35" s="23" t="e">
        <f>EXP(-LN(2)/25)*GM34+(1-EXP(-LN(2)/25))/(LN(2)/25)*Calculateur!GH35*Calculateur!GJ35*VLOOKUP('Données projet'!$B$17,Paramètres!$A$1:$I$88,3,0)*0.475*44/12</f>
        <v>#N/A</v>
      </c>
      <c r="GN35" s="23" t="e">
        <f>EXP(-LN(2)/2)*GN34+(1-EXP(-LN(2)/2))/(LN(2)/2)*GH35*GK35*VLOOKUP('Données projet'!$B$17,Paramètres!$A$1:$I$88,3,0)*0.475*44/12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65.001920691322866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projet'!$B$18,Paramètres!$A$1:$I$88,3,0)*VLOOKUP('Données projet'!$B$18,Paramètres!$A$1:$I$88,5,0)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projet'!$B$18,Paramètres!$A$1:$I$88,7,0))</f>
        <v>0</v>
      </c>
      <c r="HE35" s="17">
        <f>IF(ISNA(VLOOKUP(A35,'Données projet'!$A$269:$I$289,6,0)),0%,VLOOKUP(A35,'Données projet'!$A$269:$I$289,6,0)*VLOOKUP('Données projet'!$B$18,Paramètres!$A$1:$I$88,7,0))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projet'!$B$18,Paramètres!$A$1:$I$88,3,0)*0.475*44/12</f>
        <v>#N/A</v>
      </c>
      <c r="HH35" s="23" t="e">
        <f>EXP(-LN(2)/25)*HH34+(1-EXP(-LN(2)/25))/(LN(2)/25)*Calculateur!HC35*Calculateur!HE35*VLOOKUP('Données projet'!$B$18,Paramètres!$A$1:$I$88,3,0)*0.475*44/12</f>
        <v>#N/A</v>
      </c>
      <c r="HI35" s="23" t="e">
        <f>EXP(-LN(2)/2)*HI34+(1-EXP(-LN(2)/2))/(LN(2)/2)*HC35*HF35*VLOOKUP('Données projet'!$B$18,Paramètres!$A$1:$I$88,3,0)*0.475*44/12</f>
        <v>#N/A</v>
      </c>
      <c r="HJ35" s="24" t="e">
        <f t="shared" si="30"/>
        <v>#N/A</v>
      </c>
    </row>
    <row r="36" spans="1:218" s="5" customFormat="1" x14ac:dyDescent="0.35">
      <c r="A36" s="11">
        <f t="shared" si="31"/>
        <v>33</v>
      </c>
      <c r="B36" s="77">
        <f>'Scénario référence'!$B$16*5+'Scénario référence'!$B$17*0+'Scénario référence'!$B$18*5</f>
        <v>1.75</v>
      </c>
      <c r="C36" s="20">
        <f>Calculateur!C35+'Scénario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36" s="12">
        <f t="shared" si="3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6.416666666666667</v>
      </c>
      <c r="H36" s="70">
        <f t="shared" si="1"/>
        <v>231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65.088626193297074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19.714285714285715</v>
      </c>
      <c r="N36" s="14">
        <f>IF('Données projet'!$A$36&gt;35,N35+M36-V35,IF(A36&lt;'Données projet'!$A$36,$K$205^A36,IF(A36='Données projet'!$A$36,'Données projet'!$B$36,N35+M36-V35)))</f>
        <v>272.71428571428578</v>
      </c>
      <c r="O36" s="14">
        <f>N36*VLOOKUP('Données projet'!$B$9,Paramètres!$A$1:$I$88,3,0)*VLOOKUP('Données projet'!$B$9,Paramètres!$A$1:$I$88,5,0)</f>
        <v>152.44728571428575</v>
      </c>
      <c r="P36" s="14">
        <f t="shared" si="33"/>
        <v>39.134215165354775</v>
      </c>
      <c r="Q36" s="22">
        <f t="shared" si="53"/>
        <v>333.67111403204058</v>
      </c>
      <c r="R36" s="62">
        <f t="shared" si="0"/>
        <v>608.99607674079652</v>
      </c>
      <c r="S36" s="62">
        <f ca="1">AVERAGE(OFFSET($R$3,0,0,'Données projet'!$E$9+1,1))-AVERAGE(OFFSET($H$3,0,0,'Données projet'!$E$9+1,1))</f>
        <v>341.05096821796769</v>
      </c>
      <c r="T36" s="62">
        <f t="shared" si="34"/>
        <v>400.72519822215168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projet'!$B$9,Paramètres!$A$1:$I$88,7,0))</f>
        <v>0</v>
      </c>
      <c r="X36" s="17">
        <f>IF(ISNA(VLOOKUP(A36,'Données projet'!$A$35:$I$55,6,0)),0%,VLOOKUP(A36,'Données projet'!$A$35:$I$55,6,0)*VLOOKUP('Données projet'!$B$9,Paramètres!$A$1:$I$88,7,0))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projet'!$B$9,Paramètres!$A$1:$I$88,3,0)*0.475*44/12</f>
        <v>11.530303889628952</v>
      </c>
      <c r="AA36" s="23">
        <f>EXP(-LN(2)/25)*AA35+(1-EXP(-LN(2)/25))/(LN(2)/25)*Calculateur!V36*Calculateur!X36*VLOOKUP('Données projet'!$B$9,Paramètres!$A$1:$I$88,3,0)*0.475*44/12</f>
        <v>30.968310709308483</v>
      </c>
      <c r="AB36" s="23">
        <f>EXP(-LN(2)/2)*AB35+(1-EXP(-LN(2)/2))/(LN(2)/2)*V36*Y36*VLOOKUP('Données projet'!$B$9,Paramètres!$A$1:$I$88,3,0)*0.475*44/12</f>
        <v>0</v>
      </c>
      <c r="AC36" s="24">
        <f t="shared" si="3"/>
        <v>42.498614598937436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65.088626193297074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11.766666666666666</v>
      </c>
      <c r="AI36" s="14">
        <f>IF('Données projet'!$A$62&gt;35,AI35+AH36-AQ35,IF(A36&lt;'Données projet'!$A$62,$AF$205^A36,IF(A36='Données projet'!$A$62,'Données projet'!$B$62,AI35+AH36-AQ35)))</f>
        <v>181.83333333333337</v>
      </c>
      <c r="AJ36" s="14">
        <f>AI36*VLOOKUP('Données projet'!$B$10,Paramètres!$A$1:$I$88,3,0)*VLOOKUP('Données projet'!$B$10,Paramètres!$A$1:$I$88,5,0)</f>
        <v>108.73633333333338</v>
      </c>
      <c r="AK36" s="14">
        <f t="shared" si="35"/>
        <v>29.033054932989796</v>
      </c>
      <c r="AL36" s="22">
        <f t="shared" si="4"/>
        <v>239.94835123051288</v>
      </c>
      <c r="AM36" s="62">
        <f t="shared" si="5"/>
        <v>515.27331393926886</v>
      </c>
      <c r="AN36" s="62">
        <f ca="1">AVERAGE(OFFSET($AM$3,0,0,'Données projet'!$E$10+1,1))-AVERAGE(OFFSET($H$3,0,0,'Données projet'!$E$10+1,1))</f>
        <v>231.96474801342879</v>
      </c>
      <c r="AO36" s="62">
        <f t="shared" si="36"/>
        <v>237.75726086383668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projet'!$B$10,Paramètres!$A$1:$I$88,7,0))</f>
        <v>0</v>
      </c>
      <c r="AS36" s="17">
        <f>IF(ISNA(VLOOKUP(A36,'Données projet'!$A$61:$I$81,6,0)),0%,VLOOKUP(A36,'Données projet'!$A$61:$I$81,6,0)*VLOOKUP('Données projet'!$B$10,Paramètres!$A$1:$I$88,7,0))</f>
        <v>0</v>
      </c>
      <c r="AT36" s="17">
        <f>IF(ISNA(VLOOKUP(A36,'Données projet'!$A$61:$I$81,7,0)),0%,VLOOKUP(A36,'Données projet'!$A$61:$I$81,7,0))</f>
        <v>0</v>
      </c>
      <c r="AU36" s="23">
        <f>EXP(-LN(2)/35)*AU35+(1-EXP(-LN(2)/35))/(LN(2)/35)*AQ36*AR36*VLOOKUP('Données projet'!$B$10,Paramètres!$A$1:$I$88,3,0)*0.475*44/12</f>
        <v>1.7258271137280585</v>
      </c>
      <c r="AV36" s="23">
        <f>EXP(-LN(2)/25)*AV35+(1-EXP(-LN(2)/25))/(LN(2)/25)*Calculateur!AQ36*Calculateur!AS36*VLOOKUP('Données projet'!$B$10,Paramètres!$A$1:$I$88,3,0)*0.475*44/12</f>
        <v>14.585239606691127</v>
      </c>
      <c r="AW36" s="23">
        <f>EXP(-LN(2)/2)*AW35+(1-EXP(-LN(2)/2))/(LN(2)/2)*AQ36*AT36*VLOOKUP('Données projet'!$B$10,Paramètres!$A$1:$I$88,3,0)*0.475*44/12</f>
        <v>0</v>
      </c>
      <c r="AX36" s="23">
        <f t="shared" si="6"/>
        <v>16.311066720419184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65.088626193297074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6.5217391304347823</v>
      </c>
      <c r="BD36" s="13">
        <f>IF('Données projet'!$A$88&gt;35,BD35+BC36-BL35,IF(A36&lt;'Données projet'!$A$88,$BA$205^A36,IF(A36='Données projet'!$A$88,'Données projet'!$B$88,BD35+BC36-BL35)))</f>
        <v>215.21739130434781</v>
      </c>
      <c r="BE36" s="14">
        <f>BD36*VLOOKUP('Données projet'!$B$11,Paramètres!$A$1:$I$88,3,0)*VLOOKUP('Données projet'!$B$11,Paramètres!$A$1:$I$88,5,0)</f>
        <v>100.72173913043477</v>
      </c>
      <c r="BF36" s="14">
        <f t="shared" si="37"/>
        <v>27.133869911269219</v>
      </c>
      <c r="BG36" s="22">
        <f t="shared" si="7"/>
        <v>222.68185241430112</v>
      </c>
      <c r="BH36" s="62">
        <f t="shared" si="8"/>
        <v>498.00681512305709</v>
      </c>
      <c r="BI36" s="62">
        <f ca="1">AVERAGE(OFFSET($BH$3,0,0,'Données projet'!$E$11+1,1))-AVERAGE(OFFSET($H$3,0,0,'Données projet'!$E$11+1,1))</f>
        <v>364.96458059055169</v>
      </c>
      <c r="BJ36" s="62">
        <f t="shared" si="38"/>
        <v>246.27159120786257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projet'!$B$11,Paramètres!$A$1:$I$88,7,0))</f>
        <v>0</v>
      </c>
      <c r="BN36" s="17">
        <f>IF(ISNA(VLOOKUP(A36,'Données projet'!$A$87:$I$107,6,0)),0%,VLOOKUP(A36,'Données projet'!$A$87:$I$107,6,0)*VLOOKUP('Données projet'!$B$11,Paramètres!$A$1:$I$88,7,0))</f>
        <v>0</v>
      </c>
      <c r="BO36" s="17">
        <f>IF(ISNA(VLOOKUP(A36,'Données projet'!$A$87:$I$107,7,0)),0%,VLOOKUP(A36,'Données projet'!$A$87:$I$107,7,0))</f>
        <v>0</v>
      </c>
      <c r="BP36" s="23">
        <f>EXP(-LN(2)/35)*BP35+(1-EXP(-LN(2)/35))/(LN(2)/35)*BL36*BM36*VLOOKUP('Données projet'!$B$11,Paramètres!$A$1:$I$88,3,0)*0.475*44/12</f>
        <v>0</v>
      </c>
      <c r="BQ36" s="23">
        <f>EXP(-LN(2)/25)*BQ35+(1-EXP(-LN(2)/25))/(LN(2)/25)*Calculateur!BL36*Calculateur!BN36*VLOOKUP('Données projet'!$B$11,Paramètres!$A$1:$I$88,3,0)*0.475*44/12</f>
        <v>0</v>
      </c>
      <c r="BR36" s="23">
        <f>EXP(-LN(2)/2)*BR35+(1-EXP(-LN(2)/2))/(LN(2)/2)*BL36*BO36*VLOOKUP('Données projet'!$B$11,Paramètres!$A$1:$I$88,3,0)*0.475*44/12</f>
        <v>0</v>
      </c>
      <c r="BS36" s="24">
        <f t="shared" si="9"/>
        <v>0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65.088626193297074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4.1666667007873768</v>
      </c>
      <c r="BY36" s="13">
        <f>IF('Données projet'!$A$114&gt;35,BY35+BX36-CG35,IF(A36&lt;'Données projet'!$A$114,$BV$205^A36,IF(A36='Données projet'!$A$114,'Données projet'!$B$114,BY35+BX36-CG35)))</f>
        <v>137.50000112598337</v>
      </c>
      <c r="BZ36" s="14">
        <f>BY36*VLOOKUP('Données projet'!$B$12,Paramètres!$A$1:$I$88,3,0)*VLOOKUP('Données projet'!$B$12,Paramètres!$A$1:$I$88,5,0)</f>
        <v>139.42500114174715</v>
      </c>
      <c r="CA36" s="14">
        <f t="shared" si="39"/>
        <v>36.165249796035269</v>
      </c>
      <c r="CB36" s="22">
        <f t="shared" si="10"/>
        <v>305.81968704997104</v>
      </c>
      <c r="CC36" s="62">
        <f t="shared" si="11"/>
        <v>581.14464975872693</v>
      </c>
      <c r="CD36" s="62">
        <f ca="1">AVERAGE(OFFSET($CC$3,0,0,'Données projet'!$E$12+1,1))-AVERAGE(OFFSET($H$3,0,0,'Données projet'!$E$12+1,1))</f>
        <v>310.53598044763282</v>
      </c>
      <c r="CE36" s="62">
        <f t="shared" si="40"/>
        <v>322.01096634040596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projet'!$B$12,Paramètres!$A$1:$I$88,7,0))</f>
        <v>0</v>
      </c>
      <c r="CI36" s="17">
        <f>IF(ISNA(VLOOKUP(A36,'Données projet'!$A$113:$I$133,6,0)),0%,VLOOKUP(A36,'Données projet'!$A$113:$I$133,6,0)*VLOOKUP('Données projet'!$B$12,Paramètres!$A$1:$I$88,7,0))</f>
        <v>0</v>
      </c>
      <c r="CJ36" s="17">
        <f>IF(ISNA(VLOOKUP(A36,'Données projet'!$A$113:$I$133,7,0)),0%,VLOOKUP(A36,'Données projet'!$A$113:$I$133,7,0))</f>
        <v>0</v>
      </c>
      <c r="CK36" s="23">
        <f>EXP(-LN(2)/35)*CK35+(1-EXP(-LN(2)/35))/(LN(2)/35)*CG36*CH36*VLOOKUP('Données projet'!$B$12,Paramètres!$A$1:$I$88,3,0)*0.475*44/12</f>
        <v>0</v>
      </c>
      <c r="CL36" s="23">
        <f>EXP(-LN(2)/25)*CL35+(1-EXP(-LN(2)/25))/(LN(2)/25)*Calculateur!CG36*Calculateur!CI36*VLOOKUP('Données projet'!$B$12,Paramètres!$A$1:$I$88,3,0)*0.475*44/12</f>
        <v>0</v>
      </c>
      <c r="CM36" s="23">
        <f>EXP(-LN(2)/2)*CM35+(1-EXP(-LN(2)/2))/(LN(2)/2)*CG36*CJ36*VLOOKUP('Données projet'!$B$12,Paramètres!$A$1:$I$88,3,0)*0.475*44/12</f>
        <v>0</v>
      </c>
      <c r="CN36" s="24">
        <f t="shared" si="12"/>
        <v>0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65.088626193297074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projet'!$B$13,Paramètres!$A$1:$I$88,3,0)*VLOOKUP('Données projet'!$B$13,Paramètres!$A$1:$I$88,5,0)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projet'!$B$13,Paramètres!$A$1:$I$88,7,0))</f>
        <v>0</v>
      </c>
      <c r="DD36" s="17">
        <f>IF(ISNA(VLOOKUP(A36,'Données projet'!$A$139:$I$159,6,0)),0%,VLOOKUP(A36,'Données projet'!$A$139:$I$159,6,0)*VLOOKUP('Données projet'!$B$13,Paramètres!$A$1:$I$88,7,0))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projet'!$B$13,Paramètres!$A$1:$I$88,3,0)*0.475*44/12</f>
        <v>#N/A</v>
      </c>
      <c r="DG36" s="23" t="e">
        <f>EXP(-LN(2)/25)*DG35+(1-EXP(-LN(2)/25))/(LN(2)/25)*Calculateur!DB36*Calculateur!DD36*VLOOKUP('Données projet'!$B$13,Paramètres!$A$1:$I$88,3,0)*0.475*44/12</f>
        <v>#N/A</v>
      </c>
      <c r="DH36" s="23" t="e">
        <f>EXP(-LN(2)/2)*DH35+(1-EXP(-LN(2)/2))/(LN(2)/2)*DB36*DE36*VLOOKUP('Données projet'!$B$13,Paramètres!$A$1:$I$88,3,0)*0.475*44/12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65.088626193297074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projet'!$B$14,Paramètres!$A$1:$I$88,3,0)*VLOOKUP('Données projet'!$B$14,Paramètres!$A$1:$I$88,5,0)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projet'!$B$14,Paramètres!$A$1:$I$88,7,0))</f>
        <v>0</v>
      </c>
      <c r="DY36" s="17">
        <f>IF(ISNA(VLOOKUP(A36,'Données projet'!$A$165:$I$185,6,0)),0%,VLOOKUP(A36,'Données projet'!$A$165:$I$185,6,0)*VLOOKUP('Données projet'!$B$14,Paramètres!$A$1:$I$88,7,0))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projet'!$B$14,Paramètres!$A$1:$I$88,3,0)*0.475*44/12</f>
        <v>#N/A</v>
      </c>
      <c r="EB36" s="23" t="e">
        <f>EXP(-LN(2)/25)*EB35+(1-EXP(-LN(2)/25))/(LN(2)/25)*Calculateur!DW36*Calculateur!DY36*VLOOKUP('Données projet'!$B$14,Paramètres!$A$1:$I$88,3,0)*0.475*44/12</f>
        <v>#N/A</v>
      </c>
      <c r="EC36" s="23" t="e">
        <f>EXP(-LN(2)/2)*EC35+(1-EXP(-LN(2)/2))/(LN(2)/2)*DW36*DZ36*VLOOKUP('Données projet'!$B$14,Paramètres!$A$1:$I$88,3,0)*0.475*44/12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65.088626193297074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projet'!$B$15,Paramètres!$A$1:$I$88,3,0)*VLOOKUP('Données projet'!$B$15,Paramètres!$A$1:$I$88,5,0)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projet'!$B$15,Paramètres!$A$1:$I$88,7,0))</f>
        <v>0</v>
      </c>
      <c r="ET36" s="17">
        <f>IF(ISNA(VLOOKUP(A36,'Données projet'!$A$191:$I$211,6,0)),0%,VLOOKUP(A36,'Données projet'!$A$191:$I$211,6,0)*VLOOKUP('Données projet'!$B$15,Paramètres!$A$1:$I$88,7,0))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projet'!$B$15,Paramètres!$A$1:$I$88,3,0)*0.475*44/12</f>
        <v>#N/A</v>
      </c>
      <c r="EW36" s="23" t="e">
        <f>EXP(-LN(2)/25)*EW35+(1-EXP(-LN(2)/25))/(LN(2)/25)*Calculateur!ER36*Calculateur!ET36*VLOOKUP('Données projet'!$B$15,Paramètres!$A$1:$I$88,3,0)*0.475*44/12</f>
        <v>#N/A</v>
      </c>
      <c r="EX36" s="23" t="e">
        <f>EXP(-LN(2)/2)*EX35+(1-EXP(-LN(2)/2))/(LN(2)/2)*ER36*EU36*VLOOKUP('Données projet'!$B$15,Paramètres!$A$1:$I$88,3,0)*0.475*44/12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65.088626193297074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projet'!$B$16,Paramètres!$A$1:$I$88,3,0)*VLOOKUP('Données projet'!$B$16,Paramètres!$A$1:$I$88,5,0)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projet'!$B$16,Paramètres!$A$1:$I$88,7,0))</f>
        <v>0</v>
      </c>
      <c r="FO36" s="17">
        <f>IF(ISNA(VLOOKUP(A36,'Données projet'!$A$217:$I$237,6,0)),0%,VLOOKUP(A36,'Données projet'!$A$217:$I$237,6,0)*VLOOKUP('Données projet'!$B$16,Paramètres!$A$1:$I$88,7,0))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projet'!$B$16,Paramètres!$A$1:$I$88,3,0)*0.475*44/12</f>
        <v>#N/A</v>
      </c>
      <c r="FR36" s="23" t="e">
        <f>EXP(-LN(2)/25)*FR35+(1-EXP(-LN(2)/25))/(LN(2)/25)*Calculateur!FM36*Calculateur!FO36*VLOOKUP('Données projet'!$B$16,Paramètres!$A$1:$I$88,3,0)*0.475*44/12</f>
        <v>#N/A</v>
      </c>
      <c r="FS36" s="23" t="e">
        <f>EXP(-LN(2)/2)*FS35+(1-EXP(-LN(2)/2))/(LN(2)/2)*FM36*FP36*VLOOKUP('Données projet'!$B$16,Paramètres!$A$1:$I$88,3,0)*0.475*44/12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65.088626193297074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projet'!$B$17,Paramètres!$A$1:$I$88,3,0)*VLOOKUP('Données projet'!$B$17,Paramètres!$A$1:$I$88,5,0)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projet'!$B$17,Paramètres!$A$1:$I$88,7,0))</f>
        <v>0</v>
      </c>
      <c r="GJ36" s="17">
        <f>IF(ISNA(VLOOKUP(A36,'Données projet'!$A$243:$I$263,6,0)),0%,VLOOKUP(A36,'Données projet'!$A$243:$I$263,6,0)*VLOOKUP('Données projet'!$B$17,Paramètres!$A$1:$I$88,7,0))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projet'!$B$17,Paramètres!$A$1:$I$88,3,0)*0.475*44/12</f>
        <v>#N/A</v>
      </c>
      <c r="GM36" s="23" t="e">
        <f>EXP(-LN(2)/25)*GM35+(1-EXP(-LN(2)/25))/(LN(2)/25)*Calculateur!GH36*Calculateur!GJ36*VLOOKUP('Données projet'!$B$17,Paramètres!$A$1:$I$88,3,0)*0.475*44/12</f>
        <v>#N/A</v>
      </c>
      <c r="GN36" s="23" t="e">
        <f>EXP(-LN(2)/2)*GN35+(1-EXP(-LN(2)/2))/(LN(2)/2)*GH36*GK36*VLOOKUP('Données projet'!$B$17,Paramètres!$A$1:$I$88,3,0)*0.475*44/12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65.088626193297074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projet'!$B$18,Paramètres!$A$1:$I$88,3,0)*VLOOKUP('Données projet'!$B$18,Paramètres!$A$1:$I$88,5,0)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projet'!$B$18,Paramètres!$A$1:$I$88,7,0))</f>
        <v>0</v>
      </c>
      <c r="HE36" s="17">
        <f>IF(ISNA(VLOOKUP(A36,'Données projet'!$A$269:$I$289,6,0)),0%,VLOOKUP(A36,'Données projet'!$A$269:$I$289,6,0)*VLOOKUP('Données projet'!$B$18,Paramètres!$A$1:$I$88,7,0))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projet'!$B$18,Paramètres!$A$1:$I$88,3,0)*0.475*44/12</f>
        <v>#N/A</v>
      </c>
      <c r="HH36" s="23" t="e">
        <f>EXP(-LN(2)/25)*HH35+(1-EXP(-LN(2)/25))/(LN(2)/25)*Calculateur!HC36*Calculateur!HE36*VLOOKUP('Données projet'!$B$18,Paramètres!$A$1:$I$88,3,0)*0.475*44/12</f>
        <v>#N/A</v>
      </c>
      <c r="HI36" s="23" t="e">
        <f>EXP(-LN(2)/2)*HI35+(1-EXP(-LN(2)/2))/(LN(2)/2)*HC36*HF36*VLOOKUP('Données projet'!$B$18,Paramètres!$A$1:$I$88,3,0)*0.475*44/12</f>
        <v>#N/A</v>
      </c>
      <c r="HJ36" s="24" t="e">
        <f t="shared" si="30"/>
        <v>#N/A</v>
      </c>
    </row>
    <row r="37" spans="1:218" s="5" customFormat="1" x14ac:dyDescent="0.35">
      <c r="A37" s="11">
        <f t="shared" si="31"/>
        <v>34</v>
      </c>
      <c r="B37" s="77">
        <f>'Scénario référence'!$B$16*5+'Scénario référence'!$B$17*0+'Scénario référence'!$B$18*5</f>
        <v>1.75</v>
      </c>
      <c r="C37" s="20">
        <f>Calculateur!C36+'Scénario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37" s="12">
        <f t="shared" si="3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6.416666666666667</v>
      </c>
      <c r="H37" s="70">
        <f t="shared" si="1"/>
        <v>231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65.17382754865649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19.714285714285715</v>
      </c>
      <c r="N37" s="14">
        <f>IF('Données projet'!$A$36&gt;35,N36+M37-V36,IF(A37&lt;'Données projet'!$A$36,$K$205^A37,IF(A37='Données projet'!$A$36,'Données projet'!$B$36,N36+M37-V36)))</f>
        <v>292.4285714285715</v>
      </c>
      <c r="O37" s="14">
        <f>N37*VLOOKUP('Données projet'!$B$9,Paramètres!$A$1:$I$88,3,0)*VLOOKUP('Données projet'!$B$9,Paramètres!$A$1:$I$88,5,0)</f>
        <v>163.46757142857146</v>
      </c>
      <c r="P37" s="14">
        <f t="shared" si="33"/>
        <v>41.623657176502142</v>
      </c>
      <c r="Q37" s="22">
        <f t="shared" si="53"/>
        <v>357.20055648716988</v>
      </c>
      <c r="R37" s="62">
        <f t="shared" si="0"/>
        <v>632.83792416557708</v>
      </c>
      <c r="S37" s="62">
        <f ca="1">AVERAGE(OFFSET($R$3,0,0,'Données projet'!$E$9+1,1))-AVERAGE(OFFSET($H$3,0,0,'Données projet'!$E$9+1,1))</f>
        <v>341.05096821796769</v>
      </c>
      <c r="T37" s="62">
        <f t="shared" si="34"/>
        <v>400.72519822215168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projet'!$B$9,Paramètres!$A$1:$I$88,7,0))</f>
        <v>0</v>
      </c>
      <c r="X37" s="17">
        <f>IF(ISNA(VLOOKUP(A37,'Données projet'!$A$35:$I$55,6,0)),0%,VLOOKUP(A37,'Données projet'!$A$35:$I$55,6,0)*VLOOKUP('Données projet'!$B$9,Paramètres!$A$1:$I$88,7,0))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projet'!$B$9,Paramètres!$A$1:$I$88,3,0)*0.475*44/12</f>
        <v>11.304201663144271</v>
      </c>
      <c r="AA37" s="23">
        <f>EXP(-LN(2)/25)*AA36+(1-EXP(-LN(2)/25))/(LN(2)/25)*Calculateur!V37*Calculateur!X37*VLOOKUP('Données projet'!$B$9,Paramètres!$A$1:$I$88,3,0)*0.475*44/12</f>
        <v>30.121480624409759</v>
      </c>
      <c r="AB37" s="23">
        <f>EXP(-LN(2)/2)*AB36+(1-EXP(-LN(2)/2))/(LN(2)/2)*V37*Y37*VLOOKUP('Données projet'!$B$9,Paramètres!$A$1:$I$88,3,0)*0.475*44/12</f>
        <v>0</v>
      </c>
      <c r="AC37" s="24">
        <f t="shared" si="3"/>
        <v>41.425682287554032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65.17382754865649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>
        <f>VLOOKUP(A37,'Données projet'!$A$61:$I$81,2,0)</f>
        <v>193.6</v>
      </c>
      <c r="AG37" s="13">
        <f>VLOOKUP(A37,'Données projet'!$A$61:$I$81,9,0)</f>
        <v>11.766666666666666</v>
      </c>
      <c r="AH37" s="13">
        <f t="array" ref="AH37">INDEX(AG:AG,MIN(IF(ISNUMBER(AG37:AG233),ROW(AG37:AG233),"")))</f>
        <v>11.766666666666666</v>
      </c>
      <c r="AI37" s="14">
        <f>IF('Données projet'!$A$62&gt;35,AI36+AH37-AQ36,IF(A37&lt;'Données projet'!$A$62,$AF$205^A37,IF(A37='Données projet'!$A$62,'Données projet'!$B$62,AI36+AH37-AQ36)))</f>
        <v>193.60000000000002</v>
      </c>
      <c r="AJ37" s="14">
        <f>AI37*VLOOKUP('Données projet'!$B$10,Paramètres!$A$1:$I$88,3,0)*VLOOKUP('Données projet'!$B$10,Paramètres!$A$1:$I$88,5,0)</f>
        <v>115.77280000000002</v>
      </c>
      <c r="AK37" s="14">
        <f t="shared" si="35"/>
        <v>30.687025974408243</v>
      </c>
      <c r="AL37" s="22">
        <f t="shared" si="4"/>
        <v>255.08419690542772</v>
      </c>
      <c r="AM37" s="62">
        <f t="shared" si="5"/>
        <v>530.72156458383483</v>
      </c>
      <c r="AN37" s="62">
        <f ca="1">AVERAGE(OFFSET($AM$3,0,0,'Données projet'!$E$10+1,1))-AVERAGE(OFFSET($H$3,0,0,'Données projet'!$E$10+1,1))</f>
        <v>231.96474801342879</v>
      </c>
      <c r="AO37" s="62">
        <f t="shared" si="36"/>
        <v>237.75726086383668</v>
      </c>
      <c r="AP37" s="16">
        <f>IF(ISNA(VLOOKUP(A37,'Données projet'!$A$61:$I$81,3,0)),0,VLOOKUP(A37,'Données projet'!$A$61:$I$81,3,0))</f>
        <v>5</v>
      </c>
      <c r="AQ37" s="16">
        <f>IF(ISNA(VLOOKUP(A37,'Données projet'!$A$61:$I$81,4,0)),0,VLOOKUP(A37,'Données projet'!$A$61:$I$81,4,0))</f>
        <v>38.299999999999997</v>
      </c>
      <c r="AR37" s="17">
        <f>IF(ISNA(VLOOKUP(A37,'Données projet'!$A$61:$I$81,5,0)),0%,VLOOKUP(A37,'Données projet'!$A$61:$I$81,5,0)*VLOOKUP('Données projet'!$B$10,Paramètres!$A$1:$I$88,7,0))</f>
        <v>0.13500000000000001</v>
      </c>
      <c r="AS37" s="17">
        <f>IF(ISNA(VLOOKUP(A37,'Données projet'!$A$61:$I$81,6,0)),0%,VLOOKUP(A37,'Données projet'!$A$61:$I$81,6,0)*VLOOKUP('Données projet'!$B$10,Paramètres!$A$1:$I$88,7,0))</f>
        <v>0.22500000000000001</v>
      </c>
      <c r="AT37" s="17">
        <f>IF(ISNA(VLOOKUP(A37,'Données projet'!$A$61:$I$81,7,0)),0%,VLOOKUP(A37,'Données projet'!$A$61:$I$81,7,0))</f>
        <v>0</v>
      </c>
      <c r="AU37" s="23">
        <f>EXP(-LN(2)/35)*AU36+(1-EXP(-LN(2)/35))/(LN(2)/35)*AQ37*AR37*VLOOKUP('Données projet'!$B$10,Paramètres!$A$1:$I$88,3,0)*0.475*44/12</f>
        <v>5.7936676037548347</v>
      </c>
      <c r="AV37" s="23">
        <f>EXP(-LN(2)/25)*AV36+(1-EXP(-LN(2)/25))/(LN(2)/25)*Calculateur!AQ37*Calculateur!AS37*VLOOKUP('Données projet'!$B$10,Paramètres!$A$1:$I$88,3,0)*0.475*44/12</f>
        <v>20.995627160320929</v>
      </c>
      <c r="AW37" s="23">
        <f>EXP(-LN(2)/2)*AW36+(1-EXP(-LN(2)/2))/(LN(2)/2)*AQ37*AT37*VLOOKUP('Données projet'!$B$10,Paramètres!$A$1:$I$88,3,0)*0.475*44/12</f>
        <v>0</v>
      </c>
      <c r="AX37" s="23">
        <f t="shared" si="6"/>
        <v>26.789294764075763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65.17382754865649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6.5217391304347823</v>
      </c>
      <c r="BD37" s="13">
        <f>IF('Données projet'!$A$88&gt;35,BD36+BC37-BL36,IF(A37&lt;'Données projet'!$A$88,$BA$205^A37,IF(A37='Données projet'!$A$88,'Données projet'!$B$88,BD36+BC37-BL36)))</f>
        <v>221.7391304347826</v>
      </c>
      <c r="BE37" s="14">
        <f>BD37*VLOOKUP('Données projet'!$B$11,Paramètres!$A$1:$I$88,3,0)*VLOOKUP('Données projet'!$B$11,Paramètres!$A$1:$I$88,5,0)</f>
        <v>103.77391304347826</v>
      </c>
      <c r="BF37" s="14">
        <f t="shared" si="37"/>
        <v>27.859132721442805</v>
      </c>
      <c r="BG37" s="22">
        <f t="shared" si="7"/>
        <v>229.26088804057085</v>
      </c>
      <c r="BH37" s="62">
        <f t="shared" si="8"/>
        <v>504.89825571897802</v>
      </c>
      <c r="BI37" s="62">
        <f ca="1">AVERAGE(OFFSET($BH$3,0,0,'Données projet'!$E$11+1,1))-AVERAGE(OFFSET($H$3,0,0,'Données projet'!$E$11+1,1))</f>
        <v>364.96458059055169</v>
      </c>
      <c r="BJ37" s="62">
        <f t="shared" si="38"/>
        <v>246.27159120786257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projet'!$B$11,Paramètres!$A$1:$I$88,7,0))</f>
        <v>0</v>
      </c>
      <c r="BN37" s="17">
        <f>IF(ISNA(VLOOKUP(A37,'Données projet'!$A$87:$I$107,6,0)),0%,VLOOKUP(A37,'Données projet'!$A$87:$I$107,6,0)*VLOOKUP('Données projet'!$B$11,Paramètres!$A$1:$I$88,7,0))</f>
        <v>0</v>
      </c>
      <c r="BO37" s="17">
        <f>IF(ISNA(VLOOKUP(A37,'Données projet'!$A$87:$I$107,7,0)),0%,VLOOKUP(A37,'Données projet'!$A$87:$I$107,7,0))</f>
        <v>0</v>
      </c>
      <c r="BP37" s="23">
        <f>EXP(-LN(2)/35)*BP36+(1-EXP(-LN(2)/35))/(LN(2)/35)*BL37*BM37*VLOOKUP('Données projet'!$B$11,Paramètres!$A$1:$I$88,3,0)*0.475*44/12</f>
        <v>0</v>
      </c>
      <c r="BQ37" s="23">
        <f>EXP(-LN(2)/25)*BQ36+(1-EXP(-LN(2)/25))/(LN(2)/25)*Calculateur!BL37*Calculateur!BN37*VLOOKUP('Données projet'!$B$11,Paramètres!$A$1:$I$88,3,0)*0.475*44/12</f>
        <v>0</v>
      </c>
      <c r="BR37" s="23">
        <f>EXP(-LN(2)/2)*BR36+(1-EXP(-LN(2)/2))/(LN(2)/2)*BL37*BO37*VLOOKUP('Données projet'!$B$11,Paramètres!$A$1:$I$88,3,0)*0.475*44/12</f>
        <v>0</v>
      </c>
      <c r="BS37" s="24">
        <f t="shared" si="9"/>
        <v>0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65.17382754865649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4.1666667007873768</v>
      </c>
      <c r="BY37" s="13">
        <f>IF('Données projet'!$A$114&gt;35,BY36+BX37-CG36,IF(A37&lt;'Données projet'!$A$114,$BV$205^A37,IF(A37='Données projet'!$A$114,'Données projet'!$B$114,BY36+BX37-CG36)))</f>
        <v>141.66666782677075</v>
      </c>
      <c r="BZ37" s="14">
        <f>BY37*VLOOKUP('Données projet'!$B$12,Paramètres!$A$1:$I$88,3,0)*VLOOKUP('Données projet'!$B$12,Paramètres!$A$1:$I$88,5,0)</f>
        <v>143.65000117634554</v>
      </c>
      <c r="CA37" s="14">
        <f t="shared" si="39"/>
        <v>37.131912892138992</v>
      </c>
      <c r="CB37" s="22">
        <f t="shared" si="10"/>
        <v>314.86183366927719</v>
      </c>
      <c r="CC37" s="62">
        <f t="shared" si="11"/>
        <v>590.49920134768433</v>
      </c>
      <c r="CD37" s="62">
        <f ca="1">AVERAGE(OFFSET($CC$3,0,0,'Données projet'!$E$12+1,1))-AVERAGE(OFFSET($H$3,0,0,'Données projet'!$E$12+1,1))</f>
        <v>310.53598044763282</v>
      </c>
      <c r="CE37" s="62">
        <f t="shared" si="40"/>
        <v>322.01096634040596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projet'!$B$12,Paramètres!$A$1:$I$88,7,0))</f>
        <v>0</v>
      </c>
      <c r="CI37" s="17">
        <f>IF(ISNA(VLOOKUP(A37,'Données projet'!$A$113:$I$133,6,0)),0%,VLOOKUP(A37,'Données projet'!$A$113:$I$133,6,0)*VLOOKUP('Données projet'!$B$12,Paramètres!$A$1:$I$88,7,0))</f>
        <v>0</v>
      </c>
      <c r="CJ37" s="17">
        <f>IF(ISNA(VLOOKUP(A37,'Données projet'!$A$113:$I$133,7,0)),0%,VLOOKUP(A37,'Données projet'!$A$113:$I$133,7,0))</f>
        <v>0</v>
      </c>
      <c r="CK37" s="23">
        <f>EXP(-LN(2)/35)*CK36+(1-EXP(-LN(2)/35))/(LN(2)/35)*CG37*CH37*VLOOKUP('Données projet'!$B$12,Paramètres!$A$1:$I$88,3,0)*0.475*44/12</f>
        <v>0</v>
      </c>
      <c r="CL37" s="23">
        <f>EXP(-LN(2)/25)*CL36+(1-EXP(-LN(2)/25))/(LN(2)/25)*Calculateur!CG37*Calculateur!CI37*VLOOKUP('Données projet'!$B$12,Paramètres!$A$1:$I$88,3,0)*0.475*44/12</f>
        <v>0</v>
      </c>
      <c r="CM37" s="23">
        <f>EXP(-LN(2)/2)*CM36+(1-EXP(-LN(2)/2))/(LN(2)/2)*CG37*CJ37*VLOOKUP('Données projet'!$B$12,Paramètres!$A$1:$I$88,3,0)*0.475*44/12</f>
        <v>0</v>
      </c>
      <c r="CN37" s="24">
        <f t="shared" si="12"/>
        <v>0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65.17382754865649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projet'!$B$13,Paramètres!$A$1:$I$88,3,0)*VLOOKUP('Données projet'!$B$13,Paramètres!$A$1:$I$88,5,0)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projet'!$B$13,Paramètres!$A$1:$I$88,7,0))</f>
        <v>0</v>
      </c>
      <c r="DD37" s="17">
        <f>IF(ISNA(VLOOKUP(A37,'Données projet'!$A$139:$I$159,6,0)),0%,VLOOKUP(A37,'Données projet'!$A$139:$I$159,6,0)*VLOOKUP('Données projet'!$B$13,Paramètres!$A$1:$I$88,7,0))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projet'!$B$13,Paramètres!$A$1:$I$88,3,0)*0.475*44/12</f>
        <v>#N/A</v>
      </c>
      <c r="DG37" s="23" t="e">
        <f>EXP(-LN(2)/25)*DG36+(1-EXP(-LN(2)/25))/(LN(2)/25)*Calculateur!DB37*Calculateur!DD37*VLOOKUP('Données projet'!$B$13,Paramètres!$A$1:$I$88,3,0)*0.475*44/12</f>
        <v>#N/A</v>
      </c>
      <c r="DH37" s="23" t="e">
        <f>EXP(-LN(2)/2)*DH36+(1-EXP(-LN(2)/2))/(LN(2)/2)*DB37*DE37*VLOOKUP('Données projet'!$B$13,Paramètres!$A$1:$I$88,3,0)*0.475*44/12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65.17382754865649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projet'!$B$14,Paramètres!$A$1:$I$88,3,0)*VLOOKUP('Données projet'!$B$14,Paramètres!$A$1:$I$88,5,0)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projet'!$B$14,Paramètres!$A$1:$I$88,7,0))</f>
        <v>0</v>
      </c>
      <c r="DY37" s="17">
        <f>IF(ISNA(VLOOKUP(A37,'Données projet'!$A$165:$I$185,6,0)),0%,VLOOKUP(A37,'Données projet'!$A$165:$I$185,6,0)*VLOOKUP('Données projet'!$B$14,Paramètres!$A$1:$I$88,7,0))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projet'!$B$14,Paramètres!$A$1:$I$88,3,0)*0.475*44/12</f>
        <v>#N/A</v>
      </c>
      <c r="EB37" s="23" t="e">
        <f>EXP(-LN(2)/25)*EB36+(1-EXP(-LN(2)/25))/(LN(2)/25)*Calculateur!DW37*Calculateur!DY37*VLOOKUP('Données projet'!$B$14,Paramètres!$A$1:$I$88,3,0)*0.475*44/12</f>
        <v>#N/A</v>
      </c>
      <c r="EC37" s="23" t="e">
        <f>EXP(-LN(2)/2)*EC36+(1-EXP(-LN(2)/2))/(LN(2)/2)*DW37*DZ37*VLOOKUP('Données projet'!$B$14,Paramètres!$A$1:$I$88,3,0)*0.475*44/12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65.17382754865649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projet'!$B$15,Paramètres!$A$1:$I$88,3,0)*VLOOKUP('Données projet'!$B$15,Paramètres!$A$1:$I$88,5,0)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projet'!$B$15,Paramètres!$A$1:$I$88,7,0))</f>
        <v>0</v>
      </c>
      <c r="ET37" s="17">
        <f>IF(ISNA(VLOOKUP(A37,'Données projet'!$A$191:$I$211,6,0)),0%,VLOOKUP(A37,'Données projet'!$A$191:$I$211,6,0)*VLOOKUP('Données projet'!$B$15,Paramètres!$A$1:$I$88,7,0))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projet'!$B$15,Paramètres!$A$1:$I$88,3,0)*0.475*44/12</f>
        <v>#N/A</v>
      </c>
      <c r="EW37" s="23" t="e">
        <f>EXP(-LN(2)/25)*EW36+(1-EXP(-LN(2)/25))/(LN(2)/25)*Calculateur!ER37*Calculateur!ET37*VLOOKUP('Données projet'!$B$15,Paramètres!$A$1:$I$88,3,0)*0.475*44/12</f>
        <v>#N/A</v>
      </c>
      <c r="EX37" s="23" t="e">
        <f>EXP(-LN(2)/2)*EX36+(1-EXP(-LN(2)/2))/(LN(2)/2)*ER37*EU37*VLOOKUP('Données projet'!$B$15,Paramètres!$A$1:$I$88,3,0)*0.475*44/12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65.17382754865649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projet'!$B$16,Paramètres!$A$1:$I$88,3,0)*VLOOKUP('Données projet'!$B$16,Paramètres!$A$1:$I$88,5,0)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projet'!$B$16,Paramètres!$A$1:$I$88,7,0))</f>
        <v>0</v>
      </c>
      <c r="FO37" s="17">
        <f>IF(ISNA(VLOOKUP(A37,'Données projet'!$A$217:$I$237,6,0)),0%,VLOOKUP(A37,'Données projet'!$A$217:$I$237,6,0)*VLOOKUP('Données projet'!$B$16,Paramètres!$A$1:$I$88,7,0))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projet'!$B$16,Paramètres!$A$1:$I$88,3,0)*0.475*44/12</f>
        <v>#N/A</v>
      </c>
      <c r="FR37" s="23" t="e">
        <f>EXP(-LN(2)/25)*FR36+(1-EXP(-LN(2)/25))/(LN(2)/25)*Calculateur!FM37*Calculateur!FO37*VLOOKUP('Données projet'!$B$16,Paramètres!$A$1:$I$88,3,0)*0.475*44/12</f>
        <v>#N/A</v>
      </c>
      <c r="FS37" s="23" t="e">
        <f>EXP(-LN(2)/2)*FS36+(1-EXP(-LN(2)/2))/(LN(2)/2)*FM37*FP37*VLOOKUP('Données projet'!$B$16,Paramètres!$A$1:$I$88,3,0)*0.475*44/12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65.17382754865649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projet'!$B$17,Paramètres!$A$1:$I$88,3,0)*VLOOKUP('Données projet'!$B$17,Paramètres!$A$1:$I$88,5,0)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projet'!$B$17,Paramètres!$A$1:$I$88,7,0))</f>
        <v>0</v>
      </c>
      <c r="GJ37" s="17">
        <f>IF(ISNA(VLOOKUP(A37,'Données projet'!$A$243:$I$263,6,0)),0%,VLOOKUP(A37,'Données projet'!$A$243:$I$263,6,0)*VLOOKUP('Données projet'!$B$17,Paramètres!$A$1:$I$88,7,0))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projet'!$B$17,Paramètres!$A$1:$I$88,3,0)*0.475*44/12</f>
        <v>#N/A</v>
      </c>
      <c r="GM37" s="23" t="e">
        <f>EXP(-LN(2)/25)*GM36+(1-EXP(-LN(2)/25))/(LN(2)/25)*Calculateur!GH37*Calculateur!GJ37*VLOOKUP('Données projet'!$B$17,Paramètres!$A$1:$I$88,3,0)*0.475*44/12</f>
        <v>#N/A</v>
      </c>
      <c r="GN37" s="23" t="e">
        <f>EXP(-LN(2)/2)*GN36+(1-EXP(-LN(2)/2))/(LN(2)/2)*GH37*GK37*VLOOKUP('Données projet'!$B$17,Paramètres!$A$1:$I$88,3,0)*0.475*44/12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65.17382754865649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projet'!$B$18,Paramètres!$A$1:$I$88,3,0)*VLOOKUP('Données projet'!$B$18,Paramètres!$A$1:$I$88,5,0)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projet'!$B$18,Paramètres!$A$1:$I$88,7,0))</f>
        <v>0</v>
      </c>
      <c r="HE37" s="17">
        <f>IF(ISNA(VLOOKUP(A37,'Données projet'!$A$269:$I$289,6,0)),0%,VLOOKUP(A37,'Données projet'!$A$269:$I$289,6,0)*VLOOKUP('Données projet'!$B$18,Paramètres!$A$1:$I$88,7,0))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projet'!$B$18,Paramètres!$A$1:$I$88,3,0)*0.475*44/12</f>
        <v>#N/A</v>
      </c>
      <c r="HH37" s="23" t="e">
        <f>EXP(-LN(2)/25)*HH36+(1-EXP(-LN(2)/25))/(LN(2)/25)*Calculateur!HC37*Calculateur!HE37*VLOOKUP('Données projet'!$B$18,Paramètres!$A$1:$I$88,3,0)*0.475*44/12</f>
        <v>#N/A</v>
      </c>
      <c r="HI37" s="23" t="e">
        <f>EXP(-LN(2)/2)*HI36+(1-EXP(-LN(2)/2))/(LN(2)/2)*HC37*HF37*VLOOKUP('Données projet'!$B$18,Paramètres!$A$1:$I$88,3,0)*0.475*44/12</f>
        <v>#N/A</v>
      </c>
      <c r="HJ37" s="24" t="e">
        <f t="shared" si="30"/>
        <v>#N/A</v>
      </c>
    </row>
    <row r="38" spans="1:218" s="5" customFormat="1" x14ac:dyDescent="0.35">
      <c r="A38" s="11">
        <f t="shared" si="31"/>
        <v>35</v>
      </c>
      <c r="B38" s="77">
        <f>'Scénario référence'!$B$16*5+'Scénario référence'!$B$17*0+'Scénario référence'!$B$18*5</f>
        <v>1.75</v>
      </c>
      <c r="C38" s="20">
        <f>Calculateur!C37+'Scénario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38" s="12">
        <f t="shared" si="3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6.416666666666667</v>
      </c>
      <c r="H38" s="70">
        <f t="shared" si="1"/>
        <v>231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65.257550850982113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19.714285714285715</v>
      </c>
      <c r="N38" s="14">
        <f>IF('Données projet'!$A$36&gt;35,N37+M38-V37,IF(A38&lt;'Données projet'!$A$36,$K$205^A38,IF(A38='Données projet'!$A$36,'Données projet'!$B$36,N37+M38-V37)))</f>
        <v>312.14285714285722</v>
      </c>
      <c r="O38" s="14">
        <f>N38*VLOOKUP('Données projet'!$B$9,Paramètres!$A$1:$I$88,3,0)*VLOOKUP('Données projet'!$B$9,Paramètres!$A$1:$I$88,5,0)</f>
        <v>174.48785714285722</v>
      </c>
      <c r="P38" s="14">
        <f t="shared" si="33"/>
        <v>44.093624942634548</v>
      </c>
      <c r="Q38" s="22">
        <f t="shared" si="53"/>
        <v>380.69608129889815</v>
      </c>
      <c r="R38" s="62">
        <f t="shared" si="0"/>
        <v>656.6404344191659</v>
      </c>
      <c r="S38" s="62">
        <f ca="1">AVERAGE(OFFSET($R$3,0,0,'Données projet'!$E$9+1,1))-AVERAGE(OFFSET($H$3,0,0,'Données projet'!$E$9+1,1))</f>
        <v>341.05096821796769</v>
      </c>
      <c r="T38" s="62">
        <f t="shared" si="34"/>
        <v>400.72519822215168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projet'!$B$9,Paramètres!$A$1:$I$88,7,0))</f>
        <v>0</v>
      </c>
      <c r="X38" s="17">
        <f>IF(ISNA(VLOOKUP(A38,'Données projet'!$A$35:$I$55,6,0)),0%,VLOOKUP(A38,'Données projet'!$A$35:$I$55,6,0)*VLOOKUP('Données projet'!$B$9,Paramètres!$A$1:$I$88,7,0))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projet'!$B$9,Paramètres!$A$1:$I$88,3,0)*0.475*44/12</f>
        <v>11.082533163412213</v>
      </c>
      <c r="AA38" s="23">
        <f>EXP(-LN(2)/25)*AA37+(1-EXP(-LN(2)/25))/(LN(2)/25)*Calculateur!V38*Calculateur!X38*VLOOKUP('Données projet'!$B$9,Paramètres!$A$1:$I$88,3,0)*0.475*44/12</f>
        <v>29.297807152715453</v>
      </c>
      <c r="AB38" s="23">
        <f>EXP(-LN(2)/2)*AB37+(1-EXP(-LN(2)/2))/(LN(2)/2)*V38*Y38*VLOOKUP('Données projet'!$B$9,Paramètres!$A$1:$I$88,3,0)*0.475*44/12</f>
        <v>0</v>
      </c>
      <c r="AC38" s="24">
        <f t="shared" si="3"/>
        <v>40.380340316127665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65.257550850982113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9.8666666666666654</v>
      </c>
      <c r="AI38" s="14">
        <f>IF('Données projet'!$A$62&gt;35,AI37+AH38-AQ37,IF(A38&lt;'Données projet'!$A$62,$AF$205^A38,IF(A38='Données projet'!$A$62,'Données projet'!$B$62,AI37+AH38-AQ37)))</f>
        <v>165.16666666666669</v>
      </c>
      <c r="AJ38" s="14">
        <f>AI38*VLOOKUP('Données projet'!$B$10,Paramètres!$A$1:$I$88,3,0)*VLOOKUP('Données projet'!$B$10,Paramètres!$A$1:$I$88,5,0)</f>
        <v>98.76966666666668</v>
      </c>
      <c r="AK38" s="14">
        <f t="shared" si="35"/>
        <v>26.668676747766401</v>
      </c>
      <c r="AL38" s="22">
        <f t="shared" si="4"/>
        <v>218.47178144680424</v>
      </c>
      <c r="AM38" s="62">
        <f t="shared" si="5"/>
        <v>494.41613456707199</v>
      </c>
      <c r="AN38" s="62">
        <f ca="1">AVERAGE(OFFSET($AM$3,0,0,'Données projet'!$E$10+1,1))-AVERAGE(OFFSET($H$3,0,0,'Données projet'!$E$10+1,1))</f>
        <v>231.96474801342879</v>
      </c>
      <c r="AO38" s="62">
        <f t="shared" si="36"/>
        <v>237.75726086383668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projet'!$B$10,Paramètres!$A$1:$I$88,7,0))</f>
        <v>0</v>
      </c>
      <c r="AS38" s="17">
        <f>IF(ISNA(VLOOKUP(A38,'Données projet'!$A$61:$I$81,6,0)),0%,VLOOKUP(A38,'Données projet'!$A$61:$I$81,6,0)*VLOOKUP('Données projet'!$B$10,Paramètres!$A$1:$I$88,7,0))</f>
        <v>0</v>
      </c>
      <c r="AT38" s="17">
        <f>IF(ISNA(VLOOKUP(A38,'Données projet'!$A$61:$I$81,7,0)),0%,VLOOKUP(A38,'Données projet'!$A$61:$I$81,7,0))</f>
        <v>0</v>
      </c>
      <c r="AU38" s="23">
        <f>EXP(-LN(2)/35)*AU37+(1-EXP(-LN(2)/35))/(LN(2)/35)*AQ38*AR38*VLOOKUP('Données projet'!$B$10,Paramètres!$A$1:$I$88,3,0)*0.475*44/12</f>
        <v>5.6800573158335084</v>
      </c>
      <c r="AV38" s="23">
        <f>EXP(-LN(2)/25)*AV37+(1-EXP(-LN(2)/25))/(LN(2)/25)*Calculateur!AQ38*Calculateur!AS38*VLOOKUP('Données projet'!$B$10,Paramètres!$A$1:$I$88,3,0)*0.475*44/12</f>
        <v>20.421500631509907</v>
      </c>
      <c r="AW38" s="23">
        <f>EXP(-LN(2)/2)*AW37+(1-EXP(-LN(2)/2))/(LN(2)/2)*AQ38*AT38*VLOOKUP('Données projet'!$B$10,Paramètres!$A$1:$I$88,3,0)*0.475*44/12</f>
        <v>0</v>
      </c>
      <c r="AX38" s="23">
        <f t="shared" si="6"/>
        <v>26.101557947343416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65.257550850982113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6.5217391304347823</v>
      </c>
      <c r="BD38" s="13">
        <f>IF('Données projet'!$A$88&gt;35,BD37+BC38-BL37,IF(A38&lt;'Données projet'!$A$88,$BA$205^A38,IF(A38='Données projet'!$A$88,'Données projet'!$B$88,BD37+BC38-BL37)))</f>
        <v>228.26086956521738</v>
      </c>
      <c r="BE38" s="14">
        <f>BD38*VLOOKUP('Données projet'!$B$11,Paramètres!$A$1:$I$88,3,0)*VLOOKUP('Données projet'!$B$11,Paramètres!$A$1:$I$88,5,0)</f>
        <v>106.82608695652173</v>
      </c>
      <c r="BF38" s="14">
        <f t="shared" si="37"/>
        <v>28.581916440791318</v>
      </c>
      <c r="BG38" s="22">
        <f t="shared" si="7"/>
        <v>235.83560591698688</v>
      </c>
      <c r="BH38" s="62">
        <f t="shared" si="8"/>
        <v>511.77995903725463</v>
      </c>
      <c r="BI38" s="62">
        <f ca="1">AVERAGE(OFFSET($BH$3,0,0,'Données projet'!$E$11+1,1))-AVERAGE(OFFSET($H$3,0,0,'Données projet'!$E$11+1,1))</f>
        <v>364.96458059055169</v>
      </c>
      <c r="BJ38" s="62">
        <f t="shared" si="38"/>
        <v>246.27159120786257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projet'!$B$11,Paramètres!$A$1:$I$88,7,0))</f>
        <v>0</v>
      </c>
      <c r="BN38" s="17">
        <f>IF(ISNA(VLOOKUP(A38,'Données projet'!$A$87:$I$107,6,0)),0%,VLOOKUP(A38,'Données projet'!$A$87:$I$107,6,0)*VLOOKUP('Données projet'!$B$11,Paramètres!$A$1:$I$88,7,0))</f>
        <v>0</v>
      </c>
      <c r="BO38" s="17">
        <f>IF(ISNA(VLOOKUP(A38,'Données projet'!$A$87:$I$107,7,0)),0%,VLOOKUP(A38,'Données projet'!$A$87:$I$107,7,0))</f>
        <v>0</v>
      </c>
      <c r="BP38" s="23">
        <f>EXP(-LN(2)/35)*BP37+(1-EXP(-LN(2)/35))/(LN(2)/35)*BL38*BM38*VLOOKUP('Données projet'!$B$11,Paramètres!$A$1:$I$88,3,0)*0.475*44/12</f>
        <v>0</v>
      </c>
      <c r="BQ38" s="23">
        <f>EXP(-LN(2)/25)*BQ37+(1-EXP(-LN(2)/25))/(LN(2)/25)*Calculateur!BL38*Calculateur!BN38*VLOOKUP('Données projet'!$B$11,Paramètres!$A$1:$I$88,3,0)*0.475*44/12</f>
        <v>0</v>
      </c>
      <c r="BR38" s="23">
        <f>EXP(-LN(2)/2)*BR37+(1-EXP(-LN(2)/2))/(LN(2)/2)*BL38*BO38*VLOOKUP('Données projet'!$B$11,Paramètres!$A$1:$I$88,3,0)*0.475*44/12</f>
        <v>0</v>
      </c>
      <c r="BS38" s="24">
        <f t="shared" si="9"/>
        <v>0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65.257550850982113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4.1666667007873768</v>
      </c>
      <c r="BY38" s="13">
        <f>IF('Données projet'!$A$114&gt;35,BY37+BX38-CG37,IF(A38&lt;'Données projet'!$A$114,$BV$205^A38,IF(A38='Données projet'!$A$114,'Données projet'!$B$114,BY37+BX38-CG37)))</f>
        <v>145.83333452755812</v>
      </c>
      <c r="BZ38" s="14">
        <f>BY38*VLOOKUP('Données projet'!$B$12,Paramètres!$A$1:$I$88,3,0)*VLOOKUP('Données projet'!$B$12,Paramètres!$A$1:$I$88,5,0)</f>
        <v>147.87500121094394</v>
      </c>
      <c r="CA38" s="14">
        <f t="shared" si="39"/>
        <v>38.095271743796538</v>
      </c>
      <c r="CB38" s="22">
        <f t="shared" si="10"/>
        <v>323.89822539617296</v>
      </c>
      <c r="CC38" s="62">
        <f t="shared" si="11"/>
        <v>599.84257851644065</v>
      </c>
      <c r="CD38" s="62">
        <f ca="1">AVERAGE(OFFSET($CC$3,0,0,'Données projet'!$E$12+1,1))-AVERAGE(OFFSET($H$3,0,0,'Données projet'!$E$12+1,1))</f>
        <v>310.53598044763282</v>
      </c>
      <c r="CE38" s="62">
        <f t="shared" si="40"/>
        <v>322.01096634040596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projet'!$B$12,Paramètres!$A$1:$I$88,7,0))</f>
        <v>0</v>
      </c>
      <c r="CI38" s="17">
        <f>IF(ISNA(VLOOKUP(A38,'Données projet'!$A$113:$I$133,6,0)),0%,VLOOKUP(A38,'Données projet'!$A$113:$I$133,6,0)*VLOOKUP('Données projet'!$B$12,Paramètres!$A$1:$I$88,7,0))</f>
        <v>0</v>
      </c>
      <c r="CJ38" s="17">
        <f>IF(ISNA(VLOOKUP(A38,'Données projet'!$A$113:$I$133,7,0)),0%,VLOOKUP(A38,'Données projet'!$A$113:$I$133,7,0))</f>
        <v>0</v>
      </c>
      <c r="CK38" s="23">
        <f>EXP(-LN(2)/35)*CK37+(1-EXP(-LN(2)/35))/(LN(2)/35)*CG38*CH38*VLOOKUP('Données projet'!$B$12,Paramètres!$A$1:$I$88,3,0)*0.475*44/12</f>
        <v>0</v>
      </c>
      <c r="CL38" s="23">
        <f>EXP(-LN(2)/25)*CL37+(1-EXP(-LN(2)/25))/(LN(2)/25)*Calculateur!CG38*Calculateur!CI38*VLOOKUP('Données projet'!$B$12,Paramètres!$A$1:$I$88,3,0)*0.475*44/12</f>
        <v>0</v>
      </c>
      <c r="CM38" s="23">
        <f>EXP(-LN(2)/2)*CM37+(1-EXP(-LN(2)/2))/(LN(2)/2)*CG38*CJ38*VLOOKUP('Données projet'!$B$12,Paramètres!$A$1:$I$88,3,0)*0.475*44/12</f>
        <v>0</v>
      </c>
      <c r="CN38" s="24">
        <f t="shared" si="12"/>
        <v>0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65.257550850982113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projet'!$B$13,Paramètres!$A$1:$I$88,3,0)*VLOOKUP('Données projet'!$B$13,Paramètres!$A$1:$I$88,5,0)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projet'!$B$13,Paramètres!$A$1:$I$88,7,0))</f>
        <v>0</v>
      </c>
      <c r="DD38" s="17">
        <f>IF(ISNA(VLOOKUP(A38,'Données projet'!$A$139:$I$159,6,0)),0%,VLOOKUP(A38,'Données projet'!$A$139:$I$159,6,0)*VLOOKUP('Données projet'!$B$13,Paramètres!$A$1:$I$88,7,0))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projet'!$B$13,Paramètres!$A$1:$I$88,3,0)*0.475*44/12</f>
        <v>#N/A</v>
      </c>
      <c r="DG38" s="23" t="e">
        <f>EXP(-LN(2)/25)*DG37+(1-EXP(-LN(2)/25))/(LN(2)/25)*Calculateur!DB38*Calculateur!DD38*VLOOKUP('Données projet'!$B$13,Paramètres!$A$1:$I$88,3,0)*0.475*44/12</f>
        <v>#N/A</v>
      </c>
      <c r="DH38" s="23" t="e">
        <f>EXP(-LN(2)/2)*DH37+(1-EXP(-LN(2)/2))/(LN(2)/2)*DB38*DE38*VLOOKUP('Données projet'!$B$13,Paramètres!$A$1:$I$88,3,0)*0.475*44/12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65.257550850982113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projet'!$B$14,Paramètres!$A$1:$I$88,3,0)*VLOOKUP('Données projet'!$B$14,Paramètres!$A$1:$I$88,5,0)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projet'!$B$14,Paramètres!$A$1:$I$88,7,0))</f>
        <v>0</v>
      </c>
      <c r="DY38" s="17">
        <f>IF(ISNA(VLOOKUP(A38,'Données projet'!$A$165:$I$185,6,0)),0%,VLOOKUP(A38,'Données projet'!$A$165:$I$185,6,0)*VLOOKUP('Données projet'!$B$14,Paramètres!$A$1:$I$88,7,0))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projet'!$B$14,Paramètres!$A$1:$I$88,3,0)*0.475*44/12</f>
        <v>#N/A</v>
      </c>
      <c r="EB38" s="23" t="e">
        <f>EXP(-LN(2)/25)*EB37+(1-EXP(-LN(2)/25))/(LN(2)/25)*Calculateur!DW38*Calculateur!DY38*VLOOKUP('Données projet'!$B$14,Paramètres!$A$1:$I$88,3,0)*0.475*44/12</f>
        <v>#N/A</v>
      </c>
      <c r="EC38" s="23" t="e">
        <f>EXP(-LN(2)/2)*EC37+(1-EXP(-LN(2)/2))/(LN(2)/2)*DW38*DZ38*VLOOKUP('Données projet'!$B$14,Paramètres!$A$1:$I$88,3,0)*0.475*44/12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65.257550850982113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projet'!$B$15,Paramètres!$A$1:$I$88,3,0)*VLOOKUP('Données projet'!$B$15,Paramètres!$A$1:$I$88,5,0)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projet'!$B$15,Paramètres!$A$1:$I$88,7,0))</f>
        <v>0</v>
      </c>
      <c r="ET38" s="17">
        <f>IF(ISNA(VLOOKUP(A38,'Données projet'!$A$191:$I$211,6,0)),0%,VLOOKUP(A38,'Données projet'!$A$191:$I$211,6,0)*VLOOKUP('Données projet'!$B$15,Paramètres!$A$1:$I$88,7,0))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projet'!$B$15,Paramètres!$A$1:$I$88,3,0)*0.475*44/12</f>
        <v>#N/A</v>
      </c>
      <c r="EW38" s="23" t="e">
        <f>EXP(-LN(2)/25)*EW37+(1-EXP(-LN(2)/25))/(LN(2)/25)*Calculateur!ER38*Calculateur!ET38*VLOOKUP('Données projet'!$B$15,Paramètres!$A$1:$I$88,3,0)*0.475*44/12</f>
        <v>#N/A</v>
      </c>
      <c r="EX38" s="23" t="e">
        <f>EXP(-LN(2)/2)*EX37+(1-EXP(-LN(2)/2))/(LN(2)/2)*ER38*EU38*VLOOKUP('Données projet'!$B$15,Paramètres!$A$1:$I$88,3,0)*0.475*44/12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65.257550850982113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projet'!$B$16,Paramètres!$A$1:$I$88,3,0)*VLOOKUP('Données projet'!$B$16,Paramètres!$A$1:$I$88,5,0)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projet'!$B$16,Paramètres!$A$1:$I$88,7,0))</f>
        <v>0</v>
      </c>
      <c r="FO38" s="17">
        <f>IF(ISNA(VLOOKUP(A38,'Données projet'!$A$217:$I$237,6,0)),0%,VLOOKUP(A38,'Données projet'!$A$217:$I$237,6,0)*VLOOKUP('Données projet'!$B$16,Paramètres!$A$1:$I$88,7,0))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projet'!$B$16,Paramètres!$A$1:$I$88,3,0)*0.475*44/12</f>
        <v>#N/A</v>
      </c>
      <c r="FR38" s="23" t="e">
        <f>EXP(-LN(2)/25)*FR37+(1-EXP(-LN(2)/25))/(LN(2)/25)*Calculateur!FM38*Calculateur!FO38*VLOOKUP('Données projet'!$B$16,Paramètres!$A$1:$I$88,3,0)*0.475*44/12</f>
        <v>#N/A</v>
      </c>
      <c r="FS38" s="23" t="e">
        <f>EXP(-LN(2)/2)*FS37+(1-EXP(-LN(2)/2))/(LN(2)/2)*FM38*FP38*VLOOKUP('Données projet'!$B$16,Paramètres!$A$1:$I$88,3,0)*0.475*44/12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65.257550850982113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projet'!$B$17,Paramètres!$A$1:$I$88,3,0)*VLOOKUP('Données projet'!$B$17,Paramètres!$A$1:$I$88,5,0)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projet'!$B$17,Paramètres!$A$1:$I$88,7,0))</f>
        <v>0</v>
      </c>
      <c r="GJ38" s="17">
        <f>IF(ISNA(VLOOKUP(A38,'Données projet'!$A$243:$I$263,6,0)),0%,VLOOKUP(A38,'Données projet'!$A$243:$I$263,6,0)*VLOOKUP('Données projet'!$B$17,Paramètres!$A$1:$I$88,7,0))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projet'!$B$17,Paramètres!$A$1:$I$88,3,0)*0.475*44/12</f>
        <v>#N/A</v>
      </c>
      <c r="GM38" s="23" t="e">
        <f>EXP(-LN(2)/25)*GM37+(1-EXP(-LN(2)/25))/(LN(2)/25)*Calculateur!GH38*Calculateur!GJ38*VLOOKUP('Données projet'!$B$17,Paramètres!$A$1:$I$88,3,0)*0.475*44/12</f>
        <v>#N/A</v>
      </c>
      <c r="GN38" s="23" t="e">
        <f>EXP(-LN(2)/2)*GN37+(1-EXP(-LN(2)/2))/(LN(2)/2)*GH38*GK38*VLOOKUP('Données projet'!$B$17,Paramètres!$A$1:$I$88,3,0)*0.475*44/12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65.257550850982113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projet'!$B$18,Paramètres!$A$1:$I$88,3,0)*VLOOKUP('Données projet'!$B$18,Paramètres!$A$1:$I$88,5,0)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projet'!$B$18,Paramètres!$A$1:$I$88,7,0))</f>
        <v>0</v>
      </c>
      <c r="HE38" s="17">
        <f>IF(ISNA(VLOOKUP(A38,'Données projet'!$A$269:$I$289,6,0)),0%,VLOOKUP(A38,'Données projet'!$A$269:$I$289,6,0)*VLOOKUP('Données projet'!$B$18,Paramètres!$A$1:$I$88,7,0))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projet'!$B$18,Paramètres!$A$1:$I$88,3,0)*0.475*44/12</f>
        <v>#N/A</v>
      </c>
      <c r="HH38" s="23" t="e">
        <f>EXP(-LN(2)/25)*HH37+(1-EXP(-LN(2)/25))/(LN(2)/25)*Calculateur!HC38*Calculateur!HE38*VLOOKUP('Données projet'!$B$18,Paramètres!$A$1:$I$88,3,0)*0.475*44/12</f>
        <v>#N/A</v>
      </c>
      <c r="HI38" s="23" t="e">
        <f>EXP(-LN(2)/2)*HI37+(1-EXP(-LN(2)/2))/(LN(2)/2)*HC38*HF38*VLOOKUP('Données projet'!$B$18,Paramètres!$A$1:$I$88,3,0)*0.475*44/12</f>
        <v>#N/A</v>
      </c>
      <c r="HJ38" s="24" t="e">
        <f t="shared" si="30"/>
        <v>#N/A</v>
      </c>
    </row>
    <row r="39" spans="1:218" s="5" customFormat="1" x14ac:dyDescent="0.35">
      <c r="A39" s="11">
        <f t="shared" si="31"/>
        <v>36</v>
      </c>
      <c r="B39" s="77">
        <f>'Scénario référence'!$B$16*5+'Scénario référence'!$B$17*0+'Scénario référence'!$B$18*5</f>
        <v>1.75</v>
      </c>
      <c r="C39" s="20">
        <f>Calculateur!C38+'Scénario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39" s="12">
        <f t="shared" si="3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6.416666666666667</v>
      </c>
      <c r="H39" s="70">
        <f t="shared" si="1"/>
        <v>231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65.339821741189652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19.714285714285715</v>
      </c>
      <c r="N39" s="14">
        <f>IF('Données projet'!$A$36&gt;35,N38+M39-V38,IF(A39&lt;'Données projet'!$A$36,$K$205^A39,IF(A39='Données projet'!$A$36,'Données projet'!$B$36,N38+M39-V38)))</f>
        <v>331.85714285714295</v>
      </c>
      <c r="O39" s="14">
        <f>N39*VLOOKUP('Données projet'!$B$9,Paramètres!$A$1:$I$88,3,0)*VLOOKUP('Données projet'!$B$9,Paramètres!$A$1:$I$88,5,0)</f>
        <v>185.5081428571429</v>
      </c>
      <c r="P39" s="14">
        <f t="shared" si="33"/>
        <v>46.545488425938196</v>
      </c>
      <c r="Q39" s="22">
        <f t="shared" si="53"/>
        <v>404.16007448469958</v>
      </c>
      <c r="R39" s="62">
        <f t="shared" si="0"/>
        <v>680.40608753572837</v>
      </c>
      <c r="S39" s="62">
        <f ca="1">AVERAGE(OFFSET($R$3,0,0,'Données projet'!$E$9+1,1))-AVERAGE(OFFSET($H$3,0,0,'Données projet'!$E$9+1,1))</f>
        <v>341.05096821796769</v>
      </c>
      <c r="T39" s="62">
        <f t="shared" si="34"/>
        <v>400.72519822215168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projet'!$B$9,Paramètres!$A$1:$I$88,7,0))</f>
        <v>0</v>
      </c>
      <c r="X39" s="17">
        <f>IF(ISNA(VLOOKUP(A39,'Données projet'!$A$35:$I$55,6,0)),0%,VLOOKUP(A39,'Données projet'!$A$35:$I$55,6,0)*VLOOKUP('Données projet'!$B$9,Paramètres!$A$1:$I$88,7,0))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projet'!$B$9,Paramètres!$A$1:$I$88,3,0)*0.475*44/12</f>
        <v>10.865211447755467</v>
      </c>
      <c r="AA39" s="23">
        <f>EXP(-LN(2)/25)*AA38+(1-EXP(-LN(2)/25))/(LN(2)/25)*Calculateur!V39*Calculateur!X39*VLOOKUP('Données projet'!$B$9,Paramètres!$A$1:$I$88,3,0)*0.475*44/12</f>
        <v>28.496657075419733</v>
      </c>
      <c r="AB39" s="23">
        <f>EXP(-LN(2)/2)*AB38+(1-EXP(-LN(2)/2))/(LN(2)/2)*V39*Y39*VLOOKUP('Données projet'!$B$9,Paramètres!$A$1:$I$88,3,0)*0.475*44/12</f>
        <v>0</v>
      </c>
      <c r="AC39" s="24">
        <f t="shared" si="3"/>
        <v>39.361868523175204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65.339821741189652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9.8666666666666654</v>
      </c>
      <c r="AI39" s="14">
        <f>IF('Données projet'!$A$62&gt;35,AI38+AH39-AQ38,IF(A39&lt;'Données projet'!$A$62,$AF$205^A39,IF(A39='Données projet'!$A$62,'Données projet'!$B$62,AI38+AH39-AQ38)))</f>
        <v>175.03333333333336</v>
      </c>
      <c r="AJ39" s="14">
        <f>AI39*VLOOKUP('Données projet'!$B$10,Paramètres!$A$1:$I$88,3,0)*VLOOKUP('Données projet'!$B$10,Paramètres!$A$1:$I$88,5,0)</f>
        <v>104.66993333333335</v>
      </c>
      <c r="AK39" s="14">
        <f t="shared" si="35"/>
        <v>28.071572261632276</v>
      </c>
      <c r="AL39" s="22">
        <f t="shared" si="4"/>
        <v>231.19145557789844</v>
      </c>
      <c r="AM39" s="62">
        <f t="shared" si="5"/>
        <v>507.43746862892715</v>
      </c>
      <c r="AN39" s="62">
        <f ca="1">AVERAGE(OFFSET($AM$3,0,0,'Données projet'!$E$10+1,1))-AVERAGE(OFFSET($H$3,0,0,'Données projet'!$E$10+1,1))</f>
        <v>231.96474801342879</v>
      </c>
      <c r="AO39" s="62">
        <f t="shared" si="36"/>
        <v>237.75726086383668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projet'!$B$10,Paramètres!$A$1:$I$88,7,0))</f>
        <v>0</v>
      </c>
      <c r="AS39" s="17">
        <f>IF(ISNA(VLOOKUP(A39,'Données projet'!$A$61:$I$81,6,0)),0%,VLOOKUP(A39,'Données projet'!$A$61:$I$81,6,0)*VLOOKUP('Données projet'!$B$10,Paramètres!$A$1:$I$88,7,0))</f>
        <v>0</v>
      </c>
      <c r="AT39" s="17">
        <f>IF(ISNA(VLOOKUP(A39,'Données projet'!$A$61:$I$81,7,0)),0%,VLOOKUP(A39,'Données projet'!$A$61:$I$81,7,0))</f>
        <v>0</v>
      </c>
      <c r="AU39" s="23">
        <f>EXP(-LN(2)/35)*AU38+(1-EXP(-LN(2)/35))/(LN(2)/35)*AQ39*AR39*VLOOKUP('Données projet'!$B$10,Paramètres!$A$1:$I$88,3,0)*0.475*44/12</f>
        <v>5.5686748563628861</v>
      </c>
      <c r="AV39" s="23">
        <f>EXP(-LN(2)/25)*AV38+(1-EXP(-LN(2)/25))/(LN(2)/25)*Calculateur!AQ39*Calculateur!AS39*VLOOKUP('Données projet'!$B$10,Paramètres!$A$1:$I$88,3,0)*0.475*44/12</f>
        <v>19.863073622821226</v>
      </c>
      <c r="AW39" s="23">
        <f>EXP(-LN(2)/2)*AW38+(1-EXP(-LN(2)/2))/(LN(2)/2)*AQ39*AT39*VLOOKUP('Données projet'!$B$10,Paramètres!$A$1:$I$88,3,0)*0.475*44/12</f>
        <v>0</v>
      </c>
      <c r="AX39" s="23">
        <f t="shared" si="6"/>
        <v>25.431748479184112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65.339821741189652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6.5217391304347823</v>
      </c>
      <c r="BD39" s="13">
        <f>IF('Données projet'!$A$88&gt;35,BD38+BC39-BL38,IF(A39&lt;'Données projet'!$A$88,$BA$205^A39,IF(A39='Données projet'!$A$88,'Données projet'!$B$88,BD38+BC39-BL38)))</f>
        <v>234.78260869565216</v>
      </c>
      <c r="BE39" s="14">
        <f>BD39*VLOOKUP('Données projet'!$B$11,Paramètres!$A$1:$I$88,3,0)*VLOOKUP('Données projet'!$B$11,Paramètres!$A$1:$I$88,5,0)</f>
        <v>109.8782608695652</v>
      </c>
      <c r="BF39" s="14">
        <f t="shared" si="37"/>
        <v>29.302300035654515</v>
      </c>
      <c r="BG39" s="22">
        <f t="shared" si="7"/>
        <v>242.40614357659101</v>
      </c>
      <c r="BH39" s="62">
        <f t="shared" si="8"/>
        <v>518.65215662761977</v>
      </c>
      <c r="BI39" s="62">
        <f ca="1">AVERAGE(OFFSET($BH$3,0,0,'Données projet'!$E$11+1,1))-AVERAGE(OFFSET($H$3,0,0,'Données projet'!$E$11+1,1))</f>
        <v>364.96458059055169</v>
      </c>
      <c r="BJ39" s="62">
        <f t="shared" si="38"/>
        <v>246.27159120786257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projet'!$B$11,Paramètres!$A$1:$I$88,7,0))</f>
        <v>0</v>
      </c>
      <c r="BN39" s="17">
        <f>IF(ISNA(VLOOKUP(A39,'Données projet'!$A$87:$I$107,6,0)),0%,VLOOKUP(A39,'Données projet'!$A$87:$I$107,6,0)*VLOOKUP('Données projet'!$B$11,Paramètres!$A$1:$I$88,7,0))</f>
        <v>0</v>
      </c>
      <c r="BO39" s="17">
        <f>IF(ISNA(VLOOKUP(A39,'Données projet'!$A$87:$I$107,7,0)),0%,VLOOKUP(A39,'Données projet'!$A$87:$I$107,7,0))</f>
        <v>0</v>
      </c>
      <c r="BP39" s="23">
        <f>EXP(-LN(2)/35)*BP38+(1-EXP(-LN(2)/35))/(LN(2)/35)*BL39*BM39*VLOOKUP('Données projet'!$B$11,Paramètres!$A$1:$I$88,3,0)*0.475*44/12</f>
        <v>0</v>
      </c>
      <c r="BQ39" s="23">
        <f>EXP(-LN(2)/25)*BQ38+(1-EXP(-LN(2)/25))/(LN(2)/25)*Calculateur!BL39*Calculateur!BN39*VLOOKUP('Données projet'!$B$11,Paramètres!$A$1:$I$88,3,0)*0.475*44/12</f>
        <v>0</v>
      </c>
      <c r="BR39" s="23">
        <f>EXP(-LN(2)/2)*BR38+(1-EXP(-LN(2)/2))/(LN(2)/2)*BL39*BO39*VLOOKUP('Données projet'!$B$11,Paramètres!$A$1:$I$88,3,0)*0.475*44/12</f>
        <v>0</v>
      </c>
      <c r="BS39" s="24">
        <f t="shared" si="9"/>
        <v>0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65.339821741189652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4.1666667007873768</v>
      </c>
      <c r="BY39" s="13">
        <f>IF('Données projet'!$A$114&gt;35,BY38+BX39-CG38,IF(A39&lt;'Données projet'!$A$114,$BV$205^A39,IF(A39='Données projet'!$A$114,'Données projet'!$B$114,BY38+BX39-CG38)))</f>
        <v>150.0000012283455</v>
      </c>
      <c r="BZ39" s="14">
        <f>BY39*VLOOKUP('Données projet'!$B$12,Paramètres!$A$1:$I$88,3,0)*VLOOKUP('Données projet'!$B$12,Paramètres!$A$1:$I$88,5,0)</f>
        <v>152.10000124554236</v>
      </c>
      <c r="CA39" s="14">
        <f t="shared" si="39"/>
        <v>39.055431600919391</v>
      </c>
      <c r="CB39" s="22">
        <f t="shared" si="10"/>
        <v>332.92904554092081</v>
      </c>
      <c r="CC39" s="62">
        <f t="shared" si="11"/>
        <v>609.17505859194955</v>
      </c>
      <c r="CD39" s="62">
        <f ca="1">AVERAGE(OFFSET($CC$3,0,0,'Données projet'!$E$12+1,1))-AVERAGE(OFFSET($H$3,0,0,'Données projet'!$E$12+1,1))</f>
        <v>310.53598044763282</v>
      </c>
      <c r="CE39" s="62">
        <f t="shared" si="40"/>
        <v>322.01096634040596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projet'!$B$12,Paramètres!$A$1:$I$88,7,0))</f>
        <v>0</v>
      </c>
      <c r="CI39" s="17">
        <f>IF(ISNA(VLOOKUP(A39,'Données projet'!$A$113:$I$133,6,0)),0%,VLOOKUP(A39,'Données projet'!$A$113:$I$133,6,0)*VLOOKUP('Données projet'!$B$12,Paramètres!$A$1:$I$88,7,0))</f>
        <v>0</v>
      </c>
      <c r="CJ39" s="17">
        <f>IF(ISNA(VLOOKUP(A39,'Données projet'!$A$113:$I$133,7,0)),0%,VLOOKUP(A39,'Données projet'!$A$113:$I$133,7,0))</f>
        <v>0</v>
      </c>
      <c r="CK39" s="23">
        <f>EXP(-LN(2)/35)*CK38+(1-EXP(-LN(2)/35))/(LN(2)/35)*CG39*CH39*VLOOKUP('Données projet'!$B$12,Paramètres!$A$1:$I$88,3,0)*0.475*44/12</f>
        <v>0</v>
      </c>
      <c r="CL39" s="23">
        <f>EXP(-LN(2)/25)*CL38+(1-EXP(-LN(2)/25))/(LN(2)/25)*Calculateur!CG39*Calculateur!CI39*VLOOKUP('Données projet'!$B$12,Paramètres!$A$1:$I$88,3,0)*0.475*44/12</f>
        <v>0</v>
      </c>
      <c r="CM39" s="23">
        <f>EXP(-LN(2)/2)*CM38+(1-EXP(-LN(2)/2))/(LN(2)/2)*CG39*CJ39*VLOOKUP('Données projet'!$B$12,Paramètres!$A$1:$I$88,3,0)*0.475*44/12</f>
        <v>0</v>
      </c>
      <c r="CN39" s="24">
        <f t="shared" si="12"/>
        <v>0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65.339821741189652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projet'!$B$13,Paramètres!$A$1:$I$88,3,0)*VLOOKUP('Données projet'!$B$13,Paramètres!$A$1:$I$88,5,0)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projet'!$B$13,Paramètres!$A$1:$I$88,7,0))</f>
        <v>0</v>
      </c>
      <c r="DD39" s="17">
        <f>IF(ISNA(VLOOKUP(A39,'Données projet'!$A$139:$I$159,6,0)),0%,VLOOKUP(A39,'Données projet'!$A$139:$I$159,6,0)*VLOOKUP('Données projet'!$B$13,Paramètres!$A$1:$I$88,7,0))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projet'!$B$13,Paramètres!$A$1:$I$88,3,0)*0.475*44/12</f>
        <v>#N/A</v>
      </c>
      <c r="DG39" s="23" t="e">
        <f>EXP(-LN(2)/25)*DG38+(1-EXP(-LN(2)/25))/(LN(2)/25)*Calculateur!DB39*Calculateur!DD39*VLOOKUP('Données projet'!$B$13,Paramètres!$A$1:$I$88,3,0)*0.475*44/12</f>
        <v>#N/A</v>
      </c>
      <c r="DH39" s="23" t="e">
        <f>EXP(-LN(2)/2)*DH38+(1-EXP(-LN(2)/2))/(LN(2)/2)*DB39*DE39*VLOOKUP('Données projet'!$B$13,Paramètres!$A$1:$I$88,3,0)*0.475*44/12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65.339821741189652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projet'!$B$14,Paramètres!$A$1:$I$88,3,0)*VLOOKUP('Données projet'!$B$14,Paramètres!$A$1:$I$88,5,0)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projet'!$B$14,Paramètres!$A$1:$I$88,7,0))</f>
        <v>0</v>
      </c>
      <c r="DY39" s="17">
        <f>IF(ISNA(VLOOKUP(A39,'Données projet'!$A$165:$I$185,6,0)),0%,VLOOKUP(A39,'Données projet'!$A$165:$I$185,6,0)*VLOOKUP('Données projet'!$B$14,Paramètres!$A$1:$I$88,7,0))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projet'!$B$14,Paramètres!$A$1:$I$88,3,0)*0.475*44/12</f>
        <v>#N/A</v>
      </c>
      <c r="EB39" s="23" t="e">
        <f>EXP(-LN(2)/25)*EB38+(1-EXP(-LN(2)/25))/(LN(2)/25)*Calculateur!DW39*Calculateur!DY39*VLOOKUP('Données projet'!$B$14,Paramètres!$A$1:$I$88,3,0)*0.475*44/12</f>
        <v>#N/A</v>
      </c>
      <c r="EC39" s="23" t="e">
        <f>EXP(-LN(2)/2)*EC38+(1-EXP(-LN(2)/2))/(LN(2)/2)*DW39*DZ39*VLOOKUP('Données projet'!$B$14,Paramètres!$A$1:$I$88,3,0)*0.475*44/12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65.339821741189652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projet'!$B$15,Paramètres!$A$1:$I$88,3,0)*VLOOKUP('Données projet'!$B$15,Paramètres!$A$1:$I$88,5,0)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projet'!$B$15,Paramètres!$A$1:$I$88,7,0))</f>
        <v>0</v>
      </c>
      <c r="ET39" s="17">
        <f>IF(ISNA(VLOOKUP(A39,'Données projet'!$A$191:$I$211,6,0)),0%,VLOOKUP(A39,'Données projet'!$A$191:$I$211,6,0)*VLOOKUP('Données projet'!$B$15,Paramètres!$A$1:$I$88,7,0))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projet'!$B$15,Paramètres!$A$1:$I$88,3,0)*0.475*44/12</f>
        <v>#N/A</v>
      </c>
      <c r="EW39" s="23" t="e">
        <f>EXP(-LN(2)/25)*EW38+(1-EXP(-LN(2)/25))/(LN(2)/25)*Calculateur!ER39*Calculateur!ET39*VLOOKUP('Données projet'!$B$15,Paramètres!$A$1:$I$88,3,0)*0.475*44/12</f>
        <v>#N/A</v>
      </c>
      <c r="EX39" s="23" t="e">
        <f>EXP(-LN(2)/2)*EX38+(1-EXP(-LN(2)/2))/(LN(2)/2)*ER39*EU39*VLOOKUP('Données projet'!$B$15,Paramètres!$A$1:$I$88,3,0)*0.475*44/12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65.339821741189652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projet'!$B$16,Paramètres!$A$1:$I$88,3,0)*VLOOKUP('Données projet'!$B$16,Paramètres!$A$1:$I$88,5,0)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projet'!$B$16,Paramètres!$A$1:$I$88,7,0))</f>
        <v>0</v>
      </c>
      <c r="FO39" s="17">
        <f>IF(ISNA(VLOOKUP(A39,'Données projet'!$A$217:$I$237,6,0)),0%,VLOOKUP(A39,'Données projet'!$A$217:$I$237,6,0)*VLOOKUP('Données projet'!$B$16,Paramètres!$A$1:$I$88,7,0))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projet'!$B$16,Paramètres!$A$1:$I$88,3,0)*0.475*44/12</f>
        <v>#N/A</v>
      </c>
      <c r="FR39" s="23" t="e">
        <f>EXP(-LN(2)/25)*FR38+(1-EXP(-LN(2)/25))/(LN(2)/25)*Calculateur!FM39*Calculateur!FO39*VLOOKUP('Données projet'!$B$16,Paramètres!$A$1:$I$88,3,0)*0.475*44/12</f>
        <v>#N/A</v>
      </c>
      <c r="FS39" s="23" t="e">
        <f>EXP(-LN(2)/2)*FS38+(1-EXP(-LN(2)/2))/(LN(2)/2)*FM39*FP39*VLOOKUP('Données projet'!$B$16,Paramètres!$A$1:$I$88,3,0)*0.475*44/12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65.339821741189652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projet'!$B$17,Paramètres!$A$1:$I$88,3,0)*VLOOKUP('Données projet'!$B$17,Paramètres!$A$1:$I$88,5,0)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projet'!$B$17,Paramètres!$A$1:$I$88,7,0))</f>
        <v>0</v>
      </c>
      <c r="GJ39" s="17">
        <f>IF(ISNA(VLOOKUP(A39,'Données projet'!$A$243:$I$263,6,0)),0%,VLOOKUP(A39,'Données projet'!$A$243:$I$263,6,0)*VLOOKUP('Données projet'!$B$17,Paramètres!$A$1:$I$88,7,0))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projet'!$B$17,Paramètres!$A$1:$I$88,3,0)*0.475*44/12</f>
        <v>#N/A</v>
      </c>
      <c r="GM39" s="23" t="e">
        <f>EXP(-LN(2)/25)*GM38+(1-EXP(-LN(2)/25))/(LN(2)/25)*Calculateur!GH39*Calculateur!GJ39*VLOOKUP('Données projet'!$B$17,Paramètres!$A$1:$I$88,3,0)*0.475*44/12</f>
        <v>#N/A</v>
      </c>
      <c r="GN39" s="23" t="e">
        <f>EXP(-LN(2)/2)*GN38+(1-EXP(-LN(2)/2))/(LN(2)/2)*GH39*GK39*VLOOKUP('Données projet'!$B$17,Paramètres!$A$1:$I$88,3,0)*0.475*44/12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65.339821741189652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projet'!$B$18,Paramètres!$A$1:$I$88,3,0)*VLOOKUP('Données projet'!$B$18,Paramètres!$A$1:$I$88,5,0)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projet'!$B$18,Paramètres!$A$1:$I$88,7,0))</f>
        <v>0</v>
      </c>
      <c r="HE39" s="17">
        <f>IF(ISNA(VLOOKUP(A39,'Données projet'!$A$269:$I$289,6,0)),0%,VLOOKUP(A39,'Données projet'!$A$269:$I$289,6,0)*VLOOKUP('Données projet'!$B$18,Paramètres!$A$1:$I$88,7,0))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projet'!$B$18,Paramètres!$A$1:$I$88,3,0)*0.475*44/12</f>
        <v>#N/A</v>
      </c>
      <c r="HH39" s="23" t="e">
        <f>EXP(-LN(2)/25)*HH38+(1-EXP(-LN(2)/25))/(LN(2)/25)*Calculateur!HC39*Calculateur!HE39*VLOOKUP('Données projet'!$B$18,Paramètres!$A$1:$I$88,3,0)*0.475*44/12</f>
        <v>#N/A</v>
      </c>
      <c r="HI39" s="23" t="e">
        <f>EXP(-LN(2)/2)*HI38+(1-EXP(-LN(2)/2))/(LN(2)/2)*HC39*HF39*VLOOKUP('Données projet'!$B$18,Paramètres!$A$1:$I$88,3,0)*0.475*44/12</f>
        <v>#N/A</v>
      </c>
      <c r="HJ39" s="24" t="e">
        <f t="shared" si="30"/>
        <v>#N/A</v>
      </c>
    </row>
    <row r="40" spans="1:218" s="5" customFormat="1" x14ac:dyDescent="0.35">
      <c r="A40" s="11">
        <f t="shared" si="31"/>
        <v>37</v>
      </c>
      <c r="B40" s="77">
        <f>'Scénario référence'!$B$16*5+'Scénario référence'!$B$17*0+'Scénario référence'!$B$18*5</f>
        <v>1.75</v>
      </c>
      <c r="C40" s="20">
        <f>Calculateur!C39+'Scénario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40" s="12">
        <f t="shared" si="3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6.416666666666667</v>
      </c>
      <c r="H40" s="70">
        <f t="shared" si="1"/>
        <v>231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65.420665415382246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19.714285714285715</v>
      </c>
      <c r="N40" s="14">
        <f>IF('Données projet'!$A$36&gt;35,N39+M40-V39,IF(A40&lt;'Données projet'!$A$36,$K$205^A40,IF(A40='Données projet'!$A$36,'Données projet'!$B$36,N39+M40-V39)))</f>
        <v>351.57142857142867</v>
      </c>
      <c r="O40" s="14">
        <f>N40*VLOOKUP('Données projet'!$B$9,Paramètres!$A$1:$I$88,3,0)*VLOOKUP('Données projet'!$B$9,Paramètres!$A$1:$I$88,5,0)</f>
        <v>196.52842857142863</v>
      </c>
      <c r="P40" s="14">
        <f t="shared" si="33"/>
        <v>48.980445625371871</v>
      </c>
      <c r="Q40" s="22">
        <f t="shared" si="53"/>
        <v>427.59462255942753</v>
      </c>
      <c r="R40" s="62">
        <f t="shared" si="0"/>
        <v>704.13706241582918</v>
      </c>
      <c r="S40" s="62">
        <f ca="1">AVERAGE(OFFSET($R$3,0,0,'Données projet'!$E$9+1,1))-AVERAGE(OFFSET($H$3,0,0,'Données projet'!$E$9+1,1))</f>
        <v>341.05096821796769</v>
      </c>
      <c r="T40" s="62">
        <f t="shared" si="34"/>
        <v>400.72519822215168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projet'!$B$9,Paramètres!$A$1:$I$88,7,0))</f>
        <v>0</v>
      </c>
      <c r="X40" s="17">
        <f>IF(ISNA(VLOOKUP(A40,'Données projet'!$A$35:$I$55,6,0)),0%,VLOOKUP(A40,'Données projet'!$A$35:$I$55,6,0)*VLOOKUP('Données projet'!$B$9,Paramètres!$A$1:$I$88,7,0))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projet'!$B$9,Paramètres!$A$1:$I$88,3,0)*0.475*44/12</f>
        <v>10.65215127838959</v>
      </c>
      <c r="AA40" s="23">
        <f>EXP(-LN(2)/25)*AA39+(1-EXP(-LN(2)/25))/(LN(2)/25)*Calculateur!V40*Calculateur!X40*VLOOKUP('Données projet'!$B$9,Paramètres!$A$1:$I$88,3,0)*0.475*44/12</f>
        <v>27.717414489118315</v>
      </c>
      <c r="AB40" s="23">
        <f>EXP(-LN(2)/2)*AB39+(1-EXP(-LN(2)/2))/(LN(2)/2)*V40*Y40*VLOOKUP('Données projet'!$B$9,Paramètres!$A$1:$I$88,3,0)*0.475*44/12</f>
        <v>0</v>
      </c>
      <c r="AC40" s="24">
        <f t="shared" si="3"/>
        <v>38.369565767507908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65.420665415382246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9.8666666666666654</v>
      </c>
      <c r="AI40" s="14">
        <f>IF('Données projet'!$A$62&gt;35,AI39+AH40-AQ39,IF(A40&lt;'Données projet'!$A$62,$AF$205^A40,IF(A40='Données projet'!$A$62,'Données projet'!$B$62,AI39+AH40-AQ39)))</f>
        <v>184.90000000000003</v>
      </c>
      <c r="AJ40" s="14">
        <f>AI40*VLOOKUP('Données projet'!$B$10,Paramètres!$A$1:$I$88,3,0)*VLOOKUP('Données projet'!$B$10,Paramètres!$A$1:$I$88,5,0)</f>
        <v>110.57020000000003</v>
      </c>
      <c r="AK40" s="14">
        <f t="shared" si="35"/>
        <v>29.465287688129877</v>
      </c>
      <c r="AL40" s="22">
        <f t="shared" si="4"/>
        <v>243.89514105682625</v>
      </c>
      <c r="AM40" s="62">
        <f t="shared" si="5"/>
        <v>520.43758091322786</v>
      </c>
      <c r="AN40" s="62">
        <f ca="1">AVERAGE(OFFSET($AM$3,0,0,'Données projet'!$E$10+1,1))-AVERAGE(OFFSET($H$3,0,0,'Données projet'!$E$10+1,1))</f>
        <v>231.96474801342879</v>
      </c>
      <c r="AO40" s="62">
        <f t="shared" si="36"/>
        <v>237.75726086383668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projet'!$B$10,Paramètres!$A$1:$I$88,7,0))</f>
        <v>0</v>
      </c>
      <c r="AS40" s="17">
        <f>IF(ISNA(VLOOKUP(A40,'Données projet'!$A$61:$I$81,6,0)),0%,VLOOKUP(A40,'Données projet'!$A$61:$I$81,6,0)*VLOOKUP('Données projet'!$B$10,Paramètres!$A$1:$I$88,7,0))</f>
        <v>0</v>
      </c>
      <c r="AT40" s="17">
        <f>IF(ISNA(VLOOKUP(A40,'Données projet'!$A$61:$I$81,7,0)),0%,VLOOKUP(A40,'Données projet'!$A$61:$I$81,7,0))</f>
        <v>0</v>
      </c>
      <c r="AU40" s="23">
        <f>EXP(-LN(2)/35)*AU39+(1-EXP(-LN(2)/35))/(LN(2)/35)*AQ40*AR40*VLOOKUP('Données projet'!$B$10,Paramètres!$A$1:$I$88,3,0)*0.475*44/12</f>
        <v>5.4594765389858901</v>
      </c>
      <c r="AV40" s="23">
        <f>EXP(-LN(2)/25)*AV39+(1-EXP(-LN(2)/25))/(LN(2)/25)*Calculateur!AQ40*Calculateur!AS40*VLOOKUP('Données projet'!$B$10,Paramètres!$A$1:$I$88,3,0)*0.475*44/12</f>
        <v>19.319916830051536</v>
      </c>
      <c r="AW40" s="23">
        <f>EXP(-LN(2)/2)*AW39+(1-EXP(-LN(2)/2))/(LN(2)/2)*AQ40*AT40*VLOOKUP('Données projet'!$B$10,Paramètres!$A$1:$I$88,3,0)*0.475*44/12</f>
        <v>0</v>
      </c>
      <c r="AX40" s="23">
        <f t="shared" si="6"/>
        <v>24.779393369037425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65.420665415382246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6.5217391304347823</v>
      </c>
      <c r="BD40" s="13">
        <f>IF('Données projet'!$A$88&gt;35,BD39+BC40-BL39,IF(A40&lt;'Données projet'!$A$88,$BA$205^A40,IF(A40='Données projet'!$A$88,'Données projet'!$B$88,BD39+BC40-BL39)))</f>
        <v>241.30434782608694</v>
      </c>
      <c r="BE40" s="14">
        <f>BD40*VLOOKUP('Données projet'!$B$11,Paramètres!$A$1:$I$88,3,0)*VLOOKUP('Données projet'!$B$11,Paramètres!$A$1:$I$88,5,0)</f>
        <v>112.93043478260869</v>
      </c>
      <c r="BF40" s="14">
        <f t="shared" si="37"/>
        <v>30.020357835723225</v>
      </c>
      <c r="BG40" s="22">
        <f t="shared" si="7"/>
        <v>248.97263047692806</v>
      </c>
      <c r="BH40" s="62">
        <f t="shared" si="8"/>
        <v>525.51507033332962</v>
      </c>
      <c r="BI40" s="62">
        <f ca="1">AVERAGE(OFFSET($BH$3,0,0,'Données projet'!$E$11+1,1))-AVERAGE(OFFSET($H$3,0,0,'Données projet'!$E$11+1,1))</f>
        <v>364.96458059055169</v>
      </c>
      <c r="BJ40" s="62">
        <f t="shared" si="38"/>
        <v>246.27159120786257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projet'!$B$11,Paramètres!$A$1:$I$88,7,0))</f>
        <v>0</v>
      </c>
      <c r="BN40" s="17">
        <f>IF(ISNA(VLOOKUP(A40,'Données projet'!$A$87:$I$107,6,0)),0%,VLOOKUP(A40,'Données projet'!$A$87:$I$107,6,0)*VLOOKUP('Données projet'!$B$11,Paramètres!$A$1:$I$88,7,0))</f>
        <v>0</v>
      </c>
      <c r="BO40" s="17">
        <f>IF(ISNA(VLOOKUP(A40,'Données projet'!$A$87:$I$107,7,0)),0%,VLOOKUP(A40,'Données projet'!$A$87:$I$107,7,0))</f>
        <v>0</v>
      </c>
      <c r="BP40" s="23">
        <f>EXP(-LN(2)/35)*BP39+(1-EXP(-LN(2)/35))/(LN(2)/35)*BL40*BM40*VLOOKUP('Données projet'!$B$11,Paramètres!$A$1:$I$88,3,0)*0.475*44/12</f>
        <v>0</v>
      </c>
      <c r="BQ40" s="23">
        <f>EXP(-LN(2)/25)*BQ39+(1-EXP(-LN(2)/25))/(LN(2)/25)*Calculateur!BL40*Calculateur!BN40*VLOOKUP('Données projet'!$B$11,Paramètres!$A$1:$I$88,3,0)*0.475*44/12</f>
        <v>0</v>
      </c>
      <c r="BR40" s="23">
        <f>EXP(-LN(2)/2)*BR39+(1-EXP(-LN(2)/2))/(LN(2)/2)*BL40*BO40*VLOOKUP('Données projet'!$B$11,Paramètres!$A$1:$I$88,3,0)*0.475*44/12</f>
        <v>0</v>
      </c>
      <c r="BS40" s="24">
        <f t="shared" si="9"/>
        <v>0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65.420665415382246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4.1666667007873768</v>
      </c>
      <c r="BY40" s="13">
        <f>IF('Données projet'!$A$114&gt;35,BY39+BX40-CG39,IF(A40&lt;'Données projet'!$A$114,$BV$205^A40,IF(A40='Données projet'!$A$114,'Données projet'!$B$114,BY39+BX40-CG39)))</f>
        <v>154.16666792913287</v>
      </c>
      <c r="BZ40" s="14">
        <f>BY40*VLOOKUP('Données projet'!$B$12,Paramètres!$A$1:$I$88,3,0)*VLOOKUP('Données projet'!$B$12,Paramètres!$A$1:$I$88,5,0)</f>
        <v>156.32500128014073</v>
      </c>
      <c r="CA40" s="14">
        <f t="shared" si="39"/>
        <v>40.012491533483235</v>
      </c>
      <c r="CB40" s="22">
        <f t="shared" si="10"/>
        <v>341.95446665039503</v>
      </c>
      <c r="CC40" s="62">
        <f t="shared" si="11"/>
        <v>618.49690650679668</v>
      </c>
      <c r="CD40" s="62">
        <f ca="1">AVERAGE(OFFSET($CC$3,0,0,'Données projet'!$E$12+1,1))-AVERAGE(OFFSET($H$3,0,0,'Données projet'!$E$12+1,1))</f>
        <v>310.53598044763282</v>
      </c>
      <c r="CE40" s="62">
        <f t="shared" si="40"/>
        <v>322.01096634040596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projet'!$B$12,Paramètres!$A$1:$I$88,7,0))</f>
        <v>0</v>
      </c>
      <c r="CI40" s="17">
        <f>IF(ISNA(VLOOKUP(A40,'Données projet'!$A$113:$I$133,6,0)),0%,VLOOKUP(A40,'Données projet'!$A$113:$I$133,6,0)*VLOOKUP('Données projet'!$B$12,Paramètres!$A$1:$I$88,7,0))</f>
        <v>0</v>
      </c>
      <c r="CJ40" s="17">
        <f>IF(ISNA(VLOOKUP(A40,'Données projet'!$A$113:$I$133,7,0)),0%,VLOOKUP(A40,'Données projet'!$A$113:$I$133,7,0))</f>
        <v>0</v>
      </c>
      <c r="CK40" s="23">
        <f>EXP(-LN(2)/35)*CK39+(1-EXP(-LN(2)/35))/(LN(2)/35)*CG40*CH40*VLOOKUP('Données projet'!$B$12,Paramètres!$A$1:$I$88,3,0)*0.475*44/12</f>
        <v>0</v>
      </c>
      <c r="CL40" s="23">
        <f>EXP(-LN(2)/25)*CL39+(1-EXP(-LN(2)/25))/(LN(2)/25)*Calculateur!CG40*Calculateur!CI40*VLOOKUP('Données projet'!$B$12,Paramètres!$A$1:$I$88,3,0)*0.475*44/12</f>
        <v>0</v>
      </c>
      <c r="CM40" s="23">
        <f>EXP(-LN(2)/2)*CM39+(1-EXP(-LN(2)/2))/(LN(2)/2)*CG40*CJ40*VLOOKUP('Données projet'!$B$12,Paramètres!$A$1:$I$88,3,0)*0.475*44/12</f>
        <v>0</v>
      </c>
      <c r="CN40" s="24">
        <f t="shared" si="12"/>
        <v>0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65.420665415382246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projet'!$B$13,Paramètres!$A$1:$I$88,3,0)*VLOOKUP('Données projet'!$B$13,Paramètres!$A$1:$I$88,5,0)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projet'!$B$13,Paramètres!$A$1:$I$88,7,0))</f>
        <v>0</v>
      </c>
      <c r="DD40" s="17">
        <f>IF(ISNA(VLOOKUP(A40,'Données projet'!$A$139:$I$159,6,0)),0%,VLOOKUP(A40,'Données projet'!$A$139:$I$159,6,0)*VLOOKUP('Données projet'!$B$13,Paramètres!$A$1:$I$88,7,0))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projet'!$B$13,Paramètres!$A$1:$I$88,3,0)*0.475*44/12</f>
        <v>#N/A</v>
      </c>
      <c r="DG40" s="23" t="e">
        <f>EXP(-LN(2)/25)*DG39+(1-EXP(-LN(2)/25))/(LN(2)/25)*Calculateur!DB40*Calculateur!DD40*VLOOKUP('Données projet'!$B$13,Paramètres!$A$1:$I$88,3,0)*0.475*44/12</f>
        <v>#N/A</v>
      </c>
      <c r="DH40" s="23" t="e">
        <f>EXP(-LN(2)/2)*DH39+(1-EXP(-LN(2)/2))/(LN(2)/2)*DB40*DE40*VLOOKUP('Données projet'!$B$13,Paramètres!$A$1:$I$88,3,0)*0.475*44/12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65.420665415382246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projet'!$B$14,Paramètres!$A$1:$I$88,3,0)*VLOOKUP('Données projet'!$B$14,Paramètres!$A$1:$I$88,5,0)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projet'!$B$14,Paramètres!$A$1:$I$88,7,0))</f>
        <v>0</v>
      </c>
      <c r="DY40" s="17">
        <f>IF(ISNA(VLOOKUP(A40,'Données projet'!$A$165:$I$185,6,0)),0%,VLOOKUP(A40,'Données projet'!$A$165:$I$185,6,0)*VLOOKUP('Données projet'!$B$14,Paramètres!$A$1:$I$88,7,0))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projet'!$B$14,Paramètres!$A$1:$I$88,3,0)*0.475*44/12</f>
        <v>#N/A</v>
      </c>
      <c r="EB40" s="23" t="e">
        <f>EXP(-LN(2)/25)*EB39+(1-EXP(-LN(2)/25))/(LN(2)/25)*Calculateur!DW40*Calculateur!DY40*VLOOKUP('Données projet'!$B$14,Paramètres!$A$1:$I$88,3,0)*0.475*44/12</f>
        <v>#N/A</v>
      </c>
      <c r="EC40" s="23" t="e">
        <f>EXP(-LN(2)/2)*EC39+(1-EXP(-LN(2)/2))/(LN(2)/2)*DW40*DZ40*VLOOKUP('Données projet'!$B$14,Paramètres!$A$1:$I$88,3,0)*0.475*44/12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65.420665415382246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projet'!$B$15,Paramètres!$A$1:$I$88,3,0)*VLOOKUP('Données projet'!$B$15,Paramètres!$A$1:$I$88,5,0)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projet'!$B$15,Paramètres!$A$1:$I$88,7,0))</f>
        <v>0</v>
      </c>
      <c r="ET40" s="17">
        <f>IF(ISNA(VLOOKUP(A40,'Données projet'!$A$191:$I$211,6,0)),0%,VLOOKUP(A40,'Données projet'!$A$191:$I$211,6,0)*VLOOKUP('Données projet'!$B$15,Paramètres!$A$1:$I$88,7,0))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projet'!$B$15,Paramètres!$A$1:$I$88,3,0)*0.475*44/12</f>
        <v>#N/A</v>
      </c>
      <c r="EW40" s="23" t="e">
        <f>EXP(-LN(2)/25)*EW39+(1-EXP(-LN(2)/25))/(LN(2)/25)*Calculateur!ER40*Calculateur!ET40*VLOOKUP('Données projet'!$B$15,Paramètres!$A$1:$I$88,3,0)*0.475*44/12</f>
        <v>#N/A</v>
      </c>
      <c r="EX40" s="23" t="e">
        <f>EXP(-LN(2)/2)*EX39+(1-EXP(-LN(2)/2))/(LN(2)/2)*ER40*EU40*VLOOKUP('Données projet'!$B$15,Paramètres!$A$1:$I$88,3,0)*0.475*44/12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65.420665415382246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projet'!$B$16,Paramètres!$A$1:$I$88,3,0)*VLOOKUP('Données projet'!$B$16,Paramètres!$A$1:$I$88,5,0)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projet'!$B$16,Paramètres!$A$1:$I$88,7,0))</f>
        <v>0</v>
      </c>
      <c r="FO40" s="17">
        <f>IF(ISNA(VLOOKUP(A40,'Données projet'!$A$217:$I$237,6,0)),0%,VLOOKUP(A40,'Données projet'!$A$217:$I$237,6,0)*VLOOKUP('Données projet'!$B$16,Paramètres!$A$1:$I$88,7,0))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projet'!$B$16,Paramètres!$A$1:$I$88,3,0)*0.475*44/12</f>
        <v>#N/A</v>
      </c>
      <c r="FR40" s="23" t="e">
        <f>EXP(-LN(2)/25)*FR39+(1-EXP(-LN(2)/25))/(LN(2)/25)*Calculateur!FM40*Calculateur!FO40*VLOOKUP('Données projet'!$B$16,Paramètres!$A$1:$I$88,3,0)*0.475*44/12</f>
        <v>#N/A</v>
      </c>
      <c r="FS40" s="23" t="e">
        <f>EXP(-LN(2)/2)*FS39+(1-EXP(-LN(2)/2))/(LN(2)/2)*FM40*FP40*VLOOKUP('Données projet'!$B$16,Paramètres!$A$1:$I$88,3,0)*0.475*44/12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65.420665415382246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projet'!$B$17,Paramètres!$A$1:$I$88,3,0)*VLOOKUP('Données projet'!$B$17,Paramètres!$A$1:$I$88,5,0)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projet'!$B$17,Paramètres!$A$1:$I$88,7,0))</f>
        <v>0</v>
      </c>
      <c r="GJ40" s="17">
        <f>IF(ISNA(VLOOKUP(A40,'Données projet'!$A$243:$I$263,6,0)),0%,VLOOKUP(A40,'Données projet'!$A$243:$I$263,6,0)*VLOOKUP('Données projet'!$B$17,Paramètres!$A$1:$I$88,7,0))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projet'!$B$17,Paramètres!$A$1:$I$88,3,0)*0.475*44/12</f>
        <v>#N/A</v>
      </c>
      <c r="GM40" s="23" t="e">
        <f>EXP(-LN(2)/25)*GM39+(1-EXP(-LN(2)/25))/(LN(2)/25)*Calculateur!GH40*Calculateur!GJ40*VLOOKUP('Données projet'!$B$17,Paramètres!$A$1:$I$88,3,0)*0.475*44/12</f>
        <v>#N/A</v>
      </c>
      <c r="GN40" s="23" t="e">
        <f>EXP(-LN(2)/2)*GN39+(1-EXP(-LN(2)/2))/(LN(2)/2)*GH40*GK40*VLOOKUP('Données projet'!$B$17,Paramètres!$A$1:$I$88,3,0)*0.475*44/12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65.420665415382246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projet'!$B$18,Paramètres!$A$1:$I$88,3,0)*VLOOKUP('Données projet'!$B$18,Paramètres!$A$1:$I$88,5,0)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projet'!$B$18,Paramètres!$A$1:$I$88,7,0))</f>
        <v>0</v>
      </c>
      <c r="HE40" s="17">
        <f>IF(ISNA(VLOOKUP(A40,'Données projet'!$A$269:$I$289,6,0)),0%,VLOOKUP(A40,'Données projet'!$A$269:$I$289,6,0)*VLOOKUP('Données projet'!$B$18,Paramètres!$A$1:$I$88,7,0))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projet'!$B$18,Paramètres!$A$1:$I$88,3,0)*0.475*44/12</f>
        <v>#N/A</v>
      </c>
      <c r="HH40" s="23" t="e">
        <f>EXP(-LN(2)/25)*HH39+(1-EXP(-LN(2)/25))/(LN(2)/25)*Calculateur!HC40*Calculateur!HE40*VLOOKUP('Données projet'!$B$18,Paramètres!$A$1:$I$88,3,0)*0.475*44/12</f>
        <v>#N/A</v>
      </c>
      <c r="HI40" s="23" t="e">
        <f>EXP(-LN(2)/2)*HI39+(1-EXP(-LN(2)/2))/(LN(2)/2)*HC40*HF40*VLOOKUP('Données projet'!$B$18,Paramètres!$A$1:$I$88,3,0)*0.475*44/12</f>
        <v>#N/A</v>
      </c>
      <c r="HJ40" s="24" t="e">
        <f t="shared" si="30"/>
        <v>#N/A</v>
      </c>
    </row>
    <row r="41" spans="1:218" s="5" customFormat="1" x14ac:dyDescent="0.35">
      <c r="A41" s="11">
        <f t="shared" si="31"/>
        <v>38</v>
      </c>
      <c r="B41" s="77">
        <f>'Scénario référence'!$B$16*5+'Scénario référence'!$B$17*0+'Scénario référence'!$B$18*5</f>
        <v>1.75</v>
      </c>
      <c r="C41" s="20">
        <f>Calculateur!C40+'Scénario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41" s="12">
        <f t="shared" si="3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6.416666666666667</v>
      </c>
      <c r="H41" s="70">
        <f t="shared" si="1"/>
        <v>231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65.500106632566968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19.714285714285715</v>
      </c>
      <c r="N41" s="14">
        <f>IF('Données projet'!$A$36&gt;35,N40+M41-V40,IF(A41&lt;'Données projet'!$A$36,$K$205^A41,IF(A41='Données projet'!$A$36,'Données projet'!$B$36,N40+M41-V40)))</f>
        <v>371.28571428571439</v>
      </c>
      <c r="O41" s="14">
        <f>N41*VLOOKUP('Données projet'!$B$9,Paramètres!$A$1:$I$88,3,0)*VLOOKUP('Données projet'!$B$9,Paramètres!$A$1:$I$88,5,0)</f>
        <v>207.54871428571434</v>
      </c>
      <c r="P41" s="14">
        <f t="shared" si="33"/>
        <v>51.3995525965097</v>
      </c>
      <c r="Q41" s="22">
        <f t="shared" si="53"/>
        <v>451.00156481987352</v>
      </c>
      <c r="R41" s="62">
        <f t="shared" si="0"/>
        <v>727.83528913928581</v>
      </c>
      <c r="S41" s="62">
        <f ca="1">AVERAGE(OFFSET($R$3,0,0,'Données projet'!$E$9+1,1))-AVERAGE(OFFSET($H$3,0,0,'Données projet'!$E$9+1,1))</f>
        <v>341.05096821796769</v>
      </c>
      <c r="T41" s="62">
        <f t="shared" si="34"/>
        <v>400.72519822215168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projet'!$B$9,Paramètres!$A$1:$I$88,7,0))</f>
        <v>0</v>
      </c>
      <c r="X41" s="17">
        <f>IF(ISNA(VLOOKUP(A41,'Données projet'!$A$35:$I$55,6,0)),0%,VLOOKUP(A41,'Données projet'!$A$35:$I$55,6,0)*VLOOKUP('Données projet'!$B$9,Paramètres!$A$1:$I$88,7,0))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projet'!$B$9,Paramètres!$A$1:$I$88,3,0)*0.475*44/12</f>
        <v>10.443269088991109</v>
      </c>
      <c r="AA41" s="23">
        <f>EXP(-LN(2)/25)*AA40+(1-EXP(-LN(2)/25))/(LN(2)/25)*Calculateur!V41*Calculateur!X41*VLOOKUP('Données projet'!$B$9,Paramètres!$A$1:$I$88,3,0)*0.475*44/12</f>
        <v>26.959480332317895</v>
      </c>
      <c r="AB41" s="23">
        <f>EXP(-LN(2)/2)*AB40+(1-EXP(-LN(2)/2))/(LN(2)/2)*V41*Y41*VLOOKUP('Données projet'!$B$9,Paramètres!$A$1:$I$88,3,0)*0.475*44/12</f>
        <v>0</v>
      </c>
      <c r="AC41" s="24">
        <f t="shared" si="3"/>
        <v>37.402749421309004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65.500106632566968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9.8666666666666654</v>
      </c>
      <c r="AI41" s="14">
        <f>IF('Données projet'!$A$62&gt;35,AI40+AH41-AQ40,IF(A41&lt;'Données projet'!$A$62,$AF$205^A41,IF(A41='Données projet'!$A$62,'Données projet'!$B$62,AI40+AH41-AQ40)))</f>
        <v>194.76666666666671</v>
      </c>
      <c r="AJ41" s="14">
        <f>AI41*VLOOKUP('Données projet'!$B$10,Paramètres!$A$1:$I$88,3,0)*VLOOKUP('Données projet'!$B$10,Paramètres!$A$1:$I$88,5,0)</f>
        <v>116.4704666666667</v>
      </c>
      <c r="AK41" s="14">
        <f t="shared" si="35"/>
        <v>30.850368753956339</v>
      </c>
      <c r="AL41" s="22">
        <f t="shared" si="4"/>
        <v>256.58378835758515</v>
      </c>
      <c r="AM41" s="62">
        <f t="shared" si="5"/>
        <v>533.41751267699738</v>
      </c>
      <c r="AN41" s="62">
        <f ca="1">AVERAGE(OFFSET($AM$3,0,0,'Données projet'!$E$10+1,1))-AVERAGE(OFFSET($H$3,0,0,'Données projet'!$E$10+1,1))</f>
        <v>231.96474801342879</v>
      </c>
      <c r="AO41" s="62">
        <f t="shared" si="36"/>
        <v>237.75726086383668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projet'!$B$10,Paramètres!$A$1:$I$88,7,0))</f>
        <v>0</v>
      </c>
      <c r="AS41" s="17">
        <f>IF(ISNA(VLOOKUP(A41,'Données projet'!$A$61:$I$81,6,0)),0%,VLOOKUP(A41,'Données projet'!$A$61:$I$81,6,0)*VLOOKUP('Données projet'!$B$10,Paramètres!$A$1:$I$88,7,0))</f>
        <v>0</v>
      </c>
      <c r="AT41" s="17">
        <f>IF(ISNA(VLOOKUP(A41,'Données projet'!$A$61:$I$81,7,0)),0%,VLOOKUP(A41,'Données projet'!$A$61:$I$81,7,0))</f>
        <v>0</v>
      </c>
      <c r="AU41" s="23">
        <f>EXP(-LN(2)/35)*AU40+(1-EXP(-LN(2)/35))/(LN(2)/35)*AQ41*AR41*VLOOKUP('Données projet'!$B$10,Paramètres!$A$1:$I$88,3,0)*0.475*44/12</f>
        <v>5.3524195340082601</v>
      </c>
      <c r="AV41" s="23">
        <f>EXP(-LN(2)/25)*AV40+(1-EXP(-LN(2)/25))/(LN(2)/25)*Calculateur!AQ41*Calculateur!AS41*VLOOKUP('Données projet'!$B$10,Paramètres!$A$1:$I$88,3,0)*0.475*44/12</f>
        <v>18.791612688343506</v>
      </c>
      <c r="AW41" s="23">
        <f>EXP(-LN(2)/2)*AW40+(1-EXP(-LN(2)/2))/(LN(2)/2)*AQ41*AT41*VLOOKUP('Données projet'!$B$10,Paramètres!$A$1:$I$88,3,0)*0.475*44/12</f>
        <v>0</v>
      </c>
      <c r="AX41" s="23">
        <f t="shared" si="6"/>
        <v>24.144032222351765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65.500106632566968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6.5217391304347823</v>
      </c>
      <c r="BD41" s="13">
        <f>IF('Données projet'!$A$88&gt;35,BD40+BC41-BL40,IF(A41&lt;'Données projet'!$A$88,$BA$205^A41,IF(A41='Données projet'!$A$88,'Données projet'!$B$88,BD40+BC41-BL40)))</f>
        <v>247.82608695652172</v>
      </c>
      <c r="BE41" s="14">
        <f>BD41*VLOOKUP('Données projet'!$B$11,Paramètres!$A$1:$I$88,3,0)*VLOOKUP('Données projet'!$B$11,Paramètres!$A$1:$I$88,5,0)</f>
        <v>115.98260869565216</v>
      </c>
      <c r="BF41" s="14">
        <f t="shared" si="37"/>
        <v>30.736159924148762</v>
      </c>
      <c r="BG41" s="22">
        <f t="shared" si="7"/>
        <v>255.53518867948662</v>
      </c>
      <c r="BH41" s="62">
        <f t="shared" si="8"/>
        <v>532.36891299889885</v>
      </c>
      <c r="BI41" s="62">
        <f ca="1">AVERAGE(OFFSET($BH$3,0,0,'Données projet'!$E$11+1,1))-AVERAGE(OFFSET($H$3,0,0,'Données projet'!$E$11+1,1))</f>
        <v>364.96458059055169</v>
      </c>
      <c r="BJ41" s="62">
        <f t="shared" si="38"/>
        <v>246.27159120786257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projet'!$B$11,Paramètres!$A$1:$I$88,7,0))</f>
        <v>0</v>
      </c>
      <c r="BN41" s="17">
        <f>IF(ISNA(VLOOKUP(A41,'Données projet'!$A$87:$I$107,6,0)),0%,VLOOKUP(A41,'Données projet'!$A$87:$I$107,6,0)*VLOOKUP('Données projet'!$B$11,Paramètres!$A$1:$I$88,7,0))</f>
        <v>0</v>
      </c>
      <c r="BO41" s="17">
        <f>IF(ISNA(VLOOKUP(A41,'Données projet'!$A$87:$I$107,7,0)),0%,VLOOKUP(A41,'Données projet'!$A$87:$I$107,7,0))</f>
        <v>0</v>
      </c>
      <c r="BP41" s="23">
        <f>EXP(-LN(2)/35)*BP40+(1-EXP(-LN(2)/35))/(LN(2)/35)*BL41*BM41*VLOOKUP('Données projet'!$B$11,Paramètres!$A$1:$I$88,3,0)*0.475*44/12</f>
        <v>0</v>
      </c>
      <c r="BQ41" s="23">
        <f>EXP(-LN(2)/25)*BQ40+(1-EXP(-LN(2)/25))/(LN(2)/25)*Calculateur!BL41*Calculateur!BN41*VLOOKUP('Données projet'!$B$11,Paramètres!$A$1:$I$88,3,0)*0.475*44/12</f>
        <v>0</v>
      </c>
      <c r="BR41" s="23">
        <f>EXP(-LN(2)/2)*BR40+(1-EXP(-LN(2)/2))/(LN(2)/2)*BL41*BO41*VLOOKUP('Données projet'!$B$11,Paramètres!$A$1:$I$88,3,0)*0.475*44/12</f>
        <v>0</v>
      </c>
      <c r="BS41" s="24">
        <f t="shared" si="9"/>
        <v>0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65.500106632566968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4.1666667007873768</v>
      </c>
      <c r="BY41" s="13">
        <f>IF('Données projet'!$A$114&gt;35,BY40+BX41-CG40,IF(A41&lt;'Données projet'!$A$114,$BV$205^A41,IF(A41='Données projet'!$A$114,'Données projet'!$B$114,BY40+BX41-CG40)))</f>
        <v>158.33333462992024</v>
      </c>
      <c r="BZ41" s="14">
        <f>BY41*VLOOKUP('Données projet'!$B$12,Paramètres!$A$1:$I$88,3,0)*VLOOKUP('Données projet'!$B$12,Paramètres!$A$1:$I$88,5,0)</f>
        <v>160.55000131473915</v>
      </c>
      <c r="CA41" s="14">
        <f t="shared" si="39"/>
        <v>40.966544951483961</v>
      </c>
      <c r="CB41" s="22">
        <f t="shared" si="10"/>
        <v>350.97465141367189</v>
      </c>
      <c r="CC41" s="62">
        <f t="shared" si="11"/>
        <v>627.80837573308418</v>
      </c>
      <c r="CD41" s="62">
        <f ca="1">AVERAGE(OFFSET($CC$3,0,0,'Données projet'!$E$12+1,1))-AVERAGE(OFFSET($H$3,0,0,'Données projet'!$E$12+1,1))</f>
        <v>310.53598044763282</v>
      </c>
      <c r="CE41" s="62">
        <f t="shared" si="40"/>
        <v>322.01096634040596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projet'!$B$12,Paramètres!$A$1:$I$88,7,0))</f>
        <v>0</v>
      </c>
      <c r="CI41" s="17">
        <f>IF(ISNA(VLOOKUP(A41,'Données projet'!$A$113:$I$133,6,0)),0%,VLOOKUP(A41,'Données projet'!$A$113:$I$133,6,0)*VLOOKUP('Données projet'!$B$12,Paramètres!$A$1:$I$88,7,0))</f>
        <v>0</v>
      </c>
      <c r="CJ41" s="17">
        <f>IF(ISNA(VLOOKUP(A41,'Données projet'!$A$113:$I$133,7,0)),0%,VLOOKUP(A41,'Données projet'!$A$113:$I$133,7,0))</f>
        <v>0</v>
      </c>
      <c r="CK41" s="23">
        <f>EXP(-LN(2)/35)*CK40+(1-EXP(-LN(2)/35))/(LN(2)/35)*CG41*CH41*VLOOKUP('Données projet'!$B$12,Paramètres!$A$1:$I$88,3,0)*0.475*44/12</f>
        <v>0</v>
      </c>
      <c r="CL41" s="23">
        <f>EXP(-LN(2)/25)*CL40+(1-EXP(-LN(2)/25))/(LN(2)/25)*Calculateur!CG41*Calculateur!CI41*VLOOKUP('Données projet'!$B$12,Paramètres!$A$1:$I$88,3,0)*0.475*44/12</f>
        <v>0</v>
      </c>
      <c r="CM41" s="23">
        <f>EXP(-LN(2)/2)*CM40+(1-EXP(-LN(2)/2))/(LN(2)/2)*CG41*CJ41*VLOOKUP('Données projet'!$B$12,Paramètres!$A$1:$I$88,3,0)*0.475*44/12</f>
        <v>0</v>
      </c>
      <c r="CN41" s="24">
        <f t="shared" si="12"/>
        <v>0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65.500106632566968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projet'!$B$13,Paramètres!$A$1:$I$88,3,0)*VLOOKUP('Données projet'!$B$13,Paramètres!$A$1:$I$88,5,0)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projet'!$B$13,Paramètres!$A$1:$I$88,7,0))</f>
        <v>0</v>
      </c>
      <c r="DD41" s="17">
        <f>IF(ISNA(VLOOKUP(A41,'Données projet'!$A$139:$I$159,6,0)),0%,VLOOKUP(A41,'Données projet'!$A$139:$I$159,6,0)*VLOOKUP('Données projet'!$B$13,Paramètres!$A$1:$I$88,7,0))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projet'!$B$13,Paramètres!$A$1:$I$88,3,0)*0.475*44/12</f>
        <v>#N/A</v>
      </c>
      <c r="DG41" s="23" t="e">
        <f>EXP(-LN(2)/25)*DG40+(1-EXP(-LN(2)/25))/(LN(2)/25)*Calculateur!DB41*Calculateur!DD41*VLOOKUP('Données projet'!$B$13,Paramètres!$A$1:$I$88,3,0)*0.475*44/12</f>
        <v>#N/A</v>
      </c>
      <c r="DH41" s="23" t="e">
        <f>EXP(-LN(2)/2)*DH40+(1-EXP(-LN(2)/2))/(LN(2)/2)*DB41*DE41*VLOOKUP('Données projet'!$B$13,Paramètres!$A$1:$I$88,3,0)*0.475*44/12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65.500106632566968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projet'!$B$14,Paramètres!$A$1:$I$88,3,0)*VLOOKUP('Données projet'!$B$14,Paramètres!$A$1:$I$88,5,0)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projet'!$B$14,Paramètres!$A$1:$I$88,7,0))</f>
        <v>0</v>
      </c>
      <c r="DY41" s="17">
        <f>IF(ISNA(VLOOKUP(A41,'Données projet'!$A$165:$I$185,6,0)),0%,VLOOKUP(A41,'Données projet'!$A$165:$I$185,6,0)*VLOOKUP('Données projet'!$B$14,Paramètres!$A$1:$I$88,7,0))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projet'!$B$14,Paramètres!$A$1:$I$88,3,0)*0.475*44/12</f>
        <v>#N/A</v>
      </c>
      <c r="EB41" s="23" t="e">
        <f>EXP(-LN(2)/25)*EB40+(1-EXP(-LN(2)/25))/(LN(2)/25)*Calculateur!DW41*Calculateur!DY41*VLOOKUP('Données projet'!$B$14,Paramètres!$A$1:$I$88,3,0)*0.475*44/12</f>
        <v>#N/A</v>
      </c>
      <c r="EC41" s="23" t="e">
        <f>EXP(-LN(2)/2)*EC40+(1-EXP(-LN(2)/2))/(LN(2)/2)*DW41*DZ41*VLOOKUP('Données projet'!$B$14,Paramètres!$A$1:$I$88,3,0)*0.475*44/12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65.500106632566968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projet'!$B$15,Paramètres!$A$1:$I$88,3,0)*VLOOKUP('Données projet'!$B$15,Paramètres!$A$1:$I$88,5,0)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projet'!$B$15,Paramètres!$A$1:$I$88,7,0))</f>
        <v>0</v>
      </c>
      <c r="ET41" s="17">
        <f>IF(ISNA(VLOOKUP(A41,'Données projet'!$A$191:$I$211,6,0)),0%,VLOOKUP(A41,'Données projet'!$A$191:$I$211,6,0)*VLOOKUP('Données projet'!$B$15,Paramètres!$A$1:$I$88,7,0))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projet'!$B$15,Paramètres!$A$1:$I$88,3,0)*0.475*44/12</f>
        <v>#N/A</v>
      </c>
      <c r="EW41" s="23" t="e">
        <f>EXP(-LN(2)/25)*EW40+(1-EXP(-LN(2)/25))/(LN(2)/25)*Calculateur!ER41*Calculateur!ET41*VLOOKUP('Données projet'!$B$15,Paramètres!$A$1:$I$88,3,0)*0.475*44/12</f>
        <v>#N/A</v>
      </c>
      <c r="EX41" s="23" t="e">
        <f>EXP(-LN(2)/2)*EX40+(1-EXP(-LN(2)/2))/(LN(2)/2)*ER41*EU41*VLOOKUP('Données projet'!$B$15,Paramètres!$A$1:$I$88,3,0)*0.475*44/12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65.500106632566968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projet'!$B$16,Paramètres!$A$1:$I$88,3,0)*VLOOKUP('Données projet'!$B$16,Paramètres!$A$1:$I$88,5,0)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projet'!$B$16,Paramètres!$A$1:$I$88,7,0))</f>
        <v>0</v>
      </c>
      <c r="FO41" s="17">
        <f>IF(ISNA(VLOOKUP(A41,'Données projet'!$A$217:$I$237,6,0)),0%,VLOOKUP(A41,'Données projet'!$A$217:$I$237,6,0)*VLOOKUP('Données projet'!$B$16,Paramètres!$A$1:$I$88,7,0))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projet'!$B$16,Paramètres!$A$1:$I$88,3,0)*0.475*44/12</f>
        <v>#N/A</v>
      </c>
      <c r="FR41" s="23" t="e">
        <f>EXP(-LN(2)/25)*FR40+(1-EXP(-LN(2)/25))/(LN(2)/25)*Calculateur!FM41*Calculateur!FO41*VLOOKUP('Données projet'!$B$16,Paramètres!$A$1:$I$88,3,0)*0.475*44/12</f>
        <v>#N/A</v>
      </c>
      <c r="FS41" s="23" t="e">
        <f>EXP(-LN(2)/2)*FS40+(1-EXP(-LN(2)/2))/(LN(2)/2)*FM41*FP41*VLOOKUP('Données projet'!$B$16,Paramètres!$A$1:$I$88,3,0)*0.475*44/12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65.500106632566968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projet'!$B$17,Paramètres!$A$1:$I$88,3,0)*VLOOKUP('Données projet'!$B$17,Paramètres!$A$1:$I$88,5,0)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projet'!$B$17,Paramètres!$A$1:$I$88,7,0))</f>
        <v>0</v>
      </c>
      <c r="GJ41" s="17">
        <f>IF(ISNA(VLOOKUP(A41,'Données projet'!$A$243:$I$263,6,0)),0%,VLOOKUP(A41,'Données projet'!$A$243:$I$263,6,0)*VLOOKUP('Données projet'!$B$17,Paramètres!$A$1:$I$88,7,0))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projet'!$B$17,Paramètres!$A$1:$I$88,3,0)*0.475*44/12</f>
        <v>#N/A</v>
      </c>
      <c r="GM41" s="23" t="e">
        <f>EXP(-LN(2)/25)*GM40+(1-EXP(-LN(2)/25))/(LN(2)/25)*Calculateur!GH41*Calculateur!GJ41*VLOOKUP('Données projet'!$B$17,Paramètres!$A$1:$I$88,3,0)*0.475*44/12</f>
        <v>#N/A</v>
      </c>
      <c r="GN41" s="23" t="e">
        <f>EXP(-LN(2)/2)*GN40+(1-EXP(-LN(2)/2))/(LN(2)/2)*GH41*GK41*VLOOKUP('Données projet'!$B$17,Paramètres!$A$1:$I$88,3,0)*0.475*44/12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65.500106632566968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projet'!$B$18,Paramètres!$A$1:$I$88,3,0)*VLOOKUP('Données projet'!$B$18,Paramètres!$A$1:$I$88,5,0)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projet'!$B$18,Paramètres!$A$1:$I$88,7,0))</f>
        <v>0</v>
      </c>
      <c r="HE41" s="17">
        <f>IF(ISNA(VLOOKUP(A41,'Données projet'!$A$269:$I$289,6,0)),0%,VLOOKUP(A41,'Données projet'!$A$269:$I$289,6,0)*VLOOKUP('Données projet'!$B$18,Paramètres!$A$1:$I$88,7,0))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projet'!$B$18,Paramètres!$A$1:$I$88,3,0)*0.475*44/12</f>
        <v>#N/A</v>
      </c>
      <c r="HH41" s="23" t="e">
        <f>EXP(-LN(2)/25)*HH40+(1-EXP(-LN(2)/25))/(LN(2)/25)*Calculateur!HC41*Calculateur!HE41*VLOOKUP('Données projet'!$B$18,Paramètres!$A$1:$I$88,3,0)*0.475*44/12</f>
        <v>#N/A</v>
      </c>
      <c r="HI41" s="23" t="e">
        <f>EXP(-LN(2)/2)*HI40+(1-EXP(-LN(2)/2))/(LN(2)/2)*HC41*HF41*VLOOKUP('Données projet'!$B$18,Paramètres!$A$1:$I$88,3,0)*0.475*44/12</f>
        <v>#N/A</v>
      </c>
      <c r="HJ41" s="24" t="e">
        <f t="shared" si="30"/>
        <v>#N/A</v>
      </c>
    </row>
    <row r="42" spans="1:218" s="5" customFormat="1" x14ac:dyDescent="0.35">
      <c r="A42" s="11">
        <f t="shared" si="31"/>
        <v>39</v>
      </c>
      <c r="B42" s="77">
        <f>'Scénario référence'!$B$16*5+'Scénario référence'!$B$17*0+'Scénario référence'!$B$18*5</f>
        <v>1.75</v>
      </c>
      <c r="C42" s="20">
        <f>Calculateur!C41+'Scénario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42" s="12">
        <f t="shared" si="3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6.416666666666667</v>
      </c>
      <c r="H42" s="70">
        <f t="shared" si="1"/>
        <v>231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65.578169722237504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>
        <f>VLOOKUP(A42,'Données projet'!$A$35:$I$55,2,0)</f>
        <v>391</v>
      </c>
      <c r="L42" s="13">
        <f>VLOOKUP(A42,'Données projet'!$A$35:$I$55,9,0)</f>
        <v>19.714285714285715</v>
      </c>
      <c r="M42" s="13">
        <f t="array" ref="M42">INDEX(L:L,MIN(IF(ISNUMBER(L42:L238),ROW(L42:L238),"")))</f>
        <v>19.714285714285715</v>
      </c>
      <c r="N42" s="14">
        <f>IF('Données projet'!$A$36&gt;35,N41+M42-V41,IF(A42&lt;'Données projet'!$A$36,$K$205^A42,IF(A42='Données projet'!$A$36,'Données projet'!$B$36,N41+M42-V41)))</f>
        <v>391.00000000000011</v>
      </c>
      <c r="O42" s="14">
        <f>N42*VLOOKUP('Données projet'!$B$9,Paramètres!$A$1:$I$88,3,0)*VLOOKUP('Données projet'!$B$9,Paramètres!$A$1:$I$88,5,0)</f>
        <v>218.56900000000007</v>
      </c>
      <c r="P42" s="14">
        <f t="shared" si="33"/>
        <v>53.803746913464231</v>
      </c>
      <c r="Q42" s="22">
        <f t="shared" si="53"/>
        <v>474.38253420761703</v>
      </c>
      <c r="R42" s="62">
        <f t="shared" si="0"/>
        <v>751.5024898558213</v>
      </c>
      <c r="S42" s="62">
        <f ca="1">AVERAGE(OFFSET($R$3,0,0,'Données projet'!$E$9+1,1))-AVERAGE(OFFSET($H$3,0,0,'Données projet'!$E$9+1,1))</f>
        <v>341.05096821796769</v>
      </c>
      <c r="T42" s="62">
        <f t="shared" si="34"/>
        <v>400.72519822215168</v>
      </c>
      <c r="U42" s="16">
        <f>IF(ISNA(VLOOKUP(A42,'Données projet'!$A$35:$I$55,3,0)),0,VLOOKUP(A42,'Données projet'!$A$35:$I$55,3,0))</f>
        <v>3</v>
      </c>
      <c r="V42" s="16">
        <f>IF(ISNA(VLOOKUP(A42,'Données projet'!$A$35:$I$55,4,0)),0,VLOOKUP(A42,'Données projet'!$A$35:$I$55,4,0))</f>
        <v>80</v>
      </c>
      <c r="W42" s="17">
        <f>IF(ISNA(VLOOKUP(A42,'Données projet'!$A$35:$I$55,5,0)),0%,VLOOKUP(A42,'Données projet'!$A$35:$I$55,5,0)*VLOOKUP('Données projet'!$B$9,Paramètres!$A$1:$I$88,7,0))</f>
        <v>0.16500000000000001</v>
      </c>
      <c r="X42" s="17">
        <f>IF(ISNA(VLOOKUP(A42,'Données projet'!$A$35:$I$55,6,0)),0%,VLOOKUP(A42,'Données projet'!$A$35:$I$55,6,0)*VLOOKUP('Données projet'!$B$9,Paramètres!$A$1:$I$88,7,0))</f>
        <v>0.27500000000000002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projet'!$B$9,Paramètres!$A$1:$I$88,3,0)*0.475*44/12</f>
        <v>20.026936755718456</v>
      </c>
      <c r="AA42" s="23">
        <f>EXP(-LN(2)/25)*AA41+(1-EXP(-LN(2)/25))/(LN(2)/25)*Calculateur!V42*Calculateur!X42*VLOOKUP('Données projet'!$B$9,Paramètres!$A$1:$I$88,3,0)*0.475*44/12</f>
        <v>42.472126810690582</v>
      </c>
      <c r="AB42" s="23">
        <f>EXP(-LN(2)/2)*AB41+(1-EXP(-LN(2)/2))/(LN(2)/2)*V42*Y42*VLOOKUP('Données projet'!$B$9,Paramètres!$A$1:$I$88,3,0)*0.475*44/12</f>
        <v>0</v>
      </c>
      <c r="AC42" s="24">
        <f t="shared" si="3"/>
        <v>62.499063566409035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65.578169722237504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9.8666666666666654</v>
      </c>
      <c r="AI42" s="14">
        <f>IF('Données projet'!$A$62&gt;35,AI41+AH42-AQ41,IF(A42&lt;'Données projet'!$A$62,$AF$205^A42,IF(A42='Données projet'!$A$62,'Données projet'!$B$62,AI41+AH42-AQ41)))</f>
        <v>204.63333333333338</v>
      </c>
      <c r="AJ42" s="14">
        <f>AI42*VLOOKUP('Données projet'!$B$10,Paramètres!$A$1:$I$88,3,0)*VLOOKUP('Données projet'!$B$10,Paramètres!$A$1:$I$88,5,0)</f>
        <v>122.37073333333338</v>
      </c>
      <c r="AK42" s="14">
        <f t="shared" si="35"/>
        <v>32.227302770742952</v>
      </c>
      <c r="AL42" s="22">
        <f t="shared" si="4"/>
        <v>269.25824621459964</v>
      </c>
      <c r="AM42" s="62">
        <f t="shared" si="5"/>
        <v>546.37820186280385</v>
      </c>
      <c r="AN42" s="62">
        <f ca="1">AVERAGE(OFFSET($AM$3,0,0,'Données projet'!$E$10+1,1))-AVERAGE(OFFSET($H$3,0,0,'Données projet'!$E$10+1,1))</f>
        <v>231.96474801342879</v>
      </c>
      <c r="AO42" s="62">
        <f t="shared" si="36"/>
        <v>237.75726086383668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projet'!$B$10,Paramètres!$A$1:$I$88,7,0))</f>
        <v>0</v>
      </c>
      <c r="AS42" s="17">
        <f>IF(ISNA(VLOOKUP(A42,'Données projet'!$A$61:$I$81,6,0)),0%,VLOOKUP(A42,'Données projet'!$A$61:$I$81,6,0)*VLOOKUP('Données projet'!$B$10,Paramètres!$A$1:$I$88,7,0))</f>
        <v>0</v>
      </c>
      <c r="AT42" s="17">
        <f>IF(ISNA(VLOOKUP(A42,'Données projet'!$A$61:$I$81,7,0)),0%,VLOOKUP(A42,'Données projet'!$A$61:$I$81,7,0))</f>
        <v>0</v>
      </c>
      <c r="AU42" s="23">
        <f>EXP(-LN(2)/35)*AU41+(1-EXP(-LN(2)/35))/(LN(2)/35)*AQ42*AR42*VLOOKUP('Données projet'!$B$10,Paramètres!$A$1:$I$88,3,0)*0.475*44/12</f>
        <v>5.2474618515999163</v>
      </c>
      <c r="AV42" s="23">
        <f>EXP(-LN(2)/25)*AV41+(1-EXP(-LN(2)/25))/(LN(2)/25)*Calculateur!AQ42*Calculateur!AS42*VLOOKUP('Données projet'!$B$10,Paramètres!$A$1:$I$88,3,0)*0.475*44/12</f>
        <v>18.27775505117279</v>
      </c>
      <c r="AW42" s="23">
        <f>EXP(-LN(2)/2)*AW41+(1-EXP(-LN(2)/2))/(LN(2)/2)*AQ42*AT42*VLOOKUP('Données projet'!$B$10,Paramètres!$A$1:$I$88,3,0)*0.475*44/12</f>
        <v>0</v>
      </c>
      <c r="AX42" s="23">
        <f t="shared" si="6"/>
        <v>23.525216902772705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65.578169722237504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6.5217391304347823</v>
      </c>
      <c r="BD42" s="13">
        <f>IF('Données projet'!$A$88&gt;35,BD41+BC42-BL41,IF(A42&lt;'Données projet'!$A$88,$BA$205^A42,IF(A42='Données projet'!$A$88,'Données projet'!$B$88,BD41+BC42-BL41)))</f>
        <v>254.3478260869565</v>
      </c>
      <c r="BE42" s="14">
        <f>BD42*VLOOKUP('Données projet'!$B$11,Paramètres!$A$1:$I$88,3,0)*VLOOKUP('Données projet'!$B$11,Paramètres!$A$1:$I$88,5,0)</f>
        <v>119.03478260869565</v>
      </c>
      <c r="BF42" s="14">
        <f t="shared" si="37"/>
        <v>31.44977248543351</v>
      </c>
      <c r="BG42" s="22">
        <f t="shared" si="7"/>
        <v>262.09393345560824</v>
      </c>
      <c r="BH42" s="62">
        <f t="shared" si="8"/>
        <v>539.21388910381245</v>
      </c>
      <c r="BI42" s="62">
        <f ca="1">AVERAGE(OFFSET($BH$3,0,0,'Données projet'!$E$11+1,1))-AVERAGE(OFFSET($H$3,0,0,'Données projet'!$E$11+1,1))</f>
        <v>364.96458059055169</v>
      </c>
      <c r="BJ42" s="62">
        <f t="shared" si="38"/>
        <v>246.27159120786257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projet'!$B$11,Paramètres!$A$1:$I$88,7,0))</f>
        <v>0</v>
      </c>
      <c r="BN42" s="17">
        <f>IF(ISNA(VLOOKUP(A42,'Données projet'!$A$87:$I$107,6,0)),0%,VLOOKUP(A42,'Données projet'!$A$87:$I$107,6,0)*VLOOKUP('Données projet'!$B$11,Paramètres!$A$1:$I$88,7,0))</f>
        <v>0</v>
      </c>
      <c r="BO42" s="17">
        <f>IF(ISNA(VLOOKUP(A42,'Données projet'!$A$87:$I$107,7,0)),0%,VLOOKUP(A42,'Données projet'!$A$87:$I$107,7,0))</f>
        <v>0</v>
      </c>
      <c r="BP42" s="23">
        <f>EXP(-LN(2)/35)*BP41+(1-EXP(-LN(2)/35))/(LN(2)/35)*BL42*BM42*VLOOKUP('Données projet'!$B$11,Paramètres!$A$1:$I$88,3,0)*0.475*44/12</f>
        <v>0</v>
      </c>
      <c r="BQ42" s="23">
        <f>EXP(-LN(2)/25)*BQ41+(1-EXP(-LN(2)/25))/(LN(2)/25)*Calculateur!BL42*Calculateur!BN42*VLOOKUP('Données projet'!$B$11,Paramètres!$A$1:$I$88,3,0)*0.475*44/12</f>
        <v>0</v>
      </c>
      <c r="BR42" s="23">
        <f>EXP(-LN(2)/2)*BR41+(1-EXP(-LN(2)/2))/(LN(2)/2)*BL42*BO42*VLOOKUP('Données projet'!$B$11,Paramètres!$A$1:$I$88,3,0)*0.475*44/12</f>
        <v>0</v>
      </c>
      <c r="BS42" s="24">
        <f t="shared" si="9"/>
        <v>0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65.578169722237504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4.1666667007873768</v>
      </c>
      <c r="BY42" s="13">
        <f>IF('Données projet'!$A$114&gt;35,BY41+BX42-CG41,IF(A42&lt;'Données projet'!$A$114,$BV$205^A42,IF(A42='Données projet'!$A$114,'Données projet'!$B$114,BY41+BX42-CG41)))</f>
        <v>162.50000133070762</v>
      </c>
      <c r="BZ42" s="14">
        <f>BY42*VLOOKUP('Données projet'!$B$12,Paramètres!$A$1:$I$88,3,0)*VLOOKUP('Données projet'!$B$12,Paramètres!$A$1:$I$88,5,0)</f>
        <v>164.77500134933754</v>
      </c>
      <c r="CA42" s="14">
        <f t="shared" si="39"/>
        <v>41.917680068621557</v>
      </c>
      <c r="CB42" s="22">
        <f t="shared" si="10"/>
        <v>359.98975346961203</v>
      </c>
      <c r="CC42" s="62">
        <f t="shared" si="11"/>
        <v>637.10970911781624</v>
      </c>
      <c r="CD42" s="62">
        <f ca="1">AVERAGE(OFFSET($CC$3,0,0,'Données projet'!$E$12+1,1))-AVERAGE(OFFSET($H$3,0,0,'Données projet'!$E$12+1,1))</f>
        <v>310.53598044763282</v>
      </c>
      <c r="CE42" s="62">
        <f t="shared" si="40"/>
        <v>322.01096634040596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projet'!$B$12,Paramètres!$A$1:$I$88,7,0))</f>
        <v>0</v>
      </c>
      <c r="CI42" s="17">
        <f>IF(ISNA(VLOOKUP(A42,'Données projet'!$A$113:$I$133,6,0)),0%,VLOOKUP(A42,'Données projet'!$A$113:$I$133,6,0)*VLOOKUP('Données projet'!$B$12,Paramètres!$A$1:$I$88,7,0))</f>
        <v>0</v>
      </c>
      <c r="CJ42" s="17">
        <f>IF(ISNA(VLOOKUP(A42,'Données projet'!$A$113:$I$133,7,0)),0%,VLOOKUP(A42,'Données projet'!$A$113:$I$133,7,0))</f>
        <v>0</v>
      </c>
      <c r="CK42" s="23">
        <f>EXP(-LN(2)/35)*CK41+(1-EXP(-LN(2)/35))/(LN(2)/35)*CG42*CH42*VLOOKUP('Données projet'!$B$12,Paramètres!$A$1:$I$88,3,0)*0.475*44/12</f>
        <v>0</v>
      </c>
      <c r="CL42" s="23">
        <f>EXP(-LN(2)/25)*CL41+(1-EXP(-LN(2)/25))/(LN(2)/25)*Calculateur!CG42*Calculateur!CI42*VLOOKUP('Données projet'!$B$12,Paramètres!$A$1:$I$88,3,0)*0.475*44/12</f>
        <v>0</v>
      </c>
      <c r="CM42" s="23">
        <f>EXP(-LN(2)/2)*CM41+(1-EXP(-LN(2)/2))/(LN(2)/2)*CG42*CJ42*VLOOKUP('Données projet'!$B$12,Paramètres!$A$1:$I$88,3,0)*0.475*44/12</f>
        <v>0</v>
      </c>
      <c r="CN42" s="24">
        <f t="shared" si="12"/>
        <v>0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65.578169722237504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projet'!$B$13,Paramètres!$A$1:$I$88,3,0)*VLOOKUP('Données projet'!$B$13,Paramètres!$A$1:$I$88,5,0)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projet'!$B$13,Paramètres!$A$1:$I$88,7,0))</f>
        <v>0</v>
      </c>
      <c r="DD42" s="17">
        <f>IF(ISNA(VLOOKUP(A42,'Données projet'!$A$139:$I$159,6,0)),0%,VLOOKUP(A42,'Données projet'!$A$139:$I$159,6,0)*VLOOKUP('Données projet'!$B$13,Paramètres!$A$1:$I$88,7,0))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projet'!$B$13,Paramètres!$A$1:$I$88,3,0)*0.475*44/12</f>
        <v>#N/A</v>
      </c>
      <c r="DG42" s="23" t="e">
        <f>EXP(-LN(2)/25)*DG41+(1-EXP(-LN(2)/25))/(LN(2)/25)*Calculateur!DB42*Calculateur!DD42*VLOOKUP('Données projet'!$B$13,Paramètres!$A$1:$I$88,3,0)*0.475*44/12</f>
        <v>#N/A</v>
      </c>
      <c r="DH42" s="23" t="e">
        <f>EXP(-LN(2)/2)*DH41+(1-EXP(-LN(2)/2))/(LN(2)/2)*DB42*DE42*VLOOKUP('Données projet'!$B$13,Paramètres!$A$1:$I$88,3,0)*0.475*44/12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65.578169722237504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projet'!$B$14,Paramètres!$A$1:$I$88,3,0)*VLOOKUP('Données projet'!$B$14,Paramètres!$A$1:$I$88,5,0)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projet'!$B$14,Paramètres!$A$1:$I$88,7,0))</f>
        <v>0</v>
      </c>
      <c r="DY42" s="17">
        <f>IF(ISNA(VLOOKUP(A42,'Données projet'!$A$165:$I$185,6,0)),0%,VLOOKUP(A42,'Données projet'!$A$165:$I$185,6,0)*VLOOKUP('Données projet'!$B$14,Paramètres!$A$1:$I$88,7,0))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projet'!$B$14,Paramètres!$A$1:$I$88,3,0)*0.475*44/12</f>
        <v>#N/A</v>
      </c>
      <c r="EB42" s="23" t="e">
        <f>EXP(-LN(2)/25)*EB41+(1-EXP(-LN(2)/25))/(LN(2)/25)*Calculateur!DW42*Calculateur!DY42*VLOOKUP('Données projet'!$B$14,Paramètres!$A$1:$I$88,3,0)*0.475*44/12</f>
        <v>#N/A</v>
      </c>
      <c r="EC42" s="23" t="e">
        <f>EXP(-LN(2)/2)*EC41+(1-EXP(-LN(2)/2))/(LN(2)/2)*DW42*DZ42*VLOOKUP('Données projet'!$B$14,Paramètres!$A$1:$I$88,3,0)*0.475*44/12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65.578169722237504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projet'!$B$15,Paramètres!$A$1:$I$88,3,0)*VLOOKUP('Données projet'!$B$15,Paramètres!$A$1:$I$88,5,0)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projet'!$B$15,Paramètres!$A$1:$I$88,7,0))</f>
        <v>0</v>
      </c>
      <c r="ET42" s="17">
        <f>IF(ISNA(VLOOKUP(A42,'Données projet'!$A$191:$I$211,6,0)),0%,VLOOKUP(A42,'Données projet'!$A$191:$I$211,6,0)*VLOOKUP('Données projet'!$B$15,Paramètres!$A$1:$I$88,7,0))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projet'!$B$15,Paramètres!$A$1:$I$88,3,0)*0.475*44/12</f>
        <v>#N/A</v>
      </c>
      <c r="EW42" s="23" t="e">
        <f>EXP(-LN(2)/25)*EW41+(1-EXP(-LN(2)/25))/(LN(2)/25)*Calculateur!ER42*Calculateur!ET42*VLOOKUP('Données projet'!$B$15,Paramètres!$A$1:$I$88,3,0)*0.475*44/12</f>
        <v>#N/A</v>
      </c>
      <c r="EX42" s="23" t="e">
        <f>EXP(-LN(2)/2)*EX41+(1-EXP(-LN(2)/2))/(LN(2)/2)*ER42*EU42*VLOOKUP('Données projet'!$B$15,Paramètres!$A$1:$I$88,3,0)*0.475*44/12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65.578169722237504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projet'!$B$16,Paramètres!$A$1:$I$88,3,0)*VLOOKUP('Données projet'!$B$16,Paramètres!$A$1:$I$88,5,0)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projet'!$B$16,Paramètres!$A$1:$I$88,7,0))</f>
        <v>0</v>
      </c>
      <c r="FO42" s="17">
        <f>IF(ISNA(VLOOKUP(A42,'Données projet'!$A$217:$I$237,6,0)),0%,VLOOKUP(A42,'Données projet'!$A$217:$I$237,6,0)*VLOOKUP('Données projet'!$B$16,Paramètres!$A$1:$I$88,7,0))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projet'!$B$16,Paramètres!$A$1:$I$88,3,0)*0.475*44/12</f>
        <v>#N/A</v>
      </c>
      <c r="FR42" s="23" t="e">
        <f>EXP(-LN(2)/25)*FR41+(1-EXP(-LN(2)/25))/(LN(2)/25)*Calculateur!FM42*Calculateur!FO42*VLOOKUP('Données projet'!$B$16,Paramètres!$A$1:$I$88,3,0)*0.475*44/12</f>
        <v>#N/A</v>
      </c>
      <c r="FS42" s="23" t="e">
        <f>EXP(-LN(2)/2)*FS41+(1-EXP(-LN(2)/2))/(LN(2)/2)*FM42*FP42*VLOOKUP('Données projet'!$B$16,Paramètres!$A$1:$I$88,3,0)*0.475*44/12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65.578169722237504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projet'!$B$17,Paramètres!$A$1:$I$88,3,0)*VLOOKUP('Données projet'!$B$17,Paramètres!$A$1:$I$88,5,0)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projet'!$B$17,Paramètres!$A$1:$I$88,7,0))</f>
        <v>0</v>
      </c>
      <c r="GJ42" s="17">
        <f>IF(ISNA(VLOOKUP(A42,'Données projet'!$A$243:$I$263,6,0)),0%,VLOOKUP(A42,'Données projet'!$A$243:$I$263,6,0)*VLOOKUP('Données projet'!$B$17,Paramètres!$A$1:$I$88,7,0))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projet'!$B$17,Paramètres!$A$1:$I$88,3,0)*0.475*44/12</f>
        <v>#N/A</v>
      </c>
      <c r="GM42" s="23" t="e">
        <f>EXP(-LN(2)/25)*GM41+(1-EXP(-LN(2)/25))/(LN(2)/25)*Calculateur!GH42*Calculateur!GJ42*VLOOKUP('Données projet'!$B$17,Paramètres!$A$1:$I$88,3,0)*0.475*44/12</f>
        <v>#N/A</v>
      </c>
      <c r="GN42" s="23" t="e">
        <f>EXP(-LN(2)/2)*GN41+(1-EXP(-LN(2)/2))/(LN(2)/2)*GH42*GK42*VLOOKUP('Données projet'!$B$17,Paramètres!$A$1:$I$88,3,0)*0.475*44/12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65.578169722237504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projet'!$B$18,Paramètres!$A$1:$I$88,3,0)*VLOOKUP('Données projet'!$B$18,Paramètres!$A$1:$I$88,5,0)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projet'!$B$18,Paramètres!$A$1:$I$88,7,0))</f>
        <v>0</v>
      </c>
      <c r="HE42" s="17">
        <f>IF(ISNA(VLOOKUP(A42,'Données projet'!$A$269:$I$289,6,0)),0%,VLOOKUP(A42,'Données projet'!$A$269:$I$289,6,0)*VLOOKUP('Données projet'!$B$18,Paramètres!$A$1:$I$88,7,0))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projet'!$B$18,Paramètres!$A$1:$I$88,3,0)*0.475*44/12</f>
        <v>#N/A</v>
      </c>
      <c r="HH42" s="23" t="e">
        <f>EXP(-LN(2)/25)*HH41+(1-EXP(-LN(2)/25))/(LN(2)/25)*Calculateur!HC42*Calculateur!HE42*VLOOKUP('Données projet'!$B$18,Paramètres!$A$1:$I$88,3,0)*0.475*44/12</f>
        <v>#N/A</v>
      </c>
      <c r="HI42" s="23" t="e">
        <f>EXP(-LN(2)/2)*HI41+(1-EXP(-LN(2)/2))/(LN(2)/2)*HC42*HF42*VLOOKUP('Données projet'!$B$18,Paramètres!$A$1:$I$88,3,0)*0.475*44/12</f>
        <v>#N/A</v>
      </c>
      <c r="HJ42" s="24" t="e">
        <f t="shared" si="30"/>
        <v>#N/A</v>
      </c>
    </row>
    <row r="43" spans="1:218" s="5" customFormat="1" x14ac:dyDescent="0.35">
      <c r="A43" s="11">
        <f t="shared" si="31"/>
        <v>40</v>
      </c>
      <c r="B43" s="77">
        <f>'Scénario référence'!$B$16*5+'Scénario référence'!$B$17*0+'Scénario référence'!$B$18*5</f>
        <v>1.75</v>
      </c>
      <c r="C43" s="20">
        <f>Calculateur!C42+'Scénario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43" s="12">
        <f t="shared" si="3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6.416666666666667</v>
      </c>
      <c r="H43" s="70">
        <f t="shared" si="1"/>
        <v>231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65.654878591825167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19</v>
      </c>
      <c r="N43" s="14">
        <f>IF('Données projet'!$A$36&gt;35,N42+M43-V42,IF(A43&lt;'Données projet'!$A$36,$K$205^A43,IF(A43='Données projet'!$A$36,'Données projet'!$B$36,N42+M43-V42)))</f>
        <v>330.00000000000011</v>
      </c>
      <c r="O43" s="14">
        <f>N43*VLOOKUP('Données projet'!$B$9,Paramètres!$A$1:$I$88,3,0)*VLOOKUP('Données projet'!$B$9,Paramètres!$A$1:$I$88,5,0)</f>
        <v>184.47000000000006</v>
      </c>
      <c r="P43" s="14">
        <f t="shared" si="33"/>
        <v>46.315254582516594</v>
      </c>
      <c r="Q43" s="22">
        <f t="shared" si="53"/>
        <v>401.9509850645498</v>
      </c>
      <c r="R43" s="62">
        <f t="shared" si="0"/>
        <v>679.35220656790875</v>
      </c>
      <c r="S43" s="62">
        <f ca="1">AVERAGE(OFFSET($R$3,0,0,'Données projet'!$E$9+1,1))-AVERAGE(OFFSET($H$3,0,0,'Données projet'!$E$9+1,1))</f>
        <v>341.05096821796769</v>
      </c>
      <c r="T43" s="62">
        <f t="shared" si="34"/>
        <v>400.72519822215168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projet'!$B$9,Paramètres!$A$1:$I$88,7,0))</f>
        <v>0</v>
      </c>
      <c r="X43" s="17">
        <f>IF(ISNA(VLOOKUP(A43,'Données projet'!$A$35:$I$55,6,0)),0%,VLOOKUP(A43,'Données projet'!$A$35:$I$55,6,0)*VLOOKUP('Données projet'!$B$9,Paramètres!$A$1:$I$88,7,0))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projet'!$B$9,Paramètres!$A$1:$I$88,3,0)*0.475*44/12</f>
        <v>19.634220741164086</v>
      </c>
      <c r="AA43" s="23">
        <f>EXP(-LN(2)/25)*AA42+(1-EXP(-LN(2)/25))/(LN(2)/25)*Calculateur!V43*Calculateur!X43*VLOOKUP('Données projet'!$B$9,Paramètres!$A$1:$I$88,3,0)*0.475*44/12</f>
        <v>41.310724269540174</v>
      </c>
      <c r="AB43" s="23">
        <f>EXP(-LN(2)/2)*AB42+(1-EXP(-LN(2)/2))/(LN(2)/2)*V43*Y43*VLOOKUP('Données projet'!$B$9,Paramètres!$A$1:$I$88,3,0)*0.475*44/12</f>
        <v>0</v>
      </c>
      <c r="AC43" s="24">
        <f t="shared" si="3"/>
        <v>60.944945010704259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65.654878591825167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>
        <f>VLOOKUP(A43,'Données projet'!$A$61:$I$81,2,0)</f>
        <v>214.5</v>
      </c>
      <c r="AG43" s="13">
        <f>VLOOKUP(A43,'Données projet'!$A$61:$I$81,9,0)</f>
        <v>9.8666666666666654</v>
      </c>
      <c r="AH43" s="13">
        <f t="array" ref="AH43">INDEX(AG:AG,MIN(IF(ISNUMBER(AG43:AG239),ROW(AG43:AG239),"")))</f>
        <v>9.8666666666666654</v>
      </c>
      <c r="AI43" s="14">
        <f>IF('Données projet'!$A$62&gt;35,AI42+AH43-AQ42,IF(A43&lt;'Données projet'!$A$62,$AF$205^A43,IF(A43='Données projet'!$A$62,'Données projet'!$B$62,AI42+AH43-AQ42)))</f>
        <v>214.50000000000006</v>
      </c>
      <c r="AJ43" s="14">
        <f>AI43*VLOOKUP('Données projet'!$B$10,Paramètres!$A$1:$I$88,3,0)*VLOOKUP('Données projet'!$B$10,Paramètres!$A$1:$I$88,5,0)</f>
        <v>128.27100000000004</v>
      </c>
      <c r="AK43" s="14">
        <f t="shared" si="35"/>
        <v>33.596527402237875</v>
      </c>
      <c r="AL43" s="22">
        <f t="shared" si="4"/>
        <v>281.91927689223104</v>
      </c>
      <c r="AM43" s="62">
        <f t="shared" si="5"/>
        <v>559.32049839558999</v>
      </c>
      <c r="AN43" s="62">
        <f ca="1">AVERAGE(OFFSET($AM$3,0,0,'Données projet'!$E$10+1,1))-AVERAGE(OFFSET($H$3,0,0,'Données projet'!$E$10+1,1))</f>
        <v>231.96474801342879</v>
      </c>
      <c r="AO43" s="62">
        <f t="shared" si="36"/>
        <v>237.75726086383668</v>
      </c>
      <c r="AP43" s="16">
        <f>IF(ISNA(VLOOKUP(A43,'Données projet'!$A$61:$I$81,3,0)),0,VLOOKUP(A43,'Données projet'!$A$61:$I$81,3,0))</f>
        <v>6</v>
      </c>
      <c r="AQ43" s="16">
        <f>IF(ISNA(VLOOKUP(A43,'Données projet'!$A$61:$I$81,4,0)),0,VLOOKUP(A43,'Données projet'!$A$61:$I$81,4,0))</f>
        <v>30.9</v>
      </c>
      <c r="AR43" s="17">
        <f>IF(ISNA(VLOOKUP(A43,'Données projet'!$A$61:$I$81,5,0)),0%,VLOOKUP(A43,'Données projet'!$A$61:$I$81,5,0)*VLOOKUP('Données projet'!$B$10,Paramètres!$A$1:$I$88,7,0))</f>
        <v>0.13500000000000001</v>
      </c>
      <c r="AS43" s="17">
        <f>IF(ISNA(VLOOKUP(A43,'Données projet'!$A$61:$I$81,6,0)),0%,VLOOKUP(A43,'Données projet'!$A$61:$I$81,6,0)*VLOOKUP('Données projet'!$B$10,Paramètres!$A$1:$I$88,7,0))</f>
        <v>0.22500000000000001</v>
      </c>
      <c r="AT43" s="17">
        <f>IF(ISNA(VLOOKUP(A43,'Données projet'!$A$61:$I$81,7,0)),0%,VLOOKUP(A43,'Données projet'!$A$61:$I$81,7,0))</f>
        <v>0</v>
      </c>
      <c r="AU43" s="23">
        <f>EXP(-LN(2)/35)*AU42+(1-EXP(-LN(2)/35))/(LN(2)/35)*AQ43*AR43*VLOOKUP('Données projet'!$B$10,Paramètres!$A$1:$I$88,3,0)*0.475*44/12</f>
        <v>8.4537529735936285</v>
      </c>
      <c r="AV43" s="23">
        <f>EXP(-LN(2)/25)*AV42+(1-EXP(-LN(2)/25))/(LN(2)/25)*Calculateur!AQ43*Calculateur!AS43*VLOOKUP('Données projet'!$B$10,Paramètres!$A$1:$I$88,3,0)*0.475*44/12</f>
        <v>23.271550717755058</v>
      </c>
      <c r="AW43" s="23">
        <f>EXP(-LN(2)/2)*AW42+(1-EXP(-LN(2)/2))/(LN(2)/2)*AQ43*AT43*VLOOKUP('Données projet'!$B$10,Paramètres!$A$1:$I$88,3,0)*0.475*44/12</f>
        <v>0</v>
      </c>
      <c r="AX43" s="23">
        <f t="shared" si="6"/>
        <v>31.725303691348685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65.654878591825167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6.5217391304347823</v>
      </c>
      <c r="BD43" s="13">
        <f>IF('Données projet'!$A$88&gt;35,BD42+BC43-BL42,IF(A43&lt;'Données projet'!$A$88,$BA$205^A43,IF(A43='Données projet'!$A$88,'Données projet'!$B$88,BD42+BC43-BL42)))</f>
        <v>260.86956521739131</v>
      </c>
      <c r="BE43" s="14">
        <f>BD43*VLOOKUP('Données projet'!$B$11,Paramètres!$A$1:$I$88,3,0)*VLOOKUP('Données projet'!$B$11,Paramètres!$A$1:$I$88,5,0)</f>
        <v>122.08695652173914</v>
      </c>
      <c r="BF43" s="14">
        <f t="shared" si="37"/>
        <v>32.16125811663612</v>
      </c>
      <c r="BG43" s="22">
        <f t="shared" si="7"/>
        <v>268.64897382850359</v>
      </c>
      <c r="BH43" s="62">
        <f t="shared" si="8"/>
        <v>546.0501953318626</v>
      </c>
      <c r="BI43" s="62">
        <f ca="1">AVERAGE(OFFSET($BH$3,0,0,'Données projet'!$E$11+1,1))-AVERAGE(OFFSET($H$3,0,0,'Données projet'!$E$11+1,1))</f>
        <v>364.96458059055169</v>
      </c>
      <c r="BJ43" s="62">
        <f t="shared" si="38"/>
        <v>246.27159120786257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projet'!$B$11,Paramètres!$A$1:$I$88,7,0))</f>
        <v>0</v>
      </c>
      <c r="BN43" s="17">
        <f>IF(ISNA(VLOOKUP(A43,'Données projet'!$A$87:$I$107,6,0)),0%,VLOOKUP(A43,'Données projet'!$A$87:$I$107,6,0)*VLOOKUP('Données projet'!$B$11,Paramètres!$A$1:$I$88,7,0))</f>
        <v>0</v>
      </c>
      <c r="BO43" s="17">
        <f>IF(ISNA(VLOOKUP(A43,'Données projet'!$A$87:$I$107,7,0)),0%,VLOOKUP(A43,'Données projet'!$A$87:$I$107,7,0))</f>
        <v>0</v>
      </c>
      <c r="BP43" s="23">
        <f>EXP(-LN(2)/35)*BP42+(1-EXP(-LN(2)/35))/(LN(2)/35)*BL43*BM43*VLOOKUP('Données projet'!$B$11,Paramètres!$A$1:$I$88,3,0)*0.475*44/12</f>
        <v>0</v>
      </c>
      <c r="BQ43" s="23">
        <f>EXP(-LN(2)/25)*BQ42+(1-EXP(-LN(2)/25))/(LN(2)/25)*Calculateur!BL43*Calculateur!BN43*VLOOKUP('Données projet'!$B$11,Paramètres!$A$1:$I$88,3,0)*0.475*44/12</f>
        <v>0</v>
      </c>
      <c r="BR43" s="23">
        <f>EXP(-LN(2)/2)*BR42+(1-EXP(-LN(2)/2))/(LN(2)/2)*BL43*BO43*VLOOKUP('Données projet'!$B$11,Paramètres!$A$1:$I$88,3,0)*0.475*44/12</f>
        <v>0</v>
      </c>
      <c r="BS43" s="24">
        <f t="shared" si="9"/>
        <v>0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65.654878591825167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4.1666667007873768</v>
      </c>
      <c r="BY43" s="13">
        <f>IF('Données projet'!$A$114&gt;35,BY42+BX43-CG42,IF(A43&lt;'Données projet'!$A$114,$BV$205^A43,IF(A43='Données projet'!$A$114,'Données projet'!$B$114,BY42+BX43-CG42)))</f>
        <v>166.66666803149499</v>
      </c>
      <c r="BZ43" s="14">
        <f>BY43*VLOOKUP('Données projet'!$B$12,Paramètres!$A$1:$I$88,3,0)*VLOOKUP('Données projet'!$B$12,Paramètres!$A$1:$I$88,5,0)</f>
        <v>169.00000138393594</v>
      </c>
      <c r="CA43" s="14">
        <f t="shared" si="39"/>
        <v>42.865980317088756</v>
      </c>
      <c r="CB43" s="22">
        <f t="shared" si="10"/>
        <v>368.99991812928459</v>
      </c>
      <c r="CC43" s="62">
        <f t="shared" si="11"/>
        <v>646.40113963264355</v>
      </c>
      <c r="CD43" s="62">
        <f ca="1">AVERAGE(OFFSET($CC$3,0,0,'Données projet'!$E$12+1,1))-AVERAGE(OFFSET($H$3,0,0,'Données projet'!$E$12+1,1))</f>
        <v>310.53598044763282</v>
      </c>
      <c r="CE43" s="62">
        <f t="shared" si="40"/>
        <v>322.01096634040596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projet'!$B$12,Paramètres!$A$1:$I$88,7,0))</f>
        <v>0</v>
      </c>
      <c r="CI43" s="17">
        <f>IF(ISNA(VLOOKUP(A43,'Données projet'!$A$113:$I$133,6,0)),0%,VLOOKUP(A43,'Données projet'!$A$113:$I$133,6,0)*VLOOKUP('Données projet'!$B$12,Paramètres!$A$1:$I$88,7,0))</f>
        <v>0</v>
      </c>
      <c r="CJ43" s="17">
        <f>IF(ISNA(VLOOKUP(A43,'Données projet'!$A$113:$I$133,7,0)),0%,VLOOKUP(A43,'Données projet'!$A$113:$I$133,7,0))</f>
        <v>0</v>
      </c>
      <c r="CK43" s="23">
        <f>EXP(-LN(2)/35)*CK42+(1-EXP(-LN(2)/35))/(LN(2)/35)*CG43*CH43*VLOOKUP('Données projet'!$B$12,Paramètres!$A$1:$I$88,3,0)*0.475*44/12</f>
        <v>0</v>
      </c>
      <c r="CL43" s="23">
        <f>EXP(-LN(2)/25)*CL42+(1-EXP(-LN(2)/25))/(LN(2)/25)*Calculateur!CG43*Calculateur!CI43*VLOOKUP('Données projet'!$B$12,Paramètres!$A$1:$I$88,3,0)*0.475*44/12</f>
        <v>0</v>
      </c>
      <c r="CM43" s="23">
        <f>EXP(-LN(2)/2)*CM42+(1-EXP(-LN(2)/2))/(LN(2)/2)*CG43*CJ43*VLOOKUP('Données projet'!$B$12,Paramètres!$A$1:$I$88,3,0)*0.475*44/12</f>
        <v>0</v>
      </c>
      <c r="CN43" s="24">
        <f t="shared" si="12"/>
        <v>0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65.654878591825167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projet'!$B$13,Paramètres!$A$1:$I$88,3,0)*VLOOKUP('Données projet'!$B$13,Paramètres!$A$1:$I$88,5,0)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projet'!$B$13,Paramètres!$A$1:$I$88,7,0))</f>
        <v>0</v>
      </c>
      <c r="DD43" s="17">
        <f>IF(ISNA(VLOOKUP(A43,'Données projet'!$A$139:$I$159,6,0)),0%,VLOOKUP(A43,'Données projet'!$A$139:$I$159,6,0)*VLOOKUP('Données projet'!$B$13,Paramètres!$A$1:$I$88,7,0))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projet'!$B$13,Paramètres!$A$1:$I$88,3,0)*0.475*44/12</f>
        <v>#N/A</v>
      </c>
      <c r="DG43" s="23" t="e">
        <f>EXP(-LN(2)/25)*DG42+(1-EXP(-LN(2)/25))/(LN(2)/25)*Calculateur!DB43*Calculateur!DD43*VLOOKUP('Données projet'!$B$13,Paramètres!$A$1:$I$88,3,0)*0.475*44/12</f>
        <v>#N/A</v>
      </c>
      <c r="DH43" s="23" t="e">
        <f>EXP(-LN(2)/2)*DH42+(1-EXP(-LN(2)/2))/(LN(2)/2)*DB43*DE43*VLOOKUP('Données projet'!$B$13,Paramètres!$A$1:$I$88,3,0)*0.475*44/12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65.654878591825167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projet'!$B$14,Paramètres!$A$1:$I$88,3,0)*VLOOKUP('Données projet'!$B$14,Paramètres!$A$1:$I$88,5,0)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projet'!$B$14,Paramètres!$A$1:$I$88,7,0))</f>
        <v>0</v>
      </c>
      <c r="DY43" s="17">
        <f>IF(ISNA(VLOOKUP(A43,'Données projet'!$A$165:$I$185,6,0)),0%,VLOOKUP(A43,'Données projet'!$A$165:$I$185,6,0)*VLOOKUP('Données projet'!$B$14,Paramètres!$A$1:$I$88,7,0))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projet'!$B$14,Paramètres!$A$1:$I$88,3,0)*0.475*44/12</f>
        <v>#N/A</v>
      </c>
      <c r="EB43" s="23" t="e">
        <f>EXP(-LN(2)/25)*EB42+(1-EXP(-LN(2)/25))/(LN(2)/25)*Calculateur!DW43*Calculateur!DY43*VLOOKUP('Données projet'!$B$14,Paramètres!$A$1:$I$88,3,0)*0.475*44/12</f>
        <v>#N/A</v>
      </c>
      <c r="EC43" s="23" t="e">
        <f>EXP(-LN(2)/2)*EC42+(1-EXP(-LN(2)/2))/(LN(2)/2)*DW43*DZ43*VLOOKUP('Données projet'!$B$14,Paramètres!$A$1:$I$88,3,0)*0.475*44/12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65.654878591825167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projet'!$B$15,Paramètres!$A$1:$I$88,3,0)*VLOOKUP('Données projet'!$B$15,Paramètres!$A$1:$I$88,5,0)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projet'!$B$15,Paramètres!$A$1:$I$88,7,0))</f>
        <v>0</v>
      </c>
      <c r="ET43" s="17">
        <f>IF(ISNA(VLOOKUP(A43,'Données projet'!$A$191:$I$211,6,0)),0%,VLOOKUP(A43,'Données projet'!$A$191:$I$211,6,0)*VLOOKUP('Données projet'!$B$15,Paramètres!$A$1:$I$88,7,0))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projet'!$B$15,Paramètres!$A$1:$I$88,3,0)*0.475*44/12</f>
        <v>#N/A</v>
      </c>
      <c r="EW43" s="23" t="e">
        <f>EXP(-LN(2)/25)*EW42+(1-EXP(-LN(2)/25))/(LN(2)/25)*Calculateur!ER43*Calculateur!ET43*VLOOKUP('Données projet'!$B$15,Paramètres!$A$1:$I$88,3,0)*0.475*44/12</f>
        <v>#N/A</v>
      </c>
      <c r="EX43" s="23" t="e">
        <f>EXP(-LN(2)/2)*EX42+(1-EXP(-LN(2)/2))/(LN(2)/2)*ER43*EU43*VLOOKUP('Données projet'!$B$15,Paramètres!$A$1:$I$88,3,0)*0.475*44/12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65.654878591825167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projet'!$B$16,Paramètres!$A$1:$I$88,3,0)*VLOOKUP('Données projet'!$B$16,Paramètres!$A$1:$I$88,5,0)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projet'!$B$16,Paramètres!$A$1:$I$88,7,0))</f>
        <v>0</v>
      </c>
      <c r="FO43" s="17">
        <f>IF(ISNA(VLOOKUP(A43,'Données projet'!$A$217:$I$237,6,0)),0%,VLOOKUP(A43,'Données projet'!$A$217:$I$237,6,0)*VLOOKUP('Données projet'!$B$16,Paramètres!$A$1:$I$88,7,0))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projet'!$B$16,Paramètres!$A$1:$I$88,3,0)*0.475*44/12</f>
        <v>#N/A</v>
      </c>
      <c r="FR43" s="23" t="e">
        <f>EXP(-LN(2)/25)*FR42+(1-EXP(-LN(2)/25))/(LN(2)/25)*Calculateur!FM43*Calculateur!FO43*VLOOKUP('Données projet'!$B$16,Paramètres!$A$1:$I$88,3,0)*0.475*44/12</f>
        <v>#N/A</v>
      </c>
      <c r="FS43" s="23" t="e">
        <f>EXP(-LN(2)/2)*FS42+(1-EXP(-LN(2)/2))/(LN(2)/2)*FM43*FP43*VLOOKUP('Données projet'!$B$16,Paramètres!$A$1:$I$88,3,0)*0.475*44/12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65.654878591825167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projet'!$B$17,Paramètres!$A$1:$I$88,3,0)*VLOOKUP('Données projet'!$B$17,Paramètres!$A$1:$I$88,5,0)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projet'!$B$17,Paramètres!$A$1:$I$88,7,0))</f>
        <v>0</v>
      </c>
      <c r="GJ43" s="17">
        <f>IF(ISNA(VLOOKUP(A43,'Données projet'!$A$243:$I$263,6,0)),0%,VLOOKUP(A43,'Données projet'!$A$243:$I$263,6,0)*VLOOKUP('Données projet'!$B$17,Paramètres!$A$1:$I$88,7,0))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projet'!$B$17,Paramètres!$A$1:$I$88,3,0)*0.475*44/12</f>
        <v>#N/A</v>
      </c>
      <c r="GM43" s="23" t="e">
        <f>EXP(-LN(2)/25)*GM42+(1-EXP(-LN(2)/25))/(LN(2)/25)*Calculateur!GH43*Calculateur!GJ43*VLOOKUP('Données projet'!$B$17,Paramètres!$A$1:$I$88,3,0)*0.475*44/12</f>
        <v>#N/A</v>
      </c>
      <c r="GN43" s="23" t="e">
        <f>EXP(-LN(2)/2)*GN42+(1-EXP(-LN(2)/2))/(LN(2)/2)*GH43*GK43*VLOOKUP('Données projet'!$B$17,Paramètres!$A$1:$I$88,3,0)*0.475*44/12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65.654878591825167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projet'!$B$18,Paramètres!$A$1:$I$88,3,0)*VLOOKUP('Données projet'!$B$18,Paramètres!$A$1:$I$88,5,0)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projet'!$B$18,Paramètres!$A$1:$I$88,7,0))</f>
        <v>0</v>
      </c>
      <c r="HE43" s="17">
        <f>IF(ISNA(VLOOKUP(A43,'Données projet'!$A$269:$I$289,6,0)),0%,VLOOKUP(A43,'Données projet'!$A$269:$I$289,6,0)*VLOOKUP('Données projet'!$B$18,Paramètres!$A$1:$I$88,7,0))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projet'!$B$18,Paramètres!$A$1:$I$88,3,0)*0.475*44/12</f>
        <v>#N/A</v>
      </c>
      <c r="HH43" s="23" t="e">
        <f>EXP(-LN(2)/25)*HH42+(1-EXP(-LN(2)/25))/(LN(2)/25)*Calculateur!HC43*Calculateur!HE43*VLOOKUP('Données projet'!$B$18,Paramètres!$A$1:$I$88,3,0)*0.475*44/12</f>
        <v>#N/A</v>
      </c>
      <c r="HI43" s="23" t="e">
        <f>EXP(-LN(2)/2)*HI42+(1-EXP(-LN(2)/2))/(LN(2)/2)*HC43*HF43*VLOOKUP('Données projet'!$B$18,Paramètres!$A$1:$I$88,3,0)*0.475*44/12</f>
        <v>#N/A</v>
      </c>
      <c r="HJ43" s="24" t="e">
        <f t="shared" si="30"/>
        <v>#N/A</v>
      </c>
    </row>
    <row r="44" spans="1:218" s="5" customFormat="1" x14ac:dyDescent="0.35">
      <c r="A44" s="11">
        <f t="shared" si="31"/>
        <v>41</v>
      </c>
      <c r="B44" s="77">
        <f>'Scénario référence'!$B$16*5+'Scénario référence'!$B$17*0+'Scénario référence'!$B$18*5</f>
        <v>1.75</v>
      </c>
      <c r="C44" s="20">
        <f>Calculateur!C43+'Scénario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44" s="12">
        <f t="shared" si="3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6.416666666666667</v>
      </c>
      <c r="H44" s="70">
        <f t="shared" si="1"/>
        <v>231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65.730256734020827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19</v>
      </c>
      <c r="N44" s="14">
        <f>IF('Données projet'!$A$36&gt;35,N43+M44-V43,IF(A44&lt;'Données projet'!$A$36,$K$205^A44,IF(A44='Données projet'!$A$36,'Données projet'!$B$36,N43+M44-V43)))</f>
        <v>349.00000000000011</v>
      </c>
      <c r="O44" s="14">
        <f>N44*VLOOKUP('Données projet'!$B$9,Paramètres!$A$1:$I$88,3,0)*VLOOKUP('Données projet'!$B$9,Paramètres!$A$1:$I$88,5,0)</f>
        <v>195.09100000000007</v>
      </c>
      <c r="P44" s="14">
        <f t="shared" si="33"/>
        <v>48.663762686246173</v>
      </c>
      <c r="Q44" s="22">
        <f t="shared" si="53"/>
        <v>424.53954501187883</v>
      </c>
      <c r="R44" s="62">
        <f t="shared" si="0"/>
        <v>702.21715303662188</v>
      </c>
      <c r="S44" s="62">
        <f ca="1">AVERAGE(OFFSET($R$3,0,0,'Données projet'!$E$9+1,1))-AVERAGE(OFFSET($H$3,0,0,'Données projet'!$E$9+1,1))</f>
        <v>341.05096821796769</v>
      </c>
      <c r="T44" s="62">
        <f t="shared" si="34"/>
        <v>400.72519822215168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projet'!$B$9,Paramètres!$A$1:$I$88,7,0))</f>
        <v>0</v>
      </c>
      <c r="X44" s="17">
        <f>IF(ISNA(VLOOKUP(A44,'Données projet'!$A$35:$I$55,6,0)),0%,VLOOKUP(A44,'Données projet'!$A$35:$I$55,6,0)*VLOOKUP('Données projet'!$B$9,Paramètres!$A$1:$I$88,7,0))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projet'!$B$9,Paramètres!$A$1:$I$88,3,0)*0.475*44/12</f>
        <v>19.249205648122008</v>
      </c>
      <c r="AA44" s="23">
        <f>EXP(-LN(2)/25)*AA43+(1-EXP(-LN(2)/25))/(LN(2)/25)*Calculateur!V44*Calculateur!X44*VLOOKUP('Données projet'!$B$9,Paramètres!$A$1:$I$88,3,0)*0.475*44/12</f>
        <v>40.181080341953027</v>
      </c>
      <c r="AB44" s="23">
        <f>EXP(-LN(2)/2)*AB43+(1-EXP(-LN(2)/2))/(LN(2)/2)*V44*Y44*VLOOKUP('Données projet'!$B$9,Paramètres!$A$1:$I$88,3,0)*0.475*44/12</f>
        <v>0</v>
      </c>
      <c r="AC44" s="24">
        <f t="shared" si="3"/>
        <v>59.430285990075035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65.730256734020827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7.4000000000000012</v>
      </c>
      <c r="AI44" s="14">
        <f>IF('Données projet'!$A$62&gt;35,AI43+AH44-AQ43,IF(A44&lt;'Données projet'!$A$62,$AF$205^A44,IF(A44='Données projet'!$A$62,'Données projet'!$B$62,AI43+AH44-AQ43)))</f>
        <v>191.00000000000006</v>
      </c>
      <c r="AJ44" s="14">
        <f>AI44*VLOOKUP('Données projet'!$B$10,Paramètres!$A$1:$I$88,3,0)*VLOOKUP('Données projet'!$B$10,Paramètres!$A$1:$I$88,5,0)</f>
        <v>114.21800000000005</v>
      </c>
      <c r="AK44" s="14">
        <f t="shared" si="35"/>
        <v>30.322591437735667</v>
      </c>
      <c r="AL44" s="22">
        <f t="shared" si="4"/>
        <v>251.74153008738969</v>
      </c>
      <c r="AM44" s="62">
        <f t="shared" si="5"/>
        <v>529.41913811213271</v>
      </c>
      <c r="AN44" s="62">
        <f ca="1">AVERAGE(OFFSET($AM$3,0,0,'Données projet'!$E$10+1,1))-AVERAGE(OFFSET($H$3,0,0,'Données projet'!$E$10+1,1))</f>
        <v>231.96474801342879</v>
      </c>
      <c r="AO44" s="62">
        <f t="shared" si="36"/>
        <v>237.75726086383668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projet'!$B$10,Paramètres!$A$1:$I$88,7,0))</f>
        <v>0</v>
      </c>
      <c r="AS44" s="17">
        <f>IF(ISNA(VLOOKUP(A44,'Données projet'!$A$61:$I$81,6,0)),0%,VLOOKUP(A44,'Données projet'!$A$61:$I$81,6,0)*VLOOKUP('Données projet'!$B$10,Paramètres!$A$1:$I$88,7,0))</f>
        <v>0</v>
      </c>
      <c r="AT44" s="17">
        <f>IF(ISNA(VLOOKUP(A44,'Données projet'!$A$61:$I$81,7,0)),0%,VLOOKUP(A44,'Données projet'!$A$61:$I$81,7,0))</f>
        <v>0</v>
      </c>
      <c r="AU44" s="23">
        <f>EXP(-LN(2)/35)*AU43+(1-EXP(-LN(2)/35))/(LN(2)/35)*AQ44*AR44*VLOOKUP('Données projet'!$B$10,Paramètres!$A$1:$I$88,3,0)*0.475*44/12</f>
        <v>8.287980034061631</v>
      </c>
      <c r="AV44" s="23">
        <f>EXP(-LN(2)/25)*AV43+(1-EXP(-LN(2)/25))/(LN(2)/25)*Calculateur!AQ44*Calculateur!AS44*VLOOKUP('Données projet'!$B$10,Paramètres!$A$1:$I$88,3,0)*0.475*44/12</f>
        <v>22.635188939580381</v>
      </c>
      <c r="AW44" s="23">
        <f>EXP(-LN(2)/2)*AW43+(1-EXP(-LN(2)/2))/(LN(2)/2)*AQ44*AT44*VLOOKUP('Données projet'!$B$10,Paramètres!$A$1:$I$88,3,0)*0.475*44/12</f>
        <v>0</v>
      </c>
      <c r="AX44" s="23">
        <f t="shared" si="6"/>
        <v>30.923168973642014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65.730256734020827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6.5217391304347823</v>
      </c>
      <c r="BD44" s="13">
        <f>IF('Données projet'!$A$88&gt;35,BD43+BC44-BL43,IF(A44&lt;'Données projet'!$A$88,$BA$205^A44,IF(A44='Données projet'!$A$88,'Données projet'!$B$88,BD43+BC44-BL43)))</f>
        <v>267.39130434782612</v>
      </c>
      <c r="BE44" s="14">
        <f>BD44*VLOOKUP('Données projet'!$B$11,Paramètres!$A$1:$I$88,3,0)*VLOOKUP('Données projet'!$B$11,Paramètres!$A$1:$I$88,5,0)</f>
        <v>125.13913043478263</v>
      </c>
      <c r="BF44" s="14">
        <f t="shared" si="37"/>
        <v>32.870676106580333</v>
      </c>
      <c r="BG44" s="22">
        <f t="shared" si="7"/>
        <v>275.20041305954049</v>
      </c>
      <c r="BH44" s="62">
        <f t="shared" si="8"/>
        <v>552.87802108428355</v>
      </c>
      <c r="BI44" s="62">
        <f ca="1">AVERAGE(OFFSET($BH$3,0,0,'Données projet'!$E$11+1,1))-AVERAGE(OFFSET($H$3,0,0,'Données projet'!$E$11+1,1))</f>
        <v>364.96458059055169</v>
      </c>
      <c r="BJ44" s="62">
        <f t="shared" si="38"/>
        <v>246.27159120786257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projet'!$B$11,Paramètres!$A$1:$I$88,7,0))</f>
        <v>0</v>
      </c>
      <c r="BN44" s="17">
        <f>IF(ISNA(VLOOKUP(A44,'Données projet'!$A$87:$I$107,6,0)),0%,VLOOKUP(A44,'Données projet'!$A$87:$I$107,6,0)*VLOOKUP('Données projet'!$B$11,Paramètres!$A$1:$I$88,7,0))</f>
        <v>0</v>
      </c>
      <c r="BO44" s="17">
        <f>IF(ISNA(VLOOKUP(A44,'Données projet'!$A$87:$I$107,7,0)),0%,VLOOKUP(A44,'Données projet'!$A$87:$I$107,7,0))</f>
        <v>0</v>
      </c>
      <c r="BP44" s="23">
        <f>EXP(-LN(2)/35)*BP43+(1-EXP(-LN(2)/35))/(LN(2)/35)*BL44*BM44*VLOOKUP('Données projet'!$B$11,Paramètres!$A$1:$I$88,3,0)*0.475*44/12</f>
        <v>0</v>
      </c>
      <c r="BQ44" s="23">
        <f>EXP(-LN(2)/25)*BQ43+(1-EXP(-LN(2)/25))/(LN(2)/25)*Calculateur!BL44*Calculateur!BN44*VLOOKUP('Données projet'!$B$11,Paramètres!$A$1:$I$88,3,0)*0.475*44/12</f>
        <v>0</v>
      </c>
      <c r="BR44" s="23">
        <f>EXP(-LN(2)/2)*BR43+(1-EXP(-LN(2)/2))/(LN(2)/2)*BL44*BO44*VLOOKUP('Données projet'!$B$11,Paramètres!$A$1:$I$88,3,0)*0.475*44/12</f>
        <v>0</v>
      </c>
      <c r="BS44" s="24">
        <f t="shared" si="9"/>
        <v>0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65.730256734020827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4.1666667007873768</v>
      </c>
      <c r="BY44" s="13">
        <f>IF('Données projet'!$A$114&gt;35,BY43+BX44-CG43,IF(A44&lt;'Données projet'!$A$114,$BV$205^A44,IF(A44='Données projet'!$A$114,'Données projet'!$B$114,BY43+BX44-CG43)))</f>
        <v>170.83333473228237</v>
      </c>
      <c r="BZ44" s="14">
        <f>BY44*VLOOKUP('Données projet'!$B$12,Paramètres!$A$1:$I$88,3,0)*VLOOKUP('Données projet'!$B$12,Paramètres!$A$1:$I$88,5,0)</f>
        <v>173.22500141853433</v>
      </c>
      <c r="CA44" s="14">
        <f t="shared" si="39"/>
        <v>43.811524719712921</v>
      </c>
      <c r="CB44" s="22">
        <f t="shared" si="10"/>
        <v>378.00528302411391</v>
      </c>
      <c r="CC44" s="62">
        <f t="shared" si="11"/>
        <v>655.68289104885696</v>
      </c>
      <c r="CD44" s="62">
        <f ca="1">AVERAGE(OFFSET($CC$3,0,0,'Données projet'!$E$12+1,1))-AVERAGE(OFFSET($H$3,0,0,'Données projet'!$E$12+1,1))</f>
        <v>310.53598044763282</v>
      </c>
      <c r="CE44" s="62">
        <f t="shared" si="40"/>
        <v>322.01096634040596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projet'!$B$12,Paramètres!$A$1:$I$88,7,0))</f>
        <v>0</v>
      </c>
      <c r="CI44" s="17">
        <f>IF(ISNA(VLOOKUP(A44,'Données projet'!$A$113:$I$133,6,0)),0%,VLOOKUP(A44,'Données projet'!$A$113:$I$133,6,0)*VLOOKUP('Données projet'!$B$12,Paramètres!$A$1:$I$88,7,0))</f>
        <v>0</v>
      </c>
      <c r="CJ44" s="17">
        <f>IF(ISNA(VLOOKUP(A44,'Données projet'!$A$113:$I$133,7,0)),0%,VLOOKUP(A44,'Données projet'!$A$113:$I$133,7,0))</f>
        <v>0</v>
      </c>
      <c r="CK44" s="23">
        <f>EXP(-LN(2)/35)*CK43+(1-EXP(-LN(2)/35))/(LN(2)/35)*CG44*CH44*VLOOKUP('Données projet'!$B$12,Paramètres!$A$1:$I$88,3,0)*0.475*44/12</f>
        <v>0</v>
      </c>
      <c r="CL44" s="23">
        <f>EXP(-LN(2)/25)*CL43+(1-EXP(-LN(2)/25))/(LN(2)/25)*Calculateur!CG44*Calculateur!CI44*VLOOKUP('Données projet'!$B$12,Paramètres!$A$1:$I$88,3,0)*0.475*44/12</f>
        <v>0</v>
      </c>
      <c r="CM44" s="23">
        <f>EXP(-LN(2)/2)*CM43+(1-EXP(-LN(2)/2))/(LN(2)/2)*CG44*CJ44*VLOOKUP('Données projet'!$B$12,Paramètres!$A$1:$I$88,3,0)*0.475*44/12</f>
        <v>0</v>
      </c>
      <c r="CN44" s="24">
        <f t="shared" si="12"/>
        <v>0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65.730256734020827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projet'!$B$13,Paramètres!$A$1:$I$88,3,0)*VLOOKUP('Données projet'!$B$13,Paramètres!$A$1:$I$88,5,0)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projet'!$B$13,Paramètres!$A$1:$I$88,7,0))</f>
        <v>0</v>
      </c>
      <c r="DD44" s="17">
        <f>IF(ISNA(VLOOKUP(A44,'Données projet'!$A$139:$I$159,6,0)),0%,VLOOKUP(A44,'Données projet'!$A$139:$I$159,6,0)*VLOOKUP('Données projet'!$B$13,Paramètres!$A$1:$I$88,7,0))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projet'!$B$13,Paramètres!$A$1:$I$88,3,0)*0.475*44/12</f>
        <v>#N/A</v>
      </c>
      <c r="DG44" s="23" t="e">
        <f>EXP(-LN(2)/25)*DG43+(1-EXP(-LN(2)/25))/(LN(2)/25)*Calculateur!DB44*Calculateur!DD44*VLOOKUP('Données projet'!$B$13,Paramètres!$A$1:$I$88,3,0)*0.475*44/12</f>
        <v>#N/A</v>
      </c>
      <c r="DH44" s="23" t="e">
        <f>EXP(-LN(2)/2)*DH43+(1-EXP(-LN(2)/2))/(LN(2)/2)*DB44*DE44*VLOOKUP('Données projet'!$B$13,Paramètres!$A$1:$I$88,3,0)*0.475*44/12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65.730256734020827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projet'!$B$14,Paramètres!$A$1:$I$88,3,0)*VLOOKUP('Données projet'!$B$14,Paramètres!$A$1:$I$88,5,0)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projet'!$B$14,Paramètres!$A$1:$I$88,7,0))</f>
        <v>0</v>
      </c>
      <c r="DY44" s="17">
        <f>IF(ISNA(VLOOKUP(A44,'Données projet'!$A$165:$I$185,6,0)),0%,VLOOKUP(A44,'Données projet'!$A$165:$I$185,6,0)*VLOOKUP('Données projet'!$B$14,Paramètres!$A$1:$I$88,7,0))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projet'!$B$14,Paramètres!$A$1:$I$88,3,0)*0.475*44/12</f>
        <v>#N/A</v>
      </c>
      <c r="EB44" s="23" t="e">
        <f>EXP(-LN(2)/25)*EB43+(1-EXP(-LN(2)/25))/(LN(2)/25)*Calculateur!DW44*Calculateur!DY44*VLOOKUP('Données projet'!$B$14,Paramètres!$A$1:$I$88,3,0)*0.475*44/12</f>
        <v>#N/A</v>
      </c>
      <c r="EC44" s="23" t="e">
        <f>EXP(-LN(2)/2)*EC43+(1-EXP(-LN(2)/2))/(LN(2)/2)*DW44*DZ44*VLOOKUP('Données projet'!$B$14,Paramètres!$A$1:$I$88,3,0)*0.475*44/12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65.730256734020827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projet'!$B$15,Paramètres!$A$1:$I$88,3,0)*VLOOKUP('Données projet'!$B$15,Paramètres!$A$1:$I$88,5,0)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projet'!$B$15,Paramètres!$A$1:$I$88,7,0))</f>
        <v>0</v>
      </c>
      <c r="ET44" s="17">
        <f>IF(ISNA(VLOOKUP(A44,'Données projet'!$A$191:$I$211,6,0)),0%,VLOOKUP(A44,'Données projet'!$A$191:$I$211,6,0)*VLOOKUP('Données projet'!$B$15,Paramètres!$A$1:$I$88,7,0))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projet'!$B$15,Paramètres!$A$1:$I$88,3,0)*0.475*44/12</f>
        <v>#N/A</v>
      </c>
      <c r="EW44" s="23" t="e">
        <f>EXP(-LN(2)/25)*EW43+(1-EXP(-LN(2)/25))/(LN(2)/25)*Calculateur!ER44*Calculateur!ET44*VLOOKUP('Données projet'!$B$15,Paramètres!$A$1:$I$88,3,0)*0.475*44/12</f>
        <v>#N/A</v>
      </c>
      <c r="EX44" s="23" t="e">
        <f>EXP(-LN(2)/2)*EX43+(1-EXP(-LN(2)/2))/(LN(2)/2)*ER44*EU44*VLOOKUP('Données projet'!$B$15,Paramètres!$A$1:$I$88,3,0)*0.475*44/12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65.730256734020827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projet'!$B$16,Paramètres!$A$1:$I$88,3,0)*VLOOKUP('Données projet'!$B$16,Paramètres!$A$1:$I$88,5,0)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projet'!$B$16,Paramètres!$A$1:$I$88,7,0))</f>
        <v>0</v>
      </c>
      <c r="FO44" s="17">
        <f>IF(ISNA(VLOOKUP(A44,'Données projet'!$A$217:$I$237,6,0)),0%,VLOOKUP(A44,'Données projet'!$A$217:$I$237,6,0)*VLOOKUP('Données projet'!$B$16,Paramètres!$A$1:$I$88,7,0))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projet'!$B$16,Paramètres!$A$1:$I$88,3,0)*0.475*44/12</f>
        <v>#N/A</v>
      </c>
      <c r="FR44" s="23" t="e">
        <f>EXP(-LN(2)/25)*FR43+(1-EXP(-LN(2)/25))/(LN(2)/25)*Calculateur!FM44*Calculateur!FO44*VLOOKUP('Données projet'!$B$16,Paramètres!$A$1:$I$88,3,0)*0.475*44/12</f>
        <v>#N/A</v>
      </c>
      <c r="FS44" s="23" t="e">
        <f>EXP(-LN(2)/2)*FS43+(1-EXP(-LN(2)/2))/(LN(2)/2)*FM44*FP44*VLOOKUP('Données projet'!$B$16,Paramètres!$A$1:$I$88,3,0)*0.475*44/12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65.730256734020827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projet'!$B$17,Paramètres!$A$1:$I$88,3,0)*VLOOKUP('Données projet'!$B$17,Paramètres!$A$1:$I$88,5,0)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projet'!$B$17,Paramètres!$A$1:$I$88,7,0))</f>
        <v>0</v>
      </c>
      <c r="GJ44" s="17">
        <f>IF(ISNA(VLOOKUP(A44,'Données projet'!$A$243:$I$263,6,0)),0%,VLOOKUP(A44,'Données projet'!$A$243:$I$263,6,0)*VLOOKUP('Données projet'!$B$17,Paramètres!$A$1:$I$88,7,0))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projet'!$B$17,Paramètres!$A$1:$I$88,3,0)*0.475*44/12</f>
        <v>#N/A</v>
      </c>
      <c r="GM44" s="23" t="e">
        <f>EXP(-LN(2)/25)*GM43+(1-EXP(-LN(2)/25))/(LN(2)/25)*Calculateur!GH44*Calculateur!GJ44*VLOOKUP('Données projet'!$B$17,Paramètres!$A$1:$I$88,3,0)*0.475*44/12</f>
        <v>#N/A</v>
      </c>
      <c r="GN44" s="23" t="e">
        <f>EXP(-LN(2)/2)*GN43+(1-EXP(-LN(2)/2))/(LN(2)/2)*GH44*GK44*VLOOKUP('Données projet'!$B$17,Paramètres!$A$1:$I$88,3,0)*0.475*44/12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65.730256734020827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projet'!$B$18,Paramètres!$A$1:$I$88,3,0)*VLOOKUP('Données projet'!$B$18,Paramètres!$A$1:$I$88,5,0)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projet'!$B$18,Paramètres!$A$1:$I$88,7,0))</f>
        <v>0</v>
      </c>
      <c r="HE44" s="17">
        <f>IF(ISNA(VLOOKUP(A44,'Données projet'!$A$269:$I$289,6,0)),0%,VLOOKUP(A44,'Données projet'!$A$269:$I$289,6,0)*VLOOKUP('Données projet'!$B$18,Paramètres!$A$1:$I$88,7,0))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projet'!$B$18,Paramètres!$A$1:$I$88,3,0)*0.475*44/12</f>
        <v>#N/A</v>
      </c>
      <c r="HH44" s="23" t="e">
        <f>EXP(-LN(2)/25)*HH43+(1-EXP(-LN(2)/25))/(LN(2)/25)*Calculateur!HC44*Calculateur!HE44*VLOOKUP('Données projet'!$B$18,Paramètres!$A$1:$I$88,3,0)*0.475*44/12</f>
        <v>#N/A</v>
      </c>
      <c r="HI44" s="23" t="e">
        <f>EXP(-LN(2)/2)*HI43+(1-EXP(-LN(2)/2))/(LN(2)/2)*HC44*HF44*VLOOKUP('Données projet'!$B$18,Paramètres!$A$1:$I$88,3,0)*0.475*44/12</f>
        <v>#N/A</v>
      </c>
      <c r="HJ44" s="24" t="e">
        <f t="shared" si="30"/>
        <v>#N/A</v>
      </c>
    </row>
    <row r="45" spans="1:218" s="5" customFormat="1" x14ac:dyDescent="0.35">
      <c r="A45" s="11">
        <f t="shared" si="31"/>
        <v>42</v>
      </c>
      <c r="B45" s="77">
        <f>'Scénario référence'!$B$16*5+'Scénario référence'!$B$17*0+'Scénario référence'!$B$18*5</f>
        <v>1.75</v>
      </c>
      <c r="C45" s="20">
        <f>Calculateur!C44+'Scénario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45" s="12">
        <f t="shared" si="3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6.416666666666667</v>
      </c>
      <c r="H45" s="70">
        <f t="shared" si="1"/>
        <v>231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65.804327233969673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19</v>
      </c>
      <c r="N45" s="14">
        <f>IF('Données projet'!$A$36&gt;35,N44+M45-V44,IF(A45&lt;'Données projet'!$A$36,$K$205^A45,IF(A45='Données projet'!$A$36,'Données projet'!$B$36,N44+M45-V44)))</f>
        <v>368.00000000000011</v>
      </c>
      <c r="O45" s="14">
        <f>N45*VLOOKUP('Données projet'!$B$9,Paramètres!$A$1:$I$88,3,0)*VLOOKUP('Données projet'!$B$9,Paramètres!$A$1:$I$88,5,0)</f>
        <v>205.71200000000005</v>
      </c>
      <c r="P45" s="14">
        <f t="shared" si="33"/>
        <v>50.997427696933762</v>
      </c>
      <c r="Q45" s="22">
        <f t="shared" si="53"/>
        <v>447.10225323882634</v>
      </c>
      <c r="R45" s="62">
        <f t="shared" si="0"/>
        <v>725.05145309671514</v>
      </c>
      <c r="S45" s="62">
        <f ca="1">AVERAGE(OFFSET($R$3,0,0,'Données projet'!$E$9+1,1))-AVERAGE(OFFSET($H$3,0,0,'Données projet'!$E$9+1,1))</f>
        <v>341.05096821796769</v>
      </c>
      <c r="T45" s="62">
        <f t="shared" si="34"/>
        <v>400.72519822215168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projet'!$B$9,Paramètres!$A$1:$I$88,7,0))</f>
        <v>0</v>
      </c>
      <c r="X45" s="17">
        <f>IF(ISNA(VLOOKUP(A45,'Données projet'!$A$35:$I$55,6,0)),0%,VLOOKUP(A45,'Données projet'!$A$35:$I$55,6,0)*VLOOKUP('Données projet'!$B$9,Paramètres!$A$1:$I$88,7,0))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projet'!$B$9,Paramètres!$A$1:$I$88,3,0)*0.475*44/12</f>
        <v>18.871740466218466</v>
      </c>
      <c r="AA45" s="23">
        <f>EXP(-LN(2)/25)*AA44+(1-EXP(-LN(2)/25))/(LN(2)/25)*Calculateur!V45*Calculateur!X45*VLOOKUP('Données projet'!$B$9,Paramètres!$A$1:$I$88,3,0)*0.475*44/12</f>
        <v>39.082326586971142</v>
      </c>
      <c r="AB45" s="23">
        <f>EXP(-LN(2)/2)*AB44+(1-EXP(-LN(2)/2))/(LN(2)/2)*V45*Y45*VLOOKUP('Données projet'!$B$9,Paramètres!$A$1:$I$88,3,0)*0.475*44/12</f>
        <v>0</v>
      </c>
      <c r="AC45" s="24">
        <f t="shared" si="3"/>
        <v>57.954067053189604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65.804327233969673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7.4000000000000012</v>
      </c>
      <c r="AI45" s="14">
        <f>IF('Données projet'!$A$62&gt;35,AI44+AH45-AQ44,IF(A45&lt;'Données projet'!$A$62,$AF$205^A45,IF(A45='Données projet'!$A$62,'Données projet'!$B$62,AI44+AH45-AQ44)))</f>
        <v>198.40000000000006</v>
      </c>
      <c r="AJ45" s="14">
        <f>AI45*VLOOKUP('Données projet'!$B$10,Paramètres!$A$1:$I$88,3,0)*VLOOKUP('Données projet'!$B$10,Paramètres!$A$1:$I$88,5,0)</f>
        <v>118.64320000000005</v>
      </c>
      <c r="AK45" s="14">
        <f t="shared" si="35"/>
        <v>31.35833885368346</v>
      </c>
      <c r="AL45" s="22">
        <f t="shared" si="4"/>
        <v>261.25268017016543</v>
      </c>
      <c r="AM45" s="62">
        <f t="shared" si="5"/>
        <v>539.20188002805423</v>
      </c>
      <c r="AN45" s="62">
        <f ca="1">AVERAGE(OFFSET($AM$3,0,0,'Données projet'!$E$10+1,1))-AVERAGE(OFFSET($H$3,0,0,'Données projet'!$E$10+1,1))</f>
        <v>231.96474801342879</v>
      </c>
      <c r="AO45" s="62">
        <f t="shared" si="36"/>
        <v>237.75726086383668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projet'!$B$10,Paramètres!$A$1:$I$88,7,0))</f>
        <v>0</v>
      </c>
      <c r="AS45" s="17">
        <f>IF(ISNA(VLOOKUP(A45,'Données projet'!$A$61:$I$81,6,0)),0%,VLOOKUP(A45,'Données projet'!$A$61:$I$81,6,0)*VLOOKUP('Données projet'!$B$10,Paramètres!$A$1:$I$88,7,0))</f>
        <v>0</v>
      </c>
      <c r="AT45" s="17">
        <f>IF(ISNA(VLOOKUP(A45,'Données projet'!$A$61:$I$81,7,0)),0%,VLOOKUP(A45,'Données projet'!$A$61:$I$81,7,0))</f>
        <v>0</v>
      </c>
      <c r="AU45" s="23">
        <f>EXP(-LN(2)/35)*AU44+(1-EXP(-LN(2)/35))/(LN(2)/35)*AQ45*AR45*VLOOKUP('Données projet'!$B$10,Paramètres!$A$1:$I$88,3,0)*0.475*44/12</f>
        <v>8.1254578007623461</v>
      </c>
      <c r="AV45" s="23">
        <f>EXP(-LN(2)/25)*AV44+(1-EXP(-LN(2)/25))/(LN(2)/25)*Calculateur!AQ45*Calculateur!AS45*VLOOKUP('Données projet'!$B$10,Paramètres!$A$1:$I$88,3,0)*0.475*44/12</f>
        <v>22.016228507694702</v>
      </c>
      <c r="AW45" s="23">
        <f>EXP(-LN(2)/2)*AW44+(1-EXP(-LN(2)/2))/(LN(2)/2)*AQ45*AT45*VLOOKUP('Données projet'!$B$10,Paramètres!$A$1:$I$88,3,0)*0.475*44/12</f>
        <v>0</v>
      </c>
      <c r="AX45" s="23">
        <f t="shared" si="6"/>
        <v>30.141686308457047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65.804327233969673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6.5217391304347823</v>
      </c>
      <c r="BD45" s="13">
        <f>IF('Données projet'!$A$88&gt;35,BD44+BC45-BL44,IF(A45&lt;'Données projet'!$A$88,$BA$205^A45,IF(A45='Données projet'!$A$88,'Données projet'!$B$88,BD44+BC45-BL44)))</f>
        <v>273.91304347826093</v>
      </c>
      <c r="BE45" s="14">
        <f>BD45*VLOOKUP('Données projet'!$B$11,Paramètres!$A$1:$I$88,3,0)*VLOOKUP('Données projet'!$B$11,Paramètres!$A$1:$I$88,5,0)</f>
        <v>128.19130434782613</v>
      </c>
      <c r="BF45" s="14">
        <f t="shared" si="37"/>
        <v>33.578082687056693</v>
      </c>
      <c r="BG45" s="22">
        <f t="shared" si="7"/>
        <v>281.74834908575423</v>
      </c>
      <c r="BH45" s="62">
        <f t="shared" si="8"/>
        <v>559.69754894364303</v>
      </c>
      <c r="BI45" s="62">
        <f ca="1">AVERAGE(OFFSET($BH$3,0,0,'Données projet'!$E$11+1,1))-AVERAGE(OFFSET($H$3,0,0,'Données projet'!$E$11+1,1))</f>
        <v>364.96458059055169</v>
      </c>
      <c r="BJ45" s="62">
        <f t="shared" si="38"/>
        <v>246.27159120786257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projet'!$B$11,Paramètres!$A$1:$I$88,7,0))</f>
        <v>0</v>
      </c>
      <c r="BN45" s="17">
        <f>IF(ISNA(VLOOKUP(A45,'Données projet'!$A$87:$I$107,6,0)),0%,VLOOKUP(A45,'Données projet'!$A$87:$I$107,6,0)*VLOOKUP('Données projet'!$B$11,Paramètres!$A$1:$I$88,7,0))</f>
        <v>0</v>
      </c>
      <c r="BO45" s="17">
        <f>IF(ISNA(VLOOKUP(A45,'Données projet'!$A$87:$I$107,7,0)),0%,VLOOKUP(A45,'Données projet'!$A$87:$I$107,7,0))</f>
        <v>0</v>
      </c>
      <c r="BP45" s="23">
        <f>EXP(-LN(2)/35)*BP44+(1-EXP(-LN(2)/35))/(LN(2)/35)*BL45*BM45*VLOOKUP('Données projet'!$B$11,Paramètres!$A$1:$I$88,3,0)*0.475*44/12</f>
        <v>0</v>
      </c>
      <c r="BQ45" s="23">
        <f>EXP(-LN(2)/25)*BQ44+(1-EXP(-LN(2)/25))/(LN(2)/25)*Calculateur!BL45*Calculateur!BN45*VLOOKUP('Données projet'!$B$11,Paramètres!$A$1:$I$88,3,0)*0.475*44/12</f>
        <v>0</v>
      </c>
      <c r="BR45" s="23">
        <f>EXP(-LN(2)/2)*BR44+(1-EXP(-LN(2)/2))/(LN(2)/2)*BL45*BO45*VLOOKUP('Données projet'!$B$11,Paramètres!$A$1:$I$88,3,0)*0.475*44/12</f>
        <v>0</v>
      </c>
      <c r="BS45" s="24">
        <f t="shared" si="9"/>
        <v>0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65.804327233969673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4.1666667007873768</v>
      </c>
      <c r="BY45" s="13">
        <f>IF('Données projet'!$A$114&gt;35,BY44+BX45-CG44,IF(A45&lt;'Données projet'!$A$114,$BV$205^A45,IF(A45='Données projet'!$A$114,'Données projet'!$B$114,BY44+BX45-CG44)))</f>
        <v>175.00000143306974</v>
      </c>
      <c r="BZ45" s="14">
        <f>BY45*VLOOKUP('Données projet'!$B$12,Paramètres!$A$1:$I$88,3,0)*VLOOKUP('Données projet'!$B$12,Paramètres!$A$1:$I$88,5,0)</f>
        <v>177.45000145313273</v>
      </c>
      <c r="CA45" s="14">
        <f t="shared" si="39"/>
        <v>44.754388224769421</v>
      </c>
      <c r="CB45" s="22">
        <f t="shared" si="10"/>
        <v>387.00597868901286</v>
      </c>
      <c r="CC45" s="62">
        <f t="shared" si="11"/>
        <v>664.95517854690161</v>
      </c>
      <c r="CD45" s="62">
        <f ca="1">AVERAGE(OFFSET($CC$3,0,0,'Données projet'!$E$12+1,1))-AVERAGE(OFFSET($H$3,0,0,'Données projet'!$E$12+1,1))</f>
        <v>310.53598044763282</v>
      </c>
      <c r="CE45" s="62">
        <f t="shared" si="40"/>
        <v>322.01096634040596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projet'!$B$12,Paramètres!$A$1:$I$88,7,0))</f>
        <v>0</v>
      </c>
      <c r="CI45" s="17">
        <f>IF(ISNA(VLOOKUP(A45,'Données projet'!$A$113:$I$133,6,0)),0%,VLOOKUP(A45,'Données projet'!$A$113:$I$133,6,0)*VLOOKUP('Données projet'!$B$12,Paramètres!$A$1:$I$88,7,0))</f>
        <v>0</v>
      </c>
      <c r="CJ45" s="17">
        <f>IF(ISNA(VLOOKUP(A45,'Données projet'!$A$113:$I$133,7,0)),0%,VLOOKUP(A45,'Données projet'!$A$113:$I$133,7,0))</f>
        <v>0</v>
      </c>
      <c r="CK45" s="23">
        <f>EXP(-LN(2)/35)*CK44+(1-EXP(-LN(2)/35))/(LN(2)/35)*CG45*CH45*VLOOKUP('Données projet'!$B$12,Paramètres!$A$1:$I$88,3,0)*0.475*44/12</f>
        <v>0</v>
      </c>
      <c r="CL45" s="23">
        <f>EXP(-LN(2)/25)*CL44+(1-EXP(-LN(2)/25))/(LN(2)/25)*Calculateur!CG45*Calculateur!CI45*VLOOKUP('Données projet'!$B$12,Paramètres!$A$1:$I$88,3,0)*0.475*44/12</f>
        <v>0</v>
      </c>
      <c r="CM45" s="23">
        <f>EXP(-LN(2)/2)*CM44+(1-EXP(-LN(2)/2))/(LN(2)/2)*CG45*CJ45*VLOOKUP('Données projet'!$B$12,Paramètres!$A$1:$I$88,3,0)*0.475*44/12</f>
        <v>0</v>
      </c>
      <c r="CN45" s="24">
        <f t="shared" si="12"/>
        <v>0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65.804327233969673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projet'!$B$13,Paramètres!$A$1:$I$88,3,0)*VLOOKUP('Données projet'!$B$13,Paramètres!$A$1:$I$88,5,0)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projet'!$B$13,Paramètres!$A$1:$I$88,7,0))</f>
        <v>0</v>
      </c>
      <c r="DD45" s="17">
        <f>IF(ISNA(VLOOKUP(A45,'Données projet'!$A$139:$I$159,6,0)),0%,VLOOKUP(A45,'Données projet'!$A$139:$I$159,6,0)*VLOOKUP('Données projet'!$B$13,Paramètres!$A$1:$I$88,7,0))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projet'!$B$13,Paramètres!$A$1:$I$88,3,0)*0.475*44/12</f>
        <v>#N/A</v>
      </c>
      <c r="DG45" s="23" t="e">
        <f>EXP(-LN(2)/25)*DG44+(1-EXP(-LN(2)/25))/(LN(2)/25)*Calculateur!DB45*Calculateur!DD45*VLOOKUP('Données projet'!$B$13,Paramètres!$A$1:$I$88,3,0)*0.475*44/12</f>
        <v>#N/A</v>
      </c>
      <c r="DH45" s="23" t="e">
        <f>EXP(-LN(2)/2)*DH44+(1-EXP(-LN(2)/2))/(LN(2)/2)*DB45*DE45*VLOOKUP('Données projet'!$B$13,Paramètres!$A$1:$I$88,3,0)*0.475*44/12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65.804327233969673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projet'!$B$14,Paramètres!$A$1:$I$88,3,0)*VLOOKUP('Données projet'!$B$14,Paramètres!$A$1:$I$88,5,0)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projet'!$B$14,Paramètres!$A$1:$I$88,7,0))</f>
        <v>0</v>
      </c>
      <c r="DY45" s="17">
        <f>IF(ISNA(VLOOKUP(A45,'Données projet'!$A$165:$I$185,6,0)),0%,VLOOKUP(A45,'Données projet'!$A$165:$I$185,6,0)*VLOOKUP('Données projet'!$B$14,Paramètres!$A$1:$I$88,7,0))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projet'!$B$14,Paramètres!$A$1:$I$88,3,0)*0.475*44/12</f>
        <v>#N/A</v>
      </c>
      <c r="EB45" s="23" t="e">
        <f>EXP(-LN(2)/25)*EB44+(1-EXP(-LN(2)/25))/(LN(2)/25)*Calculateur!DW45*Calculateur!DY45*VLOOKUP('Données projet'!$B$14,Paramètres!$A$1:$I$88,3,0)*0.475*44/12</f>
        <v>#N/A</v>
      </c>
      <c r="EC45" s="23" t="e">
        <f>EXP(-LN(2)/2)*EC44+(1-EXP(-LN(2)/2))/(LN(2)/2)*DW45*DZ45*VLOOKUP('Données projet'!$B$14,Paramètres!$A$1:$I$88,3,0)*0.475*44/12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65.804327233969673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projet'!$B$15,Paramètres!$A$1:$I$88,3,0)*VLOOKUP('Données projet'!$B$15,Paramètres!$A$1:$I$88,5,0)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projet'!$B$15,Paramètres!$A$1:$I$88,7,0))</f>
        <v>0</v>
      </c>
      <c r="ET45" s="17">
        <f>IF(ISNA(VLOOKUP(A45,'Données projet'!$A$191:$I$211,6,0)),0%,VLOOKUP(A45,'Données projet'!$A$191:$I$211,6,0)*VLOOKUP('Données projet'!$B$15,Paramètres!$A$1:$I$88,7,0))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projet'!$B$15,Paramètres!$A$1:$I$88,3,0)*0.475*44/12</f>
        <v>#N/A</v>
      </c>
      <c r="EW45" s="23" t="e">
        <f>EXP(-LN(2)/25)*EW44+(1-EXP(-LN(2)/25))/(LN(2)/25)*Calculateur!ER45*Calculateur!ET45*VLOOKUP('Données projet'!$B$15,Paramètres!$A$1:$I$88,3,0)*0.475*44/12</f>
        <v>#N/A</v>
      </c>
      <c r="EX45" s="23" t="e">
        <f>EXP(-LN(2)/2)*EX44+(1-EXP(-LN(2)/2))/(LN(2)/2)*ER45*EU45*VLOOKUP('Données projet'!$B$15,Paramètres!$A$1:$I$88,3,0)*0.475*44/12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65.804327233969673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projet'!$B$16,Paramètres!$A$1:$I$88,3,0)*VLOOKUP('Données projet'!$B$16,Paramètres!$A$1:$I$88,5,0)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projet'!$B$16,Paramètres!$A$1:$I$88,7,0))</f>
        <v>0</v>
      </c>
      <c r="FO45" s="17">
        <f>IF(ISNA(VLOOKUP(A45,'Données projet'!$A$217:$I$237,6,0)),0%,VLOOKUP(A45,'Données projet'!$A$217:$I$237,6,0)*VLOOKUP('Données projet'!$B$16,Paramètres!$A$1:$I$88,7,0))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projet'!$B$16,Paramètres!$A$1:$I$88,3,0)*0.475*44/12</f>
        <v>#N/A</v>
      </c>
      <c r="FR45" s="23" t="e">
        <f>EXP(-LN(2)/25)*FR44+(1-EXP(-LN(2)/25))/(LN(2)/25)*Calculateur!FM45*Calculateur!FO45*VLOOKUP('Données projet'!$B$16,Paramètres!$A$1:$I$88,3,0)*0.475*44/12</f>
        <v>#N/A</v>
      </c>
      <c r="FS45" s="23" t="e">
        <f>EXP(-LN(2)/2)*FS44+(1-EXP(-LN(2)/2))/(LN(2)/2)*FM45*FP45*VLOOKUP('Données projet'!$B$16,Paramètres!$A$1:$I$88,3,0)*0.475*44/12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65.804327233969673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projet'!$B$17,Paramètres!$A$1:$I$88,3,0)*VLOOKUP('Données projet'!$B$17,Paramètres!$A$1:$I$88,5,0)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projet'!$B$17,Paramètres!$A$1:$I$88,7,0))</f>
        <v>0</v>
      </c>
      <c r="GJ45" s="17">
        <f>IF(ISNA(VLOOKUP(A45,'Données projet'!$A$243:$I$263,6,0)),0%,VLOOKUP(A45,'Données projet'!$A$243:$I$263,6,0)*VLOOKUP('Données projet'!$B$17,Paramètres!$A$1:$I$88,7,0))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projet'!$B$17,Paramètres!$A$1:$I$88,3,0)*0.475*44/12</f>
        <v>#N/A</v>
      </c>
      <c r="GM45" s="23" t="e">
        <f>EXP(-LN(2)/25)*GM44+(1-EXP(-LN(2)/25))/(LN(2)/25)*Calculateur!GH45*Calculateur!GJ45*VLOOKUP('Données projet'!$B$17,Paramètres!$A$1:$I$88,3,0)*0.475*44/12</f>
        <v>#N/A</v>
      </c>
      <c r="GN45" s="23" t="e">
        <f>EXP(-LN(2)/2)*GN44+(1-EXP(-LN(2)/2))/(LN(2)/2)*GH45*GK45*VLOOKUP('Données projet'!$B$17,Paramètres!$A$1:$I$88,3,0)*0.475*44/12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65.804327233969673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projet'!$B$18,Paramètres!$A$1:$I$88,3,0)*VLOOKUP('Données projet'!$B$18,Paramètres!$A$1:$I$88,5,0)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projet'!$B$18,Paramètres!$A$1:$I$88,7,0))</f>
        <v>0</v>
      </c>
      <c r="HE45" s="17">
        <f>IF(ISNA(VLOOKUP(A45,'Données projet'!$A$269:$I$289,6,0)),0%,VLOOKUP(A45,'Données projet'!$A$269:$I$289,6,0)*VLOOKUP('Données projet'!$B$18,Paramètres!$A$1:$I$88,7,0))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projet'!$B$18,Paramètres!$A$1:$I$88,3,0)*0.475*44/12</f>
        <v>#N/A</v>
      </c>
      <c r="HH45" s="23" t="e">
        <f>EXP(-LN(2)/25)*HH44+(1-EXP(-LN(2)/25))/(LN(2)/25)*Calculateur!HC45*Calculateur!HE45*VLOOKUP('Données projet'!$B$18,Paramètres!$A$1:$I$88,3,0)*0.475*44/12</f>
        <v>#N/A</v>
      </c>
      <c r="HI45" s="23" t="e">
        <f>EXP(-LN(2)/2)*HI44+(1-EXP(-LN(2)/2))/(LN(2)/2)*HC45*HF45*VLOOKUP('Données projet'!$B$18,Paramètres!$A$1:$I$88,3,0)*0.475*44/12</f>
        <v>#N/A</v>
      </c>
      <c r="HJ45" s="24" t="e">
        <f t="shared" si="30"/>
        <v>#N/A</v>
      </c>
    </row>
    <row r="46" spans="1:218" s="5" customFormat="1" x14ac:dyDescent="0.35">
      <c r="A46" s="11">
        <f t="shared" si="31"/>
        <v>43</v>
      </c>
      <c r="B46" s="77">
        <f>'Scénario référence'!$B$16*5+'Scénario référence'!$B$17*0+'Scénario référence'!$B$18*5</f>
        <v>1.75</v>
      </c>
      <c r="C46" s="20">
        <f>Calculateur!C45+'Scénario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46" s="12">
        <f t="shared" si="3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6.416666666666667</v>
      </c>
      <c r="H46" s="70">
        <f t="shared" si="1"/>
        <v>231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65.877112776341235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19</v>
      </c>
      <c r="N46" s="14">
        <f>IF('Données projet'!$A$36&gt;35,N45+M46-V45,IF(A46&lt;'Données projet'!$A$36,$K$205^A46,IF(A46='Données projet'!$A$36,'Données projet'!$B$36,N45+M46-V45)))</f>
        <v>387.00000000000011</v>
      </c>
      <c r="O46" s="14">
        <f>N46*VLOOKUP('Données projet'!$B$9,Paramètres!$A$1:$I$88,3,0)*VLOOKUP('Données projet'!$B$9,Paramètres!$A$1:$I$88,5,0)</f>
        <v>216.33300000000008</v>
      </c>
      <c r="P46" s="14">
        <f t="shared" si="33"/>
        <v>53.317103385534637</v>
      </c>
      <c r="Q46" s="22">
        <f t="shared" si="53"/>
        <v>469.6405967298063</v>
      </c>
      <c r="R46" s="62">
        <f t="shared" si="0"/>
        <v>747.85667690972423</v>
      </c>
      <c r="S46" s="62">
        <f ca="1">AVERAGE(OFFSET($R$3,0,0,'Données projet'!$E$9+1,1))-AVERAGE(OFFSET($H$3,0,0,'Données projet'!$E$9+1,1))</f>
        <v>341.05096821796769</v>
      </c>
      <c r="T46" s="62">
        <f t="shared" si="34"/>
        <v>400.72519822215168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projet'!$B$9,Paramètres!$A$1:$I$88,7,0))</f>
        <v>0</v>
      </c>
      <c r="X46" s="17">
        <f>IF(ISNA(VLOOKUP(A46,'Données projet'!$A$35:$I$55,6,0)),0%,VLOOKUP(A46,'Données projet'!$A$35:$I$55,6,0)*VLOOKUP('Données projet'!$B$9,Paramètres!$A$1:$I$88,7,0))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projet'!$B$9,Paramètres!$A$1:$I$88,3,0)*0.475*44/12</f>
        <v>18.501677146301027</v>
      </c>
      <c r="AA46" s="23">
        <f>EXP(-LN(2)/25)*AA45+(1-EXP(-LN(2)/25))/(LN(2)/25)*Calculateur!V46*Calculateur!X46*VLOOKUP('Données projet'!$B$9,Paramètres!$A$1:$I$88,3,0)*0.475*44/12</f>
        <v>38.013618311200183</v>
      </c>
      <c r="AB46" s="23">
        <f>EXP(-LN(2)/2)*AB45+(1-EXP(-LN(2)/2))/(LN(2)/2)*V46*Y46*VLOOKUP('Données projet'!$B$9,Paramètres!$A$1:$I$88,3,0)*0.475*44/12</f>
        <v>0</v>
      </c>
      <c r="AC46" s="24">
        <f t="shared" si="3"/>
        <v>56.51529545750121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65.877112776341235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7.4000000000000012</v>
      </c>
      <c r="AI46" s="14">
        <f>IF('Données projet'!$A$62&gt;35,AI45+AH46-AQ45,IF(A46&lt;'Données projet'!$A$62,$AF$205^A46,IF(A46='Données projet'!$A$62,'Données projet'!$B$62,AI45+AH46-AQ45)))</f>
        <v>205.80000000000007</v>
      </c>
      <c r="AJ46" s="14">
        <f>AI46*VLOOKUP('Données projet'!$B$10,Paramètres!$A$1:$I$88,3,0)*VLOOKUP('Données projet'!$B$10,Paramètres!$A$1:$I$88,5,0)</f>
        <v>123.06840000000005</v>
      </c>
      <c r="AK46" s="14">
        <f t="shared" si="35"/>
        <v>32.389598186893679</v>
      </c>
      <c r="AL46" s="22">
        <f t="shared" si="4"/>
        <v>270.75601350883994</v>
      </c>
      <c r="AM46" s="62">
        <f t="shared" si="5"/>
        <v>548.97209368875781</v>
      </c>
      <c r="AN46" s="62">
        <f ca="1">AVERAGE(OFFSET($AM$3,0,0,'Données projet'!$E$10+1,1))-AVERAGE(OFFSET($H$3,0,0,'Données projet'!$E$10+1,1))</f>
        <v>231.96474801342879</v>
      </c>
      <c r="AO46" s="62">
        <f t="shared" si="36"/>
        <v>237.75726086383668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projet'!$B$10,Paramètres!$A$1:$I$88,7,0))</f>
        <v>0</v>
      </c>
      <c r="AS46" s="17">
        <f>IF(ISNA(VLOOKUP(A46,'Données projet'!$A$61:$I$81,6,0)),0%,VLOOKUP(A46,'Données projet'!$A$61:$I$81,6,0)*VLOOKUP('Données projet'!$B$10,Paramètres!$A$1:$I$88,7,0))</f>
        <v>0</v>
      </c>
      <c r="AT46" s="17">
        <f>IF(ISNA(VLOOKUP(A46,'Données projet'!$A$61:$I$81,7,0)),0%,VLOOKUP(A46,'Données projet'!$A$61:$I$81,7,0))</f>
        <v>0</v>
      </c>
      <c r="AU46" s="23">
        <f>EXP(-LN(2)/35)*AU45+(1-EXP(-LN(2)/35))/(LN(2)/35)*AQ46*AR46*VLOOKUP('Données projet'!$B$10,Paramètres!$A$1:$I$88,3,0)*0.475*44/12</f>
        <v>7.9661225293292866</v>
      </c>
      <c r="AV46" s="23">
        <f>EXP(-LN(2)/25)*AV45+(1-EXP(-LN(2)/25))/(LN(2)/25)*Calculateur!AQ46*Calculateur!AS46*VLOOKUP('Données projet'!$B$10,Paramètres!$A$1:$I$88,3,0)*0.475*44/12</f>
        <v>21.414193581368654</v>
      </c>
      <c r="AW46" s="23">
        <f>EXP(-LN(2)/2)*AW45+(1-EXP(-LN(2)/2))/(LN(2)/2)*AQ46*AT46*VLOOKUP('Données projet'!$B$10,Paramètres!$A$1:$I$88,3,0)*0.475*44/12</f>
        <v>0</v>
      </c>
      <c r="AX46" s="23">
        <f t="shared" si="6"/>
        <v>29.38031611069794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65.877112776341235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6.5217391304347823</v>
      </c>
      <c r="BD46" s="13">
        <f>IF('Données projet'!$A$88&gt;35,BD45+BC46-BL45,IF(A46&lt;'Données projet'!$A$88,$BA$205^A46,IF(A46='Données projet'!$A$88,'Données projet'!$B$88,BD45+BC46-BL45)))</f>
        <v>280.43478260869574</v>
      </c>
      <c r="BE46" s="14">
        <f>BD46*VLOOKUP('Données projet'!$B$11,Paramètres!$A$1:$I$88,3,0)*VLOOKUP('Données projet'!$B$11,Paramètres!$A$1:$I$88,5,0)</f>
        <v>131.24347826086961</v>
      </c>
      <c r="BF46" s="14">
        <f t="shared" si="37"/>
        <v>34.28353125942678</v>
      </c>
      <c r="BG46" s="22">
        <f t="shared" si="7"/>
        <v>288.29287491451618</v>
      </c>
      <c r="BH46" s="62">
        <f t="shared" si="8"/>
        <v>566.50895509443399</v>
      </c>
      <c r="BI46" s="62">
        <f ca="1">AVERAGE(OFFSET($BH$3,0,0,'Données projet'!$E$11+1,1))-AVERAGE(OFFSET($H$3,0,0,'Données projet'!$E$11+1,1))</f>
        <v>364.96458059055169</v>
      </c>
      <c r="BJ46" s="62">
        <f t="shared" si="38"/>
        <v>246.27159120786257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projet'!$B$11,Paramètres!$A$1:$I$88,7,0))</f>
        <v>0</v>
      </c>
      <c r="BN46" s="17">
        <f>IF(ISNA(VLOOKUP(A46,'Données projet'!$A$87:$I$107,6,0)),0%,VLOOKUP(A46,'Données projet'!$A$87:$I$107,6,0)*VLOOKUP('Données projet'!$B$11,Paramètres!$A$1:$I$88,7,0))</f>
        <v>0</v>
      </c>
      <c r="BO46" s="17">
        <f>IF(ISNA(VLOOKUP(A46,'Données projet'!$A$87:$I$107,7,0)),0%,VLOOKUP(A46,'Données projet'!$A$87:$I$107,7,0))</f>
        <v>0</v>
      </c>
      <c r="BP46" s="23">
        <f>EXP(-LN(2)/35)*BP45+(1-EXP(-LN(2)/35))/(LN(2)/35)*BL46*BM46*VLOOKUP('Données projet'!$B$11,Paramètres!$A$1:$I$88,3,0)*0.475*44/12</f>
        <v>0</v>
      </c>
      <c r="BQ46" s="23">
        <f>EXP(-LN(2)/25)*BQ45+(1-EXP(-LN(2)/25))/(LN(2)/25)*Calculateur!BL46*Calculateur!BN46*VLOOKUP('Données projet'!$B$11,Paramètres!$A$1:$I$88,3,0)*0.475*44/12</f>
        <v>0</v>
      </c>
      <c r="BR46" s="23">
        <f>EXP(-LN(2)/2)*BR45+(1-EXP(-LN(2)/2))/(LN(2)/2)*BL46*BO46*VLOOKUP('Données projet'!$B$11,Paramètres!$A$1:$I$88,3,0)*0.475*44/12</f>
        <v>0</v>
      </c>
      <c r="BS46" s="24">
        <f t="shared" si="9"/>
        <v>0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65.877112776341235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4.1666667007873768</v>
      </c>
      <c r="BY46" s="13">
        <f>IF('Données projet'!$A$114&gt;35,BY45+BX46-CG45,IF(A46&lt;'Données projet'!$A$114,$BV$205^A46,IF(A46='Données projet'!$A$114,'Données projet'!$B$114,BY45+BX46-CG45)))</f>
        <v>179.16666813385712</v>
      </c>
      <c r="BZ46" s="14">
        <f>BY46*VLOOKUP('Données projet'!$B$12,Paramètres!$A$1:$I$88,3,0)*VLOOKUP('Données projet'!$B$12,Paramètres!$A$1:$I$88,5,0)</f>
        <v>181.67500148773112</v>
      </c>
      <c r="CA46" s="14">
        <f t="shared" si="39"/>
        <v>45.694642008009673</v>
      </c>
      <c r="CB46" s="22">
        <f t="shared" si="10"/>
        <v>396.00212908841519</v>
      </c>
      <c r="CC46" s="62">
        <f t="shared" si="11"/>
        <v>674.21820926833311</v>
      </c>
      <c r="CD46" s="62">
        <f ca="1">AVERAGE(OFFSET($CC$3,0,0,'Données projet'!$E$12+1,1))-AVERAGE(OFFSET($H$3,0,0,'Données projet'!$E$12+1,1))</f>
        <v>310.53598044763282</v>
      </c>
      <c r="CE46" s="62">
        <f t="shared" si="40"/>
        <v>322.01096634040596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projet'!$B$12,Paramètres!$A$1:$I$88,7,0))</f>
        <v>0</v>
      </c>
      <c r="CI46" s="17">
        <f>IF(ISNA(VLOOKUP(A46,'Données projet'!$A$113:$I$133,6,0)),0%,VLOOKUP(A46,'Données projet'!$A$113:$I$133,6,0)*VLOOKUP('Données projet'!$B$12,Paramètres!$A$1:$I$88,7,0))</f>
        <v>0</v>
      </c>
      <c r="CJ46" s="17">
        <f>IF(ISNA(VLOOKUP(A46,'Données projet'!$A$113:$I$133,7,0)),0%,VLOOKUP(A46,'Données projet'!$A$113:$I$133,7,0))</f>
        <v>0</v>
      </c>
      <c r="CK46" s="23">
        <f>EXP(-LN(2)/35)*CK45+(1-EXP(-LN(2)/35))/(LN(2)/35)*CG46*CH46*VLOOKUP('Données projet'!$B$12,Paramètres!$A$1:$I$88,3,0)*0.475*44/12</f>
        <v>0</v>
      </c>
      <c r="CL46" s="23">
        <f>EXP(-LN(2)/25)*CL45+(1-EXP(-LN(2)/25))/(LN(2)/25)*Calculateur!CG46*Calculateur!CI46*VLOOKUP('Données projet'!$B$12,Paramètres!$A$1:$I$88,3,0)*0.475*44/12</f>
        <v>0</v>
      </c>
      <c r="CM46" s="23">
        <f>EXP(-LN(2)/2)*CM45+(1-EXP(-LN(2)/2))/(LN(2)/2)*CG46*CJ46*VLOOKUP('Données projet'!$B$12,Paramètres!$A$1:$I$88,3,0)*0.475*44/12</f>
        <v>0</v>
      </c>
      <c r="CN46" s="24">
        <f t="shared" si="12"/>
        <v>0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65.877112776341235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projet'!$B$13,Paramètres!$A$1:$I$88,3,0)*VLOOKUP('Données projet'!$B$13,Paramètres!$A$1:$I$88,5,0)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projet'!$B$13,Paramètres!$A$1:$I$88,7,0))</f>
        <v>0</v>
      </c>
      <c r="DD46" s="17">
        <f>IF(ISNA(VLOOKUP(A46,'Données projet'!$A$139:$I$159,6,0)),0%,VLOOKUP(A46,'Données projet'!$A$139:$I$159,6,0)*VLOOKUP('Données projet'!$B$13,Paramètres!$A$1:$I$88,7,0))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projet'!$B$13,Paramètres!$A$1:$I$88,3,0)*0.475*44/12</f>
        <v>#N/A</v>
      </c>
      <c r="DG46" s="23" t="e">
        <f>EXP(-LN(2)/25)*DG45+(1-EXP(-LN(2)/25))/(LN(2)/25)*Calculateur!DB46*Calculateur!DD46*VLOOKUP('Données projet'!$B$13,Paramètres!$A$1:$I$88,3,0)*0.475*44/12</f>
        <v>#N/A</v>
      </c>
      <c r="DH46" s="23" t="e">
        <f>EXP(-LN(2)/2)*DH45+(1-EXP(-LN(2)/2))/(LN(2)/2)*DB46*DE46*VLOOKUP('Données projet'!$B$13,Paramètres!$A$1:$I$88,3,0)*0.475*44/12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65.877112776341235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projet'!$B$14,Paramètres!$A$1:$I$88,3,0)*VLOOKUP('Données projet'!$B$14,Paramètres!$A$1:$I$88,5,0)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projet'!$B$14,Paramètres!$A$1:$I$88,7,0))</f>
        <v>0</v>
      </c>
      <c r="DY46" s="17">
        <f>IF(ISNA(VLOOKUP(A46,'Données projet'!$A$165:$I$185,6,0)),0%,VLOOKUP(A46,'Données projet'!$A$165:$I$185,6,0)*VLOOKUP('Données projet'!$B$14,Paramètres!$A$1:$I$88,7,0))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projet'!$B$14,Paramètres!$A$1:$I$88,3,0)*0.475*44/12</f>
        <v>#N/A</v>
      </c>
      <c r="EB46" s="23" t="e">
        <f>EXP(-LN(2)/25)*EB45+(1-EXP(-LN(2)/25))/(LN(2)/25)*Calculateur!DW46*Calculateur!DY46*VLOOKUP('Données projet'!$B$14,Paramètres!$A$1:$I$88,3,0)*0.475*44/12</f>
        <v>#N/A</v>
      </c>
      <c r="EC46" s="23" t="e">
        <f>EXP(-LN(2)/2)*EC45+(1-EXP(-LN(2)/2))/(LN(2)/2)*DW46*DZ46*VLOOKUP('Données projet'!$B$14,Paramètres!$A$1:$I$88,3,0)*0.475*44/12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65.877112776341235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projet'!$B$15,Paramètres!$A$1:$I$88,3,0)*VLOOKUP('Données projet'!$B$15,Paramètres!$A$1:$I$88,5,0)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projet'!$B$15,Paramètres!$A$1:$I$88,7,0))</f>
        <v>0</v>
      </c>
      <c r="ET46" s="17">
        <f>IF(ISNA(VLOOKUP(A46,'Données projet'!$A$191:$I$211,6,0)),0%,VLOOKUP(A46,'Données projet'!$A$191:$I$211,6,0)*VLOOKUP('Données projet'!$B$15,Paramètres!$A$1:$I$88,7,0))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projet'!$B$15,Paramètres!$A$1:$I$88,3,0)*0.475*44/12</f>
        <v>#N/A</v>
      </c>
      <c r="EW46" s="23" t="e">
        <f>EXP(-LN(2)/25)*EW45+(1-EXP(-LN(2)/25))/(LN(2)/25)*Calculateur!ER46*Calculateur!ET46*VLOOKUP('Données projet'!$B$15,Paramètres!$A$1:$I$88,3,0)*0.475*44/12</f>
        <v>#N/A</v>
      </c>
      <c r="EX46" s="23" t="e">
        <f>EXP(-LN(2)/2)*EX45+(1-EXP(-LN(2)/2))/(LN(2)/2)*ER46*EU46*VLOOKUP('Données projet'!$B$15,Paramètres!$A$1:$I$88,3,0)*0.475*44/12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65.877112776341235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projet'!$B$16,Paramètres!$A$1:$I$88,3,0)*VLOOKUP('Données projet'!$B$16,Paramètres!$A$1:$I$88,5,0)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projet'!$B$16,Paramètres!$A$1:$I$88,7,0))</f>
        <v>0</v>
      </c>
      <c r="FO46" s="17">
        <f>IF(ISNA(VLOOKUP(A46,'Données projet'!$A$217:$I$237,6,0)),0%,VLOOKUP(A46,'Données projet'!$A$217:$I$237,6,0)*VLOOKUP('Données projet'!$B$16,Paramètres!$A$1:$I$88,7,0))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projet'!$B$16,Paramètres!$A$1:$I$88,3,0)*0.475*44/12</f>
        <v>#N/A</v>
      </c>
      <c r="FR46" s="23" t="e">
        <f>EXP(-LN(2)/25)*FR45+(1-EXP(-LN(2)/25))/(LN(2)/25)*Calculateur!FM46*Calculateur!FO46*VLOOKUP('Données projet'!$B$16,Paramètres!$A$1:$I$88,3,0)*0.475*44/12</f>
        <v>#N/A</v>
      </c>
      <c r="FS46" s="23" t="e">
        <f>EXP(-LN(2)/2)*FS45+(1-EXP(-LN(2)/2))/(LN(2)/2)*FM46*FP46*VLOOKUP('Données projet'!$B$16,Paramètres!$A$1:$I$88,3,0)*0.475*44/12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65.877112776341235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projet'!$B$17,Paramètres!$A$1:$I$88,3,0)*VLOOKUP('Données projet'!$B$17,Paramètres!$A$1:$I$88,5,0)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projet'!$B$17,Paramètres!$A$1:$I$88,7,0))</f>
        <v>0</v>
      </c>
      <c r="GJ46" s="17">
        <f>IF(ISNA(VLOOKUP(A46,'Données projet'!$A$243:$I$263,6,0)),0%,VLOOKUP(A46,'Données projet'!$A$243:$I$263,6,0)*VLOOKUP('Données projet'!$B$17,Paramètres!$A$1:$I$88,7,0))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projet'!$B$17,Paramètres!$A$1:$I$88,3,0)*0.475*44/12</f>
        <v>#N/A</v>
      </c>
      <c r="GM46" s="23" t="e">
        <f>EXP(-LN(2)/25)*GM45+(1-EXP(-LN(2)/25))/(LN(2)/25)*Calculateur!GH46*Calculateur!GJ46*VLOOKUP('Données projet'!$B$17,Paramètres!$A$1:$I$88,3,0)*0.475*44/12</f>
        <v>#N/A</v>
      </c>
      <c r="GN46" s="23" t="e">
        <f>EXP(-LN(2)/2)*GN45+(1-EXP(-LN(2)/2))/(LN(2)/2)*GH46*GK46*VLOOKUP('Données projet'!$B$17,Paramètres!$A$1:$I$88,3,0)*0.475*44/12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65.877112776341235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projet'!$B$18,Paramètres!$A$1:$I$88,3,0)*VLOOKUP('Données projet'!$B$18,Paramètres!$A$1:$I$88,5,0)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projet'!$B$18,Paramètres!$A$1:$I$88,7,0))</f>
        <v>0</v>
      </c>
      <c r="HE46" s="17">
        <f>IF(ISNA(VLOOKUP(A46,'Données projet'!$A$269:$I$289,6,0)),0%,VLOOKUP(A46,'Données projet'!$A$269:$I$289,6,0)*VLOOKUP('Données projet'!$B$18,Paramètres!$A$1:$I$88,7,0))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projet'!$B$18,Paramètres!$A$1:$I$88,3,0)*0.475*44/12</f>
        <v>#N/A</v>
      </c>
      <c r="HH46" s="23" t="e">
        <f>EXP(-LN(2)/25)*HH45+(1-EXP(-LN(2)/25))/(LN(2)/25)*Calculateur!HC46*Calculateur!HE46*VLOOKUP('Données projet'!$B$18,Paramètres!$A$1:$I$88,3,0)*0.475*44/12</f>
        <v>#N/A</v>
      </c>
      <c r="HI46" s="23" t="e">
        <f>EXP(-LN(2)/2)*HI45+(1-EXP(-LN(2)/2))/(LN(2)/2)*HC46*HF46*VLOOKUP('Données projet'!$B$18,Paramètres!$A$1:$I$88,3,0)*0.475*44/12</f>
        <v>#N/A</v>
      </c>
      <c r="HJ46" s="24" t="e">
        <f t="shared" si="30"/>
        <v>#N/A</v>
      </c>
    </row>
    <row r="47" spans="1:218" s="5" customFormat="1" x14ac:dyDescent="0.35">
      <c r="A47" s="11">
        <f t="shared" si="31"/>
        <v>44</v>
      </c>
      <c r="B47" s="77">
        <f>'Scénario référence'!$B$16*5+'Scénario référence'!$B$17*0+'Scénario référence'!$B$18*5</f>
        <v>1.75</v>
      </c>
      <c r="C47" s="20">
        <f>Calculateur!C46+'Scénario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47" s="12">
        <f t="shared" si="3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6.416666666666667</v>
      </c>
      <c r="H47" s="70">
        <f t="shared" si="1"/>
        <v>231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65.948635652276749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19</v>
      </c>
      <c r="N47" s="14">
        <f>IF('Données projet'!$A$36&gt;35,N46+M47-V46,IF(A47&lt;'Données projet'!$A$36,$K$205^A47,IF(A47='Données projet'!$A$36,'Données projet'!$B$36,N46+M47-V46)))</f>
        <v>406.00000000000011</v>
      </c>
      <c r="O47" s="14">
        <f>N47*VLOOKUP('Données projet'!$B$9,Paramètres!$A$1:$I$88,3,0)*VLOOKUP('Données projet'!$B$9,Paramètres!$A$1:$I$88,5,0)</f>
        <v>226.95400000000006</v>
      </c>
      <c r="P47" s="14">
        <f t="shared" si="33"/>
        <v>55.623554954078735</v>
      </c>
      <c r="Q47" s="22">
        <f t="shared" si="53"/>
        <v>492.15590821168718</v>
      </c>
      <c r="R47" s="62">
        <f t="shared" si="0"/>
        <v>770.63423893670188</v>
      </c>
      <c r="S47" s="62">
        <f ca="1">AVERAGE(OFFSET($R$3,0,0,'Données projet'!$E$9+1,1))-AVERAGE(OFFSET($H$3,0,0,'Données projet'!$E$9+1,1))</f>
        <v>341.05096821796769</v>
      </c>
      <c r="T47" s="62">
        <f t="shared" si="34"/>
        <v>400.72519822215168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projet'!$B$9,Paramètres!$A$1:$I$88,7,0))</f>
        <v>0</v>
      </c>
      <c r="X47" s="17">
        <f>IF(ISNA(VLOOKUP(A47,'Données projet'!$A$35:$I$55,6,0)),0%,VLOOKUP(A47,'Données projet'!$A$35:$I$55,6,0)*VLOOKUP('Données projet'!$B$9,Paramètres!$A$1:$I$88,7,0))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projet'!$B$9,Paramètres!$A$1:$I$88,3,0)*0.475*44/12</f>
        <v>18.138870542370832</v>
      </c>
      <c r="AA47" s="23">
        <f>EXP(-LN(2)/25)*AA46+(1-EXP(-LN(2)/25))/(LN(2)/25)*Calculateur!V47*Calculateur!X47*VLOOKUP('Données projet'!$B$9,Paramètres!$A$1:$I$88,3,0)*0.475*44/12</f>
        <v>36.974133919431111</v>
      </c>
      <c r="AB47" s="23">
        <f>EXP(-LN(2)/2)*AB46+(1-EXP(-LN(2)/2))/(LN(2)/2)*V47*Y47*VLOOKUP('Données projet'!$B$9,Paramètres!$A$1:$I$88,3,0)*0.475*44/12</f>
        <v>0</v>
      </c>
      <c r="AC47" s="24">
        <f t="shared" si="3"/>
        <v>55.113004461801943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65.948635652276749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7.4000000000000012</v>
      </c>
      <c r="AI47" s="14">
        <f>IF('Données projet'!$A$62&gt;35,AI46+AH47-AQ46,IF(A47&lt;'Données projet'!$A$62,$AF$205^A47,IF(A47='Données projet'!$A$62,'Données projet'!$B$62,AI46+AH47-AQ46)))</f>
        <v>213.20000000000007</v>
      </c>
      <c r="AJ47" s="14">
        <f>AI47*VLOOKUP('Données projet'!$B$10,Paramètres!$A$1:$I$88,3,0)*VLOOKUP('Données projet'!$B$10,Paramètres!$A$1:$I$88,5,0)</f>
        <v>127.49360000000004</v>
      </c>
      <c r="AK47" s="14">
        <f t="shared" si="35"/>
        <v>33.416549303279808</v>
      </c>
      <c r="AL47" s="22">
        <f t="shared" si="4"/>
        <v>280.25184336987905</v>
      </c>
      <c r="AM47" s="62">
        <f t="shared" si="5"/>
        <v>558.73017409489375</v>
      </c>
      <c r="AN47" s="62">
        <f ca="1">AVERAGE(OFFSET($AM$3,0,0,'Données projet'!$E$10+1,1))-AVERAGE(OFFSET($H$3,0,0,'Données projet'!$E$10+1,1))</f>
        <v>231.96474801342879</v>
      </c>
      <c r="AO47" s="62">
        <f t="shared" si="36"/>
        <v>237.75726086383668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projet'!$B$10,Paramètres!$A$1:$I$88,7,0))</f>
        <v>0</v>
      </c>
      <c r="AS47" s="17">
        <f>IF(ISNA(VLOOKUP(A47,'Données projet'!$A$61:$I$81,6,0)),0%,VLOOKUP(A47,'Données projet'!$A$61:$I$81,6,0)*VLOOKUP('Données projet'!$B$10,Paramètres!$A$1:$I$88,7,0))</f>
        <v>0</v>
      </c>
      <c r="AT47" s="17">
        <f>IF(ISNA(VLOOKUP(A47,'Données projet'!$A$61:$I$81,7,0)),0%,VLOOKUP(A47,'Données projet'!$A$61:$I$81,7,0))</f>
        <v>0</v>
      </c>
      <c r="AU47" s="23">
        <f>EXP(-LN(2)/35)*AU46+(1-EXP(-LN(2)/35))/(LN(2)/35)*AQ47*AR47*VLOOKUP('Données projet'!$B$10,Paramètres!$A$1:$I$88,3,0)*0.475*44/12</f>
        <v>7.8099117253841097</v>
      </c>
      <c r="AV47" s="23">
        <f>EXP(-LN(2)/25)*AV46+(1-EXP(-LN(2)/25))/(LN(2)/25)*Calculateur!AQ47*Calculateur!AS47*VLOOKUP('Données projet'!$B$10,Paramètres!$A$1:$I$88,3,0)*0.475*44/12</f>
        <v>20.82862133176263</v>
      </c>
      <c r="AW47" s="23">
        <f>EXP(-LN(2)/2)*AW46+(1-EXP(-LN(2)/2))/(LN(2)/2)*AQ47*AT47*VLOOKUP('Données projet'!$B$10,Paramètres!$A$1:$I$88,3,0)*0.475*44/12</f>
        <v>0</v>
      </c>
      <c r="AX47" s="23">
        <f t="shared" si="6"/>
        <v>28.638533057146738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65.948635652276749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6.5217391304347823</v>
      </c>
      <c r="BD47" s="13">
        <f>IF('Données projet'!$A$88&gt;35,BD46+BC47-BL46,IF(A47&lt;'Données projet'!$A$88,$BA$205^A47,IF(A47='Données projet'!$A$88,'Données projet'!$B$88,BD46+BC47-BL46)))</f>
        <v>286.95652173913055</v>
      </c>
      <c r="BE47" s="14">
        <f>BD47*VLOOKUP('Données projet'!$B$11,Paramètres!$A$1:$I$88,3,0)*VLOOKUP('Données projet'!$B$11,Paramètres!$A$1:$I$88,5,0)</f>
        <v>134.29565217391311</v>
      </c>
      <c r="BF47" s="14">
        <f t="shared" si="37"/>
        <v>34.987072599553663</v>
      </c>
      <c r="BG47" s="22">
        <f t="shared" si="7"/>
        <v>294.83407898045465</v>
      </c>
      <c r="BH47" s="62">
        <f t="shared" si="8"/>
        <v>573.31240970546946</v>
      </c>
      <c r="BI47" s="62">
        <f ca="1">AVERAGE(OFFSET($BH$3,0,0,'Données projet'!$E$11+1,1))-AVERAGE(OFFSET($H$3,0,0,'Données projet'!$E$11+1,1))</f>
        <v>364.96458059055169</v>
      </c>
      <c r="BJ47" s="62">
        <f t="shared" si="38"/>
        <v>246.27159120786257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projet'!$B$11,Paramètres!$A$1:$I$88,7,0))</f>
        <v>0</v>
      </c>
      <c r="BN47" s="17">
        <f>IF(ISNA(VLOOKUP(A47,'Données projet'!$A$87:$I$107,6,0)),0%,VLOOKUP(A47,'Données projet'!$A$87:$I$107,6,0)*VLOOKUP('Données projet'!$B$11,Paramètres!$A$1:$I$88,7,0))</f>
        <v>0</v>
      </c>
      <c r="BO47" s="17">
        <f>IF(ISNA(VLOOKUP(A47,'Données projet'!$A$87:$I$107,7,0)),0%,VLOOKUP(A47,'Données projet'!$A$87:$I$107,7,0))</f>
        <v>0</v>
      </c>
      <c r="BP47" s="23">
        <f>EXP(-LN(2)/35)*BP46+(1-EXP(-LN(2)/35))/(LN(2)/35)*BL47*BM47*VLOOKUP('Données projet'!$B$11,Paramètres!$A$1:$I$88,3,0)*0.475*44/12</f>
        <v>0</v>
      </c>
      <c r="BQ47" s="23">
        <f>EXP(-LN(2)/25)*BQ46+(1-EXP(-LN(2)/25))/(LN(2)/25)*Calculateur!BL47*Calculateur!BN47*VLOOKUP('Données projet'!$B$11,Paramètres!$A$1:$I$88,3,0)*0.475*44/12</f>
        <v>0</v>
      </c>
      <c r="BR47" s="23">
        <f>EXP(-LN(2)/2)*BR46+(1-EXP(-LN(2)/2))/(LN(2)/2)*BL47*BO47*VLOOKUP('Données projet'!$B$11,Paramètres!$A$1:$I$88,3,0)*0.475*44/12</f>
        <v>0</v>
      </c>
      <c r="BS47" s="24">
        <f t="shared" si="9"/>
        <v>0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65.948635652276749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4.1666667007873768</v>
      </c>
      <c r="BY47" s="13">
        <f>IF('Données projet'!$A$114&gt;35,BY46+BX47-CG46,IF(A47&lt;'Données projet'!$A$114,$BV$205^A47,IF(A47='Données projet'!$A$114,'Données projet'!$B$114,BY46+BX47-CG46)))</f>
        <v>183.33333483464449</v>
      </c>
      <c r="BZ47" s="14">
        <f>BY47*VLOOKUP('Données projet'!$B$12,Paramètres!$A$1:$I$88,3,0)*VLOOKUP('Données projet'!$B$12,Paramètres!$A$1:$I$88,5,0)</f>
        <v>185.90000152232952</v>
      </c>
      <c r="CA47" s="14">
        <f t="shared" si="39"/>
        <v>46.632353745802</v>
      </c>
      <c r="CB47" s="22">
        <f t="shared" si="10"/>
        <v>404.99385209199568</v>
      </c>
      <c r="CC47" s="62">
        <f t="shared" si="11"/>
        <v>683.47218281701043</v>
      </c>
      <c r="CD47" s="62">
        <f ca="1">AVERAGE(OFFSET($CC$3,0,0,'Données projet'!$E$12+1,1))-AVERAGE(OFFSET($H$3,0,0,'Données projet'!$E$12+1,1))</f>
        <v>310.53598044763282</v>
      </c>
      <c r="CE47" s="62">
        <f t="shared" si="40"/>
        <v>322.01096634040596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projet'!$B$12,Paramètres!$A$1:$I$88,7,0))</f>
        <v>0</v>
      </c>
      <c r="CI47" s="17">
        <f>IF(ISNA(VLOOKUP(A47,'Données projet'!$A$113:$I$133,6,0)),0%,VLOOKUP(A47,'Données projet'!$A$113:$I$133,6,0)*VLOOKUP('Données projet'!$B$12,Paramètres!$A$1:$I$88,7,0))</f>
        <v>0</v>
      </c>
      <c r="CJ47" s="17">
        <f>IF(ISNA(VLOOKUP(A47,'Données projet'!$A$113:$I$133,7,0)),0%,VLOOKUP(A47,'Données projet'!$A$113:$I$133,7,0))</f>
        <v>0</v>
      </c>
      <c r="CK47" s="23">
        <f>EXP(-LN(2)/35)*CK46+(1-EXP(-LN(2)/35))/(LN(2)/35)*CG47*CH47*VLOOKUP('Données projet'!$B$12,Paramètres!$A$1:$I$88,3,0)*0.475*44/12</f>
        <v>0</v>
      </c>
      <c r="CL47" s="23">
        <f>EXP(-LN(2)/25)*CL46+(1-EXP(-LN(2)/25))/(LN(2)/25)*Calculateur!CG47*Calculateur!CI47*VLOOKUP('Données projet'!$B$12,Paramètres!$A$1:$I$88,3,0)*0.475*44/12</f>
        <v>0</v>
      </c>
      <c r="CM47" s="23">
        <f>EXP(-LN(2)/2)*CM46+(1-EXP(-LN(2)/2))/(LN(2)/2)*CG47*CJ47*VLOOKUP('Données projet'!$B$12,Paramètres!$A$1:$I$88,3,0)*0.475*44/12</f>
        <v>0</v>
      </c>
      <c r="CN47" s="24">
        <f t="shared" si="12"/>
        <v>0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65.948635652276749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projet'!$B$13,Paramètres!$A$1:$I$88,3,0)*VLOOKUP('Données projet'!$B$13,Paramètres!$A$1:$I$88,5,0)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projet'!$B$13,Paramètres!$A$1:$I$88,7,0))</f>
        <v>0</v>
      </c>
      <c r="DD47" s="17">
        <f>IF(ISNA(VLOOKUP(A47,'Données projet'!$A$139:$I$159,6,0)),0%,VLOOKUP(A47,'Données projet'!$A$139:$I$159,6,0)*VLOOKUP('Données projet'!$B$13,Paramètres!$A$1:$I$88,7,0))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projet'!$B$13,Paramètres!$A$1:$I$88,3,0)*0.475*44/12</f>
        <v>#N/A</v>
      </c>
      <c r="DG47" s="23" t="e">
        <f>EXP(-LN(2)/25)*DG46+(1-EXP(-LN(2)/25))/(LN(2)/25)*Calculateur!DB47*Calculateur!DD47*VLOOKUP('Données projet'!$B$13,Paramètres!$A$1:$I$88,3,0)*0.475*44/12</f>
        <v>#N/A</v>
      </c>
      <c r="DH47" s="23" t="e">
        <f>EXP(-LN(2)/2)*DH46+(1-EXP(-LN(2)/2))/(LN(2)/2)*DB47*DE47*VLOOKUP('Données projet'!$B$13,Paramètres!$A$1:$I$88,3,0)*0.475*44/12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65.948635652276749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projet'!$B$14,Paramètres!$A$1:$I$88,3,0)*VLOOKUP('Données projet'!$B$14,Paramètres!$A$1:$I$88,5,0)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projet'!$B$14,Paramètres!$A$1:$I$88,7,0))</f>
        <v>0</v>
      </c>
      <c r="DY47" s="17">
        <f>IF(ISNA(VLOOKUP(A47,'Données projet'!$A$165:$I$185,6,0)),0%,VLOOKUP(A47,'Données projet'!$A$165:$I$185,6,0)*VLOOKUP('Données projet'!$B$14,Paramètres!$A$1:$I$88,7,0))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projet'!$B$14,Paramètres!$A$1:$I$88,3,0)*0.475*44/12</f>
        <v>#N/A</v>
      </c>
      <c r="EB47" s="23" t="e">
        <f>EXP(-LN(2)/25)*EB46+(1-EXP(-LN(2)/25))/(LN(2)/25)*Calculateur!DW47*Calculateur!DY47*VLOOKUP('Données projet'!$B$14,Paramètres!$A$1:$I$88,3,0)*0.475*44/12</f>
        <v>#N/A</v>
      </c>
      <c r="EC47" s="23" t="e">
        <f>EXP(-LN(2)/2)*EC46+(1-EXP(-LN(2)/2))/(LN(2)/2)*DW47*DZ47*VLOOKUP('Données projet'!$B$14,Paramètres!$A$1:$I$88,3,0)*0.475*44/12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65.948635652276749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projet'!$B$15,Paramètres!$A$1:$I$88,3,0)*VLOOKUP('Données projet'!$B$15,Paramètres!$A$1:$I$88,5,0)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projet'!$B$15,Paramètres!$A$1:$I$88,7,0))</f>
        <v>0</v>
      </c>
      <c r="ET47" s="17">
        <f>IF(ISNA(VLOOKUP(A47,'Données projet'!$A$191:$I$211,6,0)),0%,VLOOKUP(A47,'Données projet'!$A$191:$I$211,6,0)*VLOOKUP('Données projet'!$B$15,Paramètres!$A$1:$I$88,7,0))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projet'!$B$15,Paramètres!$A$1:$I$88,3,0)*0.475*44/12</f>
        <v>#N/A</v>
      </c>
      <c r="EW47" s="23" t="e">
        <f>EXP(-LN(2)/25)*EW46+(1-EXP(-LN(2)/25))/(LN(2)/25)*Calculateur!ER47*Calculateur!ET47*VLOOKUP('Données projet'!$B$15,Paramètres!$A$1:$I$88,3,0)*0.475*44/12</f>
        <v>#N/A</v>
      </c>
      <c r="EX47" s="23" t="e">
        <f>EXP(-LN(2)/2)*EX46+(1-EXP(-LN(2)/2))/(LN(2)/2)*ER47*EU47*VLOOKUP('Données projet'!$B$15,Paramètres!$A$1:$I$88,3,0)*0.475*44/12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65.948635652276749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projet'!$B$16,Paramètres!$A$1:$I$88,3,0)*VLOOKUP('Données projet'!$B$16,Paramètres!$A$1:$I$88,5,0)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projet'!$B$16,Paramètres!$A$1:$I$88,7,0))</f>
        <v>0</v>
      </c>
      <c r="FO47" s="17">
        <f>IF(ISNA(VLOOKUP(A47,'Données projet'!$A$217:$I$237,6,0)),0%,VLOOKUP(A47,'Données projet'!$A$217:$I$237,6,0)*VLOOKUP('Données projet'!$B$16,Paramètres!$A$1:$I$88,7,0))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projet'!$B$16,Paramètres!$A$1:$I$88,3,0)*0.475*44/12</f>
        <v>#N/A</v>
      </c>
      <c r="FR47" s="23" t="e">
        <f>EXP(-LN(2)/25)*FR46+(1-EXP(-LN(2)/25))/(LN(2)/25)*Calculateur!FM47*Calculateur!FO47*VLOOKUP('Données projet'!$B$16,Paramètres!$A$1:$I$88,3,0)*0.475*44/12</f>
        <v>#N/A</v>
      </c>
      <c r="FS47" s="23" t="e">
        <f>EXP(-LN(2)/2)*FS46+(1-EXP(-LN(2)/2))/(LN(2)/2)*FM47*FP47*VLOOKUP('Données projet'!$B$16,Paramètres!$A$1:$I$88,3,0)*0.475*44/12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65.948635652276749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projet'!$B$17,Paramètres!$A$1:$I$88,3,0)*VLOOKUP('Données projet'!$B$17,Paramètres!$A$1:$I$88,5,0)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projet'!$B$17,Paramètres!$A$1:$I$88,7,0))</f>
        <v>0</v>
      </c>
      <c r="GJ47" s="17">
        <f>IF(ISNA(VLOOKUP(A47,'Données projet'!$A$243:$I$263,6,0)),0%,VLOOKUP(A47,'Données projet'!$A$243:$I$263,6,0)*VLOOKUP('Données projet'!$B$17,Paramètres!$A$1:$I$88,7,0))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projet'!$B$17,Paramètres!$A$1:$I$88,3,0)*0.475*44/12</f>
        <v>#N/A</v>
      </c>
      <c r="GM47" s="23" t="e">
        <f>EXP(-LN(2)/25)*GM46+(1-EXP(-LN(2)/25))/(LN(2)/25)*Calculateur!GH47*Calculateur!GJ47*VLOOKUP('Données projet'!$B$17,Paramètres!$A$1:$I$88,3,0)*0.475*44/12</f>
        <v>#N/A</v>
      </c>
      <c r="GN47" s="23" t="e">
        <f>EXP(-LN(2)/2)*GN46+(1-EXP(-LN(2)/2))/(LN(2)/2)*GH47*GK47*VLOOKUP('Données projet'!$B$17,Paramètres!$A$1:$I$88,3,0)*0.475*44/12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65.948635652276749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projet'!$B$18,Paramètres!$A$1:$I$88,3,0)*VLOOKUP('Données projet'!$B$18,Paramètres!$A$1:$I$88,5,0)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projet'!$B$18,Paramètres!$A$1:$I$88,7,0))</f>
        <v>0</v>
      </c>
      <c r="HE47" s="17">
        <f>IF(ISNA(VLOOKUP(A47,'Données projet'!$A$269:$I$289,6,0)),0%,VLOOKUP(A47,'Données projet'!$A$269:$I$289,6,0)*VLOOKUP('Données projet'!$B$18,Paramètres!$A$1:$I$88,7,0))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projet'!$B$18,Paramètres!$A$1:$I$88,3,0)*0.475*44/12</f>
        <v>#N/A</v>
      </c>
      <c r="HH47" s="23" t="e">
        <f>EXP(-LN(2)/25)*HH46+(1-EXP(-LN(2)/25))/(LN(2)/25)*Calculateur!HC47*Calculateur!HE47*VLOOKUP('Données projet'!$B$18,Paramètres!$A$1:$I$88,3,0)*0.475*44/12</f>
        <v>#N/A</v>
      </c>
      <c r="HI47" s="23" t="e">
        <f>EXP(-LN(2)/2)*HI46+(1-EXP(-LN(2)/2))/(LN(2)/2)*HC47*HF47*VLOOKUP('Données projet'!$B$18,Paramètres!$A$1:$I$88,3,0)*0.475*44/12</f>
        <v>#N/A</v>
      </c>
      <c r="HJ47" s="24" t="e">
        <f t="shared" si="30"/>
        <v>#N/A</v>
      </c>
    </row>
    <row r="48" spans="1:218" s="5" customFormat="1" x14ac:dyDescent="0.35">
      <c r="A48" s="11">
        <f t="shared" si="31"/>
        <v>45</v>
      </c>
      <c r="B48" s="77">
        <f>'Scénario référence'!$B$16*5+'Scénario référence'!$B$17*0+'Scénario référence'!$B$18*5</f>
        <v>1.75</v>
      </c>
      <c r="C48" s="20">
        <f>Calculateur!C47+'Scénario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48" s="12">
        <f t="shared" si="3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6.416666666666667</v>
      </c>
      <c r="H48" s="70">
        <f t="shared" si="1"/>
        <v>231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66.018917766215978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19</v>
      </c>
      <c r="N48" s="14">
        <f>IF('Données projet'!$A$36&gt;35,N47+M48-V47,IF(A48&lt;'Données projet'!$A$36,$K$205^A48,IF(A48='Données projet'!$A$36,'Données projet'!$B$36,N47+M48-V47)))</f>
        <v>425.00000000000011</v>
      </c>
      <c r="O48" s="14">
        <f>N48*VLOOKUP('Données projet'!$B$9,Paramètres!$A$1:$I$88,3,0)*VLOOKUP('Données projet'!$B$9,Paramètres!$A$1:$I$88,5,0)</f>
        <v>237.57500000000007</v>
      </c>
      <c r="P48" s="14">
        <f t="shared" si="33"/>
        <v>57.917471937261212</v>
      </c>
      <c r="Q48" s="22">
        <f t="shared" si="53"/>
        <v>514.64938862406336</v>
      </c>
      <c r="R48" s="62">
        <f t="shared" si="0"/>
        <v>793.38542043352186</v>
      </c>
      <c r="S48" s="62">
        <f ca="1">AVERAGE(OFFSET($R$3,0,0,'Données projet'!$E$9+1,1))-AVERAGE(OFFSET($H$3,0,0,'Données projet'!$E$9+1,1))</f>
        <v>341.05096821796769</v>
      </c>
      <c r="T48" s="62">
        <f t="shared" si="34"/>
        <v>400.72519822215168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projet'!$B$9,Paramètres!$A$1:$I$88,7,0))</f>
        <v>0</v>
      </c>
      <c r="X48" s="17">
        <f>IF(ISNA(VLOOKUP(A48,'Données projet'!$A$35:$I$55,6,0)),0%,VLOOKUP(A48,'Données projet'!$A$35:$I$55,6,0)*VLOOKUP('Données projet'!$B$9,Paramètres!$A$1:$I$88,7,0))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projet'!$B$9,Paramètres!$A$1:$I$88,3,0)*0.475*44/12</f>
        <v>17.783178354653529</v>
      </c>
      <c r="AA48" s="23">
        <f>EXP(-LN(2)/25)*AA47+(1-EXP(-LN(2)/25))/(LN(2)/25)*Calculateur!V48*Calculateur!X48*VLOOKUP('Données projet'!$B$9,Paramètres!$A$1:$I$88,3,0)*0.475*44/12</f>
        <v>35.963074283019068</v>
      </c>
      <c r="AB48" s="23">
        <f>EXP(-LN(2)/2)*AB47+(1-EXP(-LN(2)/2))/(LN(2)/2)*V48*Y48*VLOOKUP('Données projet'!$B$9,Paramètres!$A$1:$I$88,3,0)*0.475*44/12</f>
        <v>0</v>
      </c>
      <c r="AC48" s="24">
        <f t="shared" si="3"/>
        <v>53.746252637672598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66.018917766215978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7.4000000000000012</v>
      </c>
      <c r="AI48" s="14">
        <f>IF('Données projet'!$A$62&gt;35,AI47+AH48-AQ47,IF(A48&lt;'Données projet'!$A$62,$AF$205^A48,IF(A48='Données projet'!$A$62,'Données projet'!$B$62,AI47+AH48-AQ47)))</f>
        <v>220.60000000000008</v>
      </c>
      <c r="AJ48" s="14">
        <f>AI48*VLOOKUP('Données projet'!$B$10,Paramètres!$A$1:$I$88,3,0)*VLOOKUP('Données projet'!$B$10,Paramètres!$A$1:$I$88,5,0)</f>
        <v>131.91880000000006</v>
      </c>
      <c r="AK48" s="14">
        <f t="shared" si="35"/>
        <v>34.439358874655909</v>
      </c>
      <c r="AL48" s="22">
        <f t="shared" si="4"/>
        <v>289.74046004002577</v>
      </c>
      <c r="AM48" s="62">
        <f t="shared" si="5"/>
        <v>568.47649184948432</v>
      </c>
      <c r="AN48" s="62">
        <f ca="1">AVERAGE(OFFSET($AM$3,0,0,'Données projet'!$E$10+1,1))-AVERAGE(OFFSET($H$3,0,0,'Données projet'!$E$10+1,1))</f>
        <v>231.96474801342879</v>
      </c>
      <c r="AO48" s="62">
        <f t="shared" si="36"/>
        <v>237.75726086383668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projet'!$B$10,Paramètres!$A$1:$I$88,7,0))</f>
        <v>0</v>
      </c>
      <c r="AS48" s="17">
        <f>IF(ISNA(VLOOKUP(A48,'Données projet'!$A$61:$I$81,6,0)),0%,VLOOKUP(A48,'Données projet'!$A$61:$I$81,6,0)*VLOOKUP('Données projet'!$B$10,Paramètres!$A$1:$I$88,7,0))</f>
        <v>0</v>
      </c>
      <c r="AT48" s="17">
        <f>IF(ISNA(VLOOKUP(A48,'Données projet'!$A$61:$I$81,7,0)),0%,VLOOKUP(A48,'Données projet'!$A$61:$I$81,7,0))</f>
        <v>0</v>
      </c>
      <c r="AU48" s="23">
        <f>EXP(-LN(2)/35)*AU47+(1-EXP(-LN(2)/35))/(LN(2)/35)*AQ48*AR48*VLOOKUP('Données projet'!$B$10,Paramètres!$A$1:$I$88,3,0)*0.475*44/12</f>
        <v>7.656764120025116</v>
      </c>
      <c r="AV48" s="23">
        <f>EXP(-LN(2)/25)*AV47+(1-EXP(-LN(2)/25))/(LN(2)/25)*Calculateur!AQ48*Calculateur!AS48*VLOOKUP('Données projet'!$B$10,Paramètres!$A$1:$I$88,3,0)*0.475*44/12</f>
        <v>20.25906158611599</v>
      </c>
      <c r="AW48" s="23">
        <f>EXP(-LN(2)/2)*AW47+(1-EXP(-LN(2)/2))/(LN(2)/2)*AQ48*AT48*VLOOKUP('Données projet'!$B$10,Paramètres!$A$1:$I$88,3,0)*0.475*44/12</f>
        <v>0</v>
      </c>
      <c r="AX48" s="23">
        <f t="shared" si="6"/>
        <v>27.915825706141106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66.018917766215978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6.5217391304347823</v>
      </c>
      <c r="BD48" s="13">
        <f>IF('Données projet'!$A$88&gt;35,BD47+BC48-BL47,IF(A48&lt;'Données projet'!$A$88,$BA$205^A48,IF(A48='Données projet'!$A$88,'Données projet'!$B$88,BD47+BC48-BL47)))</f>
        <v>293.47826086956536</v>
      </c>
      <c r="BE48" s="14">
        <f>BD48*VLOOKUP('Données projet'!$B$11,Paramètres!$A$1:$I$88,3,0)*VLOOKUP('Données projet'!$B$11,Paramètres!$A$1:$I$88,5,0)</f>
        <v>137.34782608695659</v>
      </c>
      <c r="BF48" s="14">
        <f t="shared" si="37"/>
        <v>35.688755043577345</v>
      </c>
      <c r="BG48" s="22">
        <f t="shared" si="7"/>
        <v>301.37204546901324</v>
      </c>
      <c r="BH48" s="62">
        <f t="shared" si="8"/>
        <v>580.1080772784718</v>
      </c>
      <c r="BI48" s="62">
        <f ca="1">AVERAGE(OFFSET($BH$3,0,0,'Données projet'!$E$11+1,1))-AVERAGE(OFFSET($H$3,0,0,'Données projet'!$E$11+1,1))</f>
        <v>364.96458059055169</v>
      </c>
      <c r="BJ48" s="62">
        <f t="shared" si="38"/>
        <v>246.27159120786257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projet'!$B$11,Paramètres!$A$1:$I$88,7,0))</f>
        <v>0</v>
      </c>
      <c r="BN48" s="17">
        <f>IF(ISNA(VLOOKUP(A48,'Données projet'!$A$87:$I$107,6,0)),0%,VLOOKUP(A48,'Données projet'!$A$87:$I$107,6,0)*VLOOKUP('Données projet'!$B$11,Paramètres!$A$1:$I$88,7,0))</f>
        <v>0</v>
      </c>
      <c r="BO48" s="17">
        <f>IF(ISNA(VLOOKUP(A48,'Données projet'!$A$87:$I$107,7,0)),0%,VLOOKUP(A48,'Données projet'!$A$87:$I$107,7,0))</f>
        <v>0</v>
      </c>
      <c r="BP48" s="23">
        <f>EXP(-LN(2)/35)*BP47+(1-EXP(-LN(2)/35))/(LN(2)/35)*BL48*BM48*VLOOKUP('Données projet'!$B$11,Paramètres!$A$1:$I$88,3,0)*0.475*44/12</f>
        <v>0</v>
      </c>
      <c r="BQ48" s="23">
        <f>EXP(-LN(2)/25)*BQ47+(1-EXP(-LN(2)/25))/(LN(2)/25)*Calculateur!BL48*Calculateur!BN48*VLOOKUP('Données projet'!$B$11,Paramètres!$A$1:$I$88,3,0)*0.475*44/12</f>
        <v>0</v>
      </c>
      <c r="BR48" s="23">
        <f>EXP(-LN(2)/2)*BR47+(1-EXP(-LN(2)/2))/(LN(2)/2)*BL48*BO48*VLOOKUP('Données projet'!$B$11,Paramètres!$A$1:$I$88,3,0)*0.475*44/12</f>
        <v>0</v>
      </c>
      <c r="BS48" s="24">
        <f t="shared" si="9"/>
        <v>0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66.018917766215978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4.1666667007873768</v>
      </c>
      <c r="BY48" s="13">
        <f>IF('Données projet'!$A$114&gt;35,BY47+BX48-CG47,IF(A48&lt;'Données projet'!$A$114,$BV$205^A48,IF(A48='Données projet'!$A$114,'Données projet'!$B$114,BY47+BX48-CG47)))</f>
        <v>187.50000153543186</v>
      </c>
      <c r="BZ48" s="14">
        <f>BY48*VLOOKUP('Données projet'!$B$12,Paramètres!$A$1:$I$88,3,0)*VLOOKUP('Données projet'!$B$12,Paramètres!$A$1:$I$88,5,0)</f>
        <v>190.12500155692791</v>
      </c>
      <c r="CA48" s="14">
        <f t="shared" si="39"/>
        <v>47.567587862741199</v>
      </c>
      <c r="CB48" s="22">
        <f t="shared" si="10"/>
        <v>413.98125990592365</v>
      </c>
      <c r="CC48" s="62">
        <f t="shared" si="11"/>
        <v>692.7172917153822</v>
      </c>
      <c r="CD48" s="62">
        <f ca="1">AVERAGE(OFFSET($CC$3,0,0,'Données projet'!$E$12+1,1))-AVERAGE(OFFSET($H$3,0,0,'Données projet'!$E$12+1,1))</f>
        <v>310.53598044763282</v>
      </c>
      <c r="CE48" s="62">
        <f t="shared" si="40"/>
        <v>322.01096634040596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projet'!$B$12,Paramètres!$A$1:$I$88,7,0))</f>
        <v>0</v>
      </c>
      <c r="CI48" s="17">
        <f>IF(ISNA(VLOOKUP(A48,'Données projet'!$A$113:$I$133,6,0)),0%,VLOOKUP(A48,'Données projet'!$A$113:$I$133,6,0)*VLOOKUP('Données projet'!$B$12,Paramètres!$A$1:$I$88,7,0))</f>
        <v>0</v>
      </c>
      <c r="CJ48" s="17">
        <f>IF(ISNA(VLOOKUP(A48,'Données projet'!$A$113:$I$133,7,0)),0%,VLOOKUP(A48,'Données projet'!$A$113:$I$133,7,0))</f>
        <v>0</v>
      </c>
      <c r="CK48" s="23">
        <f>EXP(-LN(2)/35)*CK47+(1-EXP(-LN(2)/35))/(LN(2)/35)*CG48*CH48*VLOOKUP('Données projet'!$B$12,Paramètres!$A$1:$I$88,3,0)*0.475*44/12</f>
        <v>0</v>
      </c>
      <c r="CL48" s="23">
        <f>EXP(-LN(2)/25)*CL47+(1-EXP(-LN(2)/25))/(LN(2)/25)*Calculateur!CG48*Calculateur!CI48*VLOOKUP('Données projet'!$B$12,Paramètres!$A$1:$I$88,3,0)*0.475*44/12</f>
        <v>0</v>
      </c>
      <c r="CM48" s="23">
        <f>EXP(-LN(2)/2)*CM47+(1-EXP(-LN(2)/2))/(LN(2)/2)*CG48*CJ48*VLOOKUP('Données projet'!$B$12,Paramètres!$A$1:$I$88,3,0)*0.475*44/12</f>
        <v>0</v>
      </c>
      <c r="CN48" s="24">
        <f t="shared" si="12"/>
        <v>0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66.018917766215978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projet'!$B$13,Paramètres!$A$1:$I$88,3,0)*VLOOKUP('Données projet'!$B$13,Paramètres!$A$1:$I$88,5,0)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projet'!$B$13,Paramètres!$A$1:$I$88,7,0))</f>
        <v>0</v>
      </c>
      <c r="DD48" s="17">
        <f>IF(ISNA(VLOOKUP(A48,'Données projet'!$A$139:$I$159,6,0)),0%,VLOOKUP(A48,'Données projet'!$A$139:$I$159,6,0)*VLOOKUP('Données projet'!$B$13,Paramètres!$A$1:$I$88,7,0))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projet'!$B$13,Paramètres!$A$1:$I$88,3,0)*0.475*44/12</f>
        <v>#N/A</v>
      </c>
      <c r="DG48" s="23" t="e">
        <f>EXP(-LN(2)/25)*DG47+(1-EXP(-LN(2)/25))/(LN(2)/25)*Calculateur!DB48*Calculateur!DD48*VLOOKUP('Données projet'!$B$13,Paramètres!$A$1:$I$88,3,0)*0.475*44/12</f>
        <v>#N/A</v>
      </c>
      <c r="DH48" s="23" t="e">
        <f>EXP(-LN(2)/2)*DH47+(1-EXP(-LN(2)/2))/(LN(2)/2)*DB48*DE48*VLOOKUP('Données projet'!$B$13,Paramètres!$A$1:$I$88,3,0)*0.475*44/12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66.018917766215978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projet'!$B$14,Paramètres!$A$1:$I$88,3,0)*VLOOKUP('Données projet'!$B$14,Paramètres!$A$1:$I$88,5,0)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projet'!$B$14,Paramètres!$A$1:$I$88,7,0))</f>
        <v>0</v>
      </c>
      <c r="DY48" s="17">
        <f>IF(ISNA(VLOOKUP(A48,'Données projet'!$A$165:$I$185,6,0)),0%,VLOOKUP(A48,'Données projet'!$A$165:$I$185,6,0)*VLOOKUP('Données projet'!$B$14,Paramètres!$A$1:$I$88,7,0))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projet'!$B$14,Paramètres!$A$1:$I$88,3,0)*0.475*44/12</f>
        <v>#N/A</v>
      </c>
      <c r="EB48" s="23" t="e">
        <f>EXP(-LN(2)/25)*EB47+(1-EXP(-LN(2)/25))/(LN(2)/25)*Calculateur!DW48*Calculateur!DY48*VLOOKUP('Données projet'!$B$14,Paramètres!$A$1:$I$88,3,0)*0.475*44/12</f>
        <v>#N/A</v>
      </c>
      <c r="EC48" s="23" t="e">
        <f>EXP(-LN(2)/2)*EC47+(1-EXP(-LN(2)/2))/(LN(2)/2)*DW48*DZ48*VLOOKUP('Données projet'!$B$14,Paramètres!$A$1:$I$88,3,0)*0.475*44/12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66.018917766215978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projet'!$B$15,Paramètres!$A$1:$I$88,3,0)*VLOOKUP('Données projet'!$B$15,Paramètres!$A$1:$I$88,5,0)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projet'!$B$15,Paramètres!$A$1:$I$88,7,0))</f>
        <v>0</v>
      </c>
      <c r="ET48" s="17">
        <f>IF(ISNA(VLOOKUP(A48,'Données projet'!$A$191:$I$211,6,0)),0%,VLOOKUP(A48,'Données projet'!$A$191:$I$211,6,0)*VLOOKUP('Données projet'!$B$15,Paramètres!$A$1:$I$88,7,0))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projet'!$B$15,Paramètres!$A$1:$I$88,3,0)*0.475*44/12</f>
        <v>#N/A</v>
      </c>
      <c r="EW48" s="23" t="e">
        <f>EXP(-LN(2)/25)*EW47+(1-EXP(-LN(2)/25))/(LN(2)/25)*Calculateur!ER48*Calculateur!ET48*VLOOKUP('Données projet'!$B$15,Paramètres!$A$1:$I$88,3,0)*0.475*44/12</f>
        <v>#N/A</v>
      </c>
      <c r="EX48" s="23" t="e">
        <f>EXP(-LN(2)/2)*EX47+(1-EXP(-LN(2)/2))/(LN(2)/2)*ER48*EU48*VLOOKUP('Données projet'!$B$15,Paramètres!$A$1:$I$88,3,0)*0.475*44/12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66.018917766215978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projet'!$B$16,Paramètres!$A$1:$I$88,3,0)*VLOOKUP('Données projet'!$B$16,Paramètres!$A$1:$I$88,5,0)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projet'!$B$16,Paramètres!$A$1:$I$88,7,0))</f>
        <v>0</v>
      </c>
      <c r="FO48" s="17">
        <f>IF(ISNA(VLOOKUP(A48,'Données projet'!$A$217:$I$237,6,0)),0%,VLOOKUP(A48,'Données projet'!$A$217:$I$237,6,0)*VLOOKUP('Données projet'!$B$16,Paramètres!$A$1:$I$88,7,0))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projet'!$B$16,Paramètres!$A$1:$I$88,3,0)*0.475*44/12</f>
        <v>#N/A</v>
      </c>
      <c r="FR48" s="23" t="e">
        <f>EXP(-LN(2)/25)*FR47+(1-EXP(-LN(2)/25))/(LN(2)/25)*Calculateur!FM48*Calculateur!FO48*VLOOKUP('Données projet'!$B$16,Paramètres!$A$1:$I$88,3,0)*0.475*44/12</f>
        <v>#N/A</v>
      </c>
      <c r="FS48" s="23" t="e">
        <f>EXP(-LN(2)/2)*FS47+(1-EXP(-LN(2)/2))/(LN(2)/2)*FM48*FP48*VLOOKUP('Données projet'!$B$16,Paramètres!$A$1:$I$88,3,0)*0.475*44/12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66.018917766215978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projet'!$B$17,Paramètres!$A$1:$I$88,3,0)*VLOOKUP('Données projet'!$B$17,Paramètres!$A$1:$I$88,5,0)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projet'!$B$17,Paramètres!$A$1:$I$88,7,0))</f>
        <v>0</v>
      </c>
      <c r="GJ48" s="17">
        <f>IF(ISNA(VLOOKUP(A48,'Données projet'!$A$243:$I$263,6,0)),0%,VLOOKUP(A48,'Données projet'!$A$243:$I$263,6,0)*VLOOKUP('Données projet'!$B$17,Paramètres!$A$1:$I$88,7,0))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projet'!$B$17,Paramètres!$A$1:$I$88,3,0)*0.475*44/12</f>
        <v>#N/A</v>
      </c>
      <c r="GM48" s="23" t="e">
        <f>EXP(-LN(2)/25)*GM47+(1-EXP(-LN(2)/25))/(LN(2)/25)*Calculateur!GH48*Calculateur!GJ48*VLOOKUP('Données projet'!$B$17,Paramètres!$A$1:$I$88,3,0)*0.475*44/12</f>
        <v>#N/A</v>
      </c>
      <c r="GN48" s="23" t="e">
        <f>EXP(-LN(2)/2)*GN47+(1-EXP(-LN(2)/2))/(LN(2)/2)*GH48*GK48*VLOOKUP('Données projet'!$B$17,Paramètres!$A$1:$I$88,3,0)*0.475*44/12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66.018917766215978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projet'!$B$18,Paramètres!$A$1:$I$88,3,0)*VLOOKUP('Données projet'!$B$18,Paramètres!$A$1:$I$88,5,0)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projet'!$B$18,Paramètres!$A$1:$I$88,7,0))</f>
        <v>0</v>
      </c>
      <c r="HE48" s="17">
        <f>IF(ISNA(VLOOKUP(A48,'Données projet'!$A$269:$I$289,6,0)),0%,VLOOKUP(A48,'Données projet'!$A$269:$I$289,6,0)*VLOOKUP('Données projet'!$B$18,Paramètres!$A$1:$I$88,7,0))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projet'!$B$18,Paramètres!$A$1:$I$88,3,0)*0.475*44/12</f>
        <v>#N/A</v>
      </c>
      <c r="HH48" s="23" t="e">
        <f>EXP(-LN(2)/25)*HH47+(1-EXP(-LN(2)/25))/(LN(2)/25)*Calculateur!HC48*Calculateur!HE48*VLOOKUP('Données projet'!$B$18,Paramètres!$A$1:$I$88,3,0)*0.475*44/12</f>
        <v>#N/A</v>
      </c>
      <c r="HI48" s="23" t="e">
        <f>EXP(-LN(2)/2)*HI47+(1-EXP(-LN(2)/2))/(LN(2)/2)*HC48*HF48*VLOOKUP('Données projet'!$B$18,Paramètres!$A$1:$I$88,3,0)*0.475*44/12</f>
        <v>#N/A</v>
      </c>
      <c r="HJ48" s="24" t="e">
        <f t="shared" si="30"/>
        <v>#N/A</v>
      </c>
    </row>
    <row r="49" spans="1:218" s="5" customFormat="1" x14ac:dyDescent="0.35">
      <c r="A49" s="11">
        <f t="shared" si="31"/>
        <v>46</v>
      </c>
      <c r="B49" s="77">
        <f>'Scénario référence'!$B$16*5+'Scénario référence'!$B$17*0+'Scénario référence'!$B$18*5</f>
        <v>1.75</v>
      </c>
      <c r="C49" s="20">
        <f>Calculateur!C48+'Scénario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49" s="12">
        <f t="shared" si="3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6.416666666666667</v>
      </c>
      <c r="H49" s="70">
        <f t="shared" si="1"/>
        <v>231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66.087980642605629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>
        <f>VLOOKUP(A49,'Données projet'!$A$35:$I$55,2,0)</f>
        <v>444</v>
      </c>
      <c r="L49" s="13">
        <f>VLOOKUP(A49,'Données projet'!$A$35:$I$55,9,0)</f>
        <v>19</v>
      </c>
      <c r="M49" s="13">
        <f t="array" ref="M49">INDEX(L:L,MIN(IF(ISNUMBER(L49:L245),ROW(L49:L245),"")))</f>
        <v>19</v>
      </c>
      <c r="N49" s="14">
        <f>IF('Données projet'!$A$36&gt;35,N48+M49-V48,IF(A49&lt;'Données projet'!$A$36,$K$205^A49,IF(A49='Données projet'!$A$36,'Données projet'!$B$36,N48+M49-V48)))</f>
        <v>444.00000000000011</v>
      </c>
      <c r="O49" s="14">
        <f>N49*VLOOKUP('Données projet'!$B$9,Paramètres!$A$1:$I$88,3,0)*VLOOKUP('Données projet'!$B$9,Paramètres!$A$1:$I$88,5,0)</f>
        <v>248.19600000000005</v>
      </c>
      <c r="P49" s="14">
        <f t="shared" si="33"/>
        <v>60.199478731755242</v>
      </c>
      <c r="Q49" s="22">
        <f t="shared" si="53"/>
        <v>537.1221254578071</v>
      </c>
      <c r="R49" s="62">
        <f t="shared" si="0"/>
        <v>816.11138781402769</v>
      </c>
      <c r="S49" s="62">
        <f ca="1">AVERAGE(OFFSET($R$3,0,0,'Données projet'!$E$9+1,1))-AVERAGE(OFFSET($H$3,0,0,'Données projet'!$E$9+1,1))</f>
        <v>341.05096821796769</v>
      </c>
      <c r="T49" s="62">
        <f t="shared" si="34"/>
        <v>400.72519822215168</v>
      </c>
      <c r="U49" s="16">
        <f>IF(ISNA(VLOOKUP(A49,'Données projet'!$A$35:$I$55,3,0)),0,VLOOKUP(A49,'Données projet'!$A$35:$I$55,3,0))</f>
        <v>4</v>
      </c>
      <c r="V49" s="16">
        <f>IF(ISNA(VLOOKUP(A49,'Données projet'!$A$35:$I$55,4,0)),0,VLOOKUP(A49,'Données projet'!$A$35:$I$55,4,0))</f>
        <v>86</v>
      </c>
      <c r="W49" s="17">
        <f>IF(ISNA(VLOOKUP(A49,'Données projet'!$A$35:$I$55,5,0)),0%,VLOOKUP(A49,'Données projet'!$A$35:$I$55,5,0)*VLOOKUP('Données projet'!$B$9,Paramètres!$A$1:$I$88,7,0))</f>
        <v>0.16500000000000001</v>
      </c>
      <c r="X49" s="17">
        <f>IF(ISNA(VLOOKUP(A49,'Données projet'!$A$35:$I$55,6,0)),0%,VLOOKUP(A49,'Données projet'!$A$35:$I$55,6,0)*VLOOKUP('Données projet'!$B$9,Paramètres!$A$1:$I$88,7,0))</f>
        <v>0.27500000000000002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projet'!$B$9,Paramètres!$A$1:$I$88,3,0)*0.475*44/12</f>
        <v>27.957048912868625</v>
      </c>
      <c r="AA49" s="23">
        <f>EXP(-LN(2)/25)*AA48+(1-EXP(-LN(2)/25))/(LN(2)/25)*Calculateur!V49*Calculateur!X49*VLOOKUP('Données projet'!$B$9,Paramètres!$A$1:$I$88,3,0)*0.475*44/12</f>
        <v>52.4482561277662</v>
      </c>
      <c r="AB49" s="23">
        <f>EXP(-LN(2)/2)*AB48+(1-EXP(-LN(2)/2))/(LN(2)/2)*V49*Y49*VLOOKUP('Données projet'!$B$9,Paramètres!$A$1:$I$88,3,0)*0.475*44/12</f>
        <v>0</v>
      </c>
      <c r="AC49" s="24">
        <f t="shared" si="3"/>
        <v>80.405305040634829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66.087980642605629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>
        <f>VLOOKUP(A49,'Données projet'!$A$61:$I$81,2,0)</f>
        <v>228</v>
      </c>
      <c r="AG49" s="13">
        <f>VLOOKUP(A49,'Données projet'!$A$61:$I$81,9,0)</f>
        <v>7.4000000000000012</v>
      </c>
      <c r="AH49" s="13">
        <f t="array" ref="AH49">INDEX(AG:AG,MIN(IF(ISNUMBER(AG49:AG245),ROW(AG49:AG245),"")))</f>
        <v>7.4000000000000012</v>
      </c>
      <c r="AI49" s="14">
        <f>IF('Données projet'!$A$62&gt;35,AI48+AH49-AQ48,IF(A49&lt;'Données projet'!$A$62,$AF$205^A49,IF(A49='Données projet'!$A$62,'Données projet'!$B$62,AI48+AH49-AQ48)))</f>
        <v>228.00000000000009</v>
      </c>
      <c r="AJ49" s="14">
        <f>AI49*VLOOKUP('Données projet'!$B$10,Paramètres!$A$1:$I$88,3,0)*VLOOKUP('Données projet'!$B$10,Paramètres!$A$1:$I$88,5,0)</f>
        <v>136.34400000000005</v>
      </c>
      <c r="AK49" s="14">
        <f t="shared" si="35"/>
        <v>35.458181756405082</v>
      </c>
      <c r="AL49" s="22">
        <f t="shared" si="4"/>
        <v>299.22213322573896</v>
      </c>
      <c r="AM49" s="62">
        <f t="shared" si="5"/>
        <v>578.21139558195955</v>
      </c>
      <c r="AN49" s="62">
        <f ca="1">AVERAGE(OFFSET($AM$3,0,0,'Données projet'!$E$10+1,1))-AVERAGE(OFFSET($H$3,0,0,'Données projet'!$E$10+1,1))</f>
        <v>231.96474801342879</v>
      </c>
      <c r="AO49" s="62">
        <f t="shared" si="36"/>
        <v>237.75726086383668</v>
      </c>
      <c r="AP49" s="16">
        <f>IF(ISNA(VLOOKUP(A49,'Données projet'!$A$61:$I$81,3,0)),0,VLOOKUP(A49,'Données projet'!$A$61:$I$81,3,0))</f>
        <v>7</v>
      </c>
      <c r="AQ49" s="16">
        <f>IF(ISNA(VLOOKUP(A49,'Données projet'!$A$61:$I$81,4,0)),0,VLOOKUP(A49,'Données projet'!$A$61:$I$81,4,0))</f>
        <v>22.9</v>
      </c>
      <c r="AR49" s="17">
        <f>IF(ISNA(VLOOKUP(A49,'Données projet'!$A$61:$I$81,5,0)),0%,VLOOKUP(A49,'Données projet'!$A$61:$I$81,5,0)*VLOOKUP('Données projet'!$B$10,Paramètres!$A$1:$I$88,7,0))</f>
        <v>0.13500000000000001</v>
      </c>
      <c r="AS49" s="17">
        <f>IF(ISNA(VLOOKUP(A49,'Données projet'!$A$61:$I$81,6,0)),0%,VLOOKUP(A49,'Données projet'!$A$61:$I$81,6,0)*VLOOKUP('Données projet'!$B$10,Paramètres!$A$1:$I$88,7,0))</f>
        <v>0.22500000000000001</v>
      </c>
      <c r="AT49" s="17">
        <f>IF(ISNA(VLOOKUP(A49,'Données projet'!$A$61:$I$81,7,0)),0%,VLOOKUP(A49,'Données projet'!$A$61:$I$81,7,0))</f>
        <v>0</v>
      </c>
      <c r="AU49" s="23">
        <f>EXP(-LN(2)/35)*AU48+(1-EXP(-LN(2)/35))/(LN(2)/35)*AQ49*AR49*VLOOKUP('Données projet'!$B$10,Paramètres!$A$1:$I$88,3,0)*0.475*44/12</f>
        <v>9.9590619061632175</v>
      </c>
      <c r="AV49" s="23">
        <f>EXP(-LN(2)/25)*AV48+(1-EXP(-LN(2)/25))/(LN(2)/25)*Calculateur!AQ49*Calculateur!AS49*VLOOKUP('Données projet'!$B$10,Paramètres!$A$1:$I$88,3,0)*0.475*44/12</f>
        <v>23.776386582889227</v>
      </c>
      <c r="AW49" s="23">
        <f>EXP(-LN(2)/2)*AW48+(1-EXP(-LN(2)/2))/(LN(2)/2)*AQ49*AT49*VLOOKUP('Données projet'!$B$10,Paramètres!$A$1:$I$88,3,0)*0.475*44/12</f>
        <v>0</v>
      </c>
      <c r="AX49" s="23">
        <f t="shared" si="6"/>
        <v>33.735448489052445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66.087980642605629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>
        <f>VLOOKUP(A49,'Données projet'!$A$87:$I$107,2,0)</f>
        <v>300</v>
      </c>
      <c r="BB49" s="13">
        <f>VLOOKUP(A49,'Données projet'!$A$87:$I$107,9,0)</f>
        <v>6.5217391304347823</v>
      </c>
      <c r="BC49" s="13">
        <f t="array" ref="BC49">INDEX(BB:BB,MIN(IF(ISNUMBER(BB49:BB245),ROW(BB49:BB245),"")))</f>
        <v>6.5217391304347823</v>
      </c>
      <c r="BD49" s="13">
        <f>IF('Données projet'!$A$88&gt;35,BD48+BC49-BL48,IF(A49&lt;'Données projet'!$A$88,$BA$205^A49,IF(A49='Données projet'!$A$88,'Données projet'!$B$88,BD48+BC49-BL48)))</f>
        <v>300.00000000000017</v>
      </c>
      <c r="BE49" s="14">
        <f>BD49*VLOOKUP('Données projet'!$B$11,Paramètres!$A$1:$I$88,3,0)*VLOOKUP('Données projet'!$B$11,Paramètres!$A$1:$I$88,5,0)</f>
        <v>140.40000000000009</v>
      </c>
      <c r="BF49" s="14">
        <f t="shared" si="37"/>
        <v>36.388624656711201</v>
      </c>
      <c r="BG49" s="22">
        <f t="shared" si="7"/>
        <v>307.90685461043881</v>
      </c>
      <c r="BH49" s="62">
        <f t="shared" si="8"/>
        <v>586.89611696665952</v>
      </c>
      <c r="BI49" s="62">
        <f ca="1">AVERAGE(OFFSET($BH$3,0,0,'Données projet'!$E$11+1,1))-AVERAGE(OFFSET($H$3,0,0,'Données projet'!$E$11+1,1))</f>
        <v>364.96458059055169</v>
      </c>
      <c r="BJ49" s="62">
        <f t="shared" si="38"/>
        <v>246.27159120786257</v>
      </c>
      <c r="BK49" s="16">
        <f>IF(ISNA(VLOOKUP(A49,'Données projet'!$A$87:$I$107,3,0)),0,VLOOKUP(A49,'Données projet'!$A$87:$I$107,3,0))</f>
        <v>1</v>
      </c>
      <c r="BL49" s="16">
        <f>IF(ISNA(VLOOKUP(A49,'Données projet'!$A$87:$I$107,4,0)),0,VLOOKUP(A49,'Données projet'!$A$87:$I$107,4,0))</f>
        <v>102</v>
      </c>
      <c r="BM49" s="17">
        <f>IF(ISNA(VLOOKUP(A49,'Données projet'!$A$87:$I$107,5,0)),0%,VLOOKUP(A49,'Données projet'!$A$87:$I$107,5,0)*VLOOKUP('Données projet'!$B$11,Paramètres!$A$1:$I$88,7,0))</f>
        <v>0.27500000000000002</v>
      </c>
      <c r="BN49" s="17">
        <f>IF(ISNA(VLOOKUP(A49,'Données projet'!$A$87:$I$107,6,0)),0%,VLOOKUP(A49,'Données projet'!$A$87:$I$107,6,0)*VLOOKUP('Données projet'!$B$11,Paramètres!$A$1:$I$88,7,0))</f>
        <v>0.27500000000000002</v>
      </c>
      <c r="BO49" s="17">
        <f>IF(ISNA(VLOOKUP(A49,'Données projet'!$A$87:$I$107,7,0)),0%,VLOOKUP(A49,'Données projet'!$A$87:$I$107,7,0))</f>
        <v>0</v>
      </c>
      <c r="BP49" s="23">
        <f>EXP(-LN(2)/35)*BP48+(1-EXP(-LN(2)/35))/(LN(2)/35)*BL49*BM49*VLOOKUP('Données projet'!$B$11,Paramètres!$A$1:$I$88,3,0)*0.475*44/12</f>
        <v>17.41434223233702</v>
      </c>
      <c r="BQ49" s="23">
        <f>EXP(-LN(2)/25)*BQ48+(1-EXP(-LN(2)/25))/(LN(2)/25)*Calculateur!BL49*Calculateur!BN49*VLOOKUP('Données projet'!$B$11,Paramètres!$A$1:$I$88,3,0)*0.475*44/12</f>
        <v>17.345775331583713</v>
      </c>
      <c r="BR49" s="23">
        <f>EXP(-LN(2)/2)*BR48+(1-EXP(-LN(2)/2))/(LN(2)/2)*BL49*BO49*VLOOKUP('Données projet'!$B$11,Paramètres!$A$1:$I$88,3,0)*0.475*44/12</f>
        <v>0</v>
      </c>
      <c r="BS49" s="24">
        <f t="shared" si="9"/>
        <v>34.76011756392073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66.087980642605629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4.1666667007873768</v>
      </c>
      <c r="BY49" s="13">
        <f>IF('Données projet'!$A$114&gt;35,BY48+BX49-CG48,IF(A49&lt;'Données projet'!$A$114,$BV$205^A49,IF(A49='Données projet'!$A$114,'Données projet'!$B$114,BY48+BX49-CG48)))</f>
        <v>191.66666823621924</v>
      </c>
      <c r="BZ49" s="14">
        <f>BY49*VLOOKUP('Données projet'!$B$12,Paramètres!$A$1:$I$88,3,0)*VLOOKUP('Données projet'!$B$12,Paramètres!$A$1:$I$88,5,0)</f>
        <v>194.35000159152634</v>
      </c>
      <c r="CA49" s="14">
        <f t="shared" si="39"/>
        <v>48.500405756628439</v>
      </c>
      <c r="CB49" s="22">
        <f t="shared" si="10"/>
        <v>422.96445946470288</v>
      </c>
      <c r="CC49" s="62">
        <f t="shared" si="11"/>
        <v>701.95372182092353</v>
      </c>
      <c r="CD49" s="62">
        <f ca="1">AVERAGE(OFFSET($CC$3,0,0,'Données projet'!$E$12+1,1))-AVERAGE(OFFSET($H$3,0,0,'Données projet'!$E$12+1,1))</f>
        <v>310.53598044763282</v>
      </c>
      <c r="CE49" s="62">
        <f t="shared" si="40"/>
        <v>322.01096634040596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projet'!$B$12,Paramètres!$A$1:$I$88,7,0))</f>
        <v>0</v>
      </c>
      <c r="CI49" s="17">
        <f>IF(ISNA(VLOOKUP(A49,'Données projet'!$A$113:$I$133,6,0)),0%,VLOOKUP(A49,'Données projet'!$A$113:$I$133,6,0)*VLOOKUP('Données projet'!$B$12,Paramètres!$A$1:$I$88,7,0))</f>
        <v>0</v>
      </c>
      <c r="CJ49" s="17">
        <f>IF(ISNA(VLOOKUP(A49,'Données projet'!$A$113:$I$133,7,0)),0%,VLOOKUP(A49,'Données projet'!$A$113:$I$133,7,0))</f>
        <v>0</v>
      </c>
      <c r="CK49" s="23">
        <f>EXP(-LN(2)/35)*CK48+(1-EXP(-LN(2)/35))/(LN(2)/35)*CG49*CH49*VLOOKUP('Données projet'!$B$12,Paramètres!$A$1:$I$88,3,0)*0.475*44/12</f>
        <v>0</v>
      </c>
      <c r="CL49" s="23">
        <f>EXP(-LN(2)/25)*CL48+(1-EXP(-LN(2)/25))/(LN(2)/25)*Calculateur!CG49*Calculateur!CI49*VLOOKUP('Données projet'!$B$12,Paramètres!$A$1:$I$88,3,0)*0.475*44/12</f>
        <v>0</v>
      </c>
      <c r="CM49" s="23">
        <f>EXP(-LN(2)/2)*CM48+(1-EXP(-LN(2)/2))/(LN(2)/2)*CG49*CJ49*VLOOKUP('Données projet'!$B$12,Paramètres!$A$1:$I$88,3,0)*0.475*44/12</f>
        <v>0</v>
      </c>
      <c r="CN49" s="24">
        <f t="shared" si="12"/>
        <v>0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66.087980642605629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projet'!$B$13,Paramètres!$A$1:$I$88,3,0)*VLOOKUP('Données projet'!$B$13,Paramètres!$A$1:$I$88,5,0)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projet'!$B$13,Paramètres!$A$1:$I$88,7,0))</f>
        <v>0</v>
      </c>
      <c r="DD49" s="17">
        <f>IF(ISNA(VLOOKUP(A49,'Données projet'!$A$139:$I$159,6,0)),0%,VLOOKUP(A49,'Données projet'!$A$139:$I$159,6,0)*VLOOKUP('Données projet'!$B$13,Paramètres!$A$1:$I$88,7,0))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projet'!$B$13,Paramètres!$A$1:$I$88,3,0)*0.475*44/12</f>
        <v>#N/A</v>
      </c>
      <c r="DG49" s="23" t="e">
        <f>EXP(-LN(2)/25)*DG48+(1-EXP(-LN(2)/25))/(LN(2)/25)*Calculateur!DB49*Calculateur!DD49*VLOOKUP('Données projet'!$B$13,Paramètres!$A$1:$I$88,3,0)*0.475*44/12</f>
        <v>#N/A</v>
      </c>
      <c r="DH49" s="23" t="e">
        <f>EXP(-LN(2)/2)*DH48+(1-EXP(-LN(2)/2))/(LN(2)/2)*DB49*DE49*VLOOKUP('Données projet'!$B$13,Paramètres!$A$1:$I$88,3,0)*0.475*44/12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66.087980642605629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projet'!$B$14,Paramètres!$A$1:$I$88,3,0)*VLOOKUP('Données projet'!$B$14,Paramètres!$A$1:$I$88,5,0)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projet'!$B$14,Paramètres!$A$1:$I$88,7,0))</f>
        <v>0</v>
      </c>
      <c r="DY49" s="17">
        <f>IF(ISNA(VLOOKUP(A49,'Données projet'!$A$165:$I$185,6,0)),0%,VLOOKUP(A49,'Données projet'!$A$165:$I$185,6,0)*VLOOKUP('Données projet'!$B$14,Paramètres!$A$1:$I$88,7,0))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projet'!$B$14,Paramètres!$A$1:$I$88,3,0)*0.475*44/12</f>
        <v>#N/A</v>
      </c>
      <c r="EB49" s="23" t="e">
        <f>EXP(-LN(2)/25)*EB48+(1-EXP(-LN(2)/25))/(LN(2)/25)*Calculateur!DW49*Calculateur!DY49*VLOOKUP('Données projet'!$B$14,Paramètres!$A$1:$I$88,3,0)*0.475*44/12</f>
        <v>#N/A</v>
      </c>
      <c r="EC49" s="23" t="e">
        <f>EXP(-LN(2)/2)*EC48+(1-EXP(-LN(2)/2))/(LN(2)/2)*DW49*DZ49*VLOOKUP('Données projet'!$B$14,Paramètres!$A$1:$I$88,3,0)*0.475*44/12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66.087980642605629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projet'!$B$15,Paramètres!$A$1:$I$88,3,0)*VLOOKUP('Données projet'!$B$15,Paramètres!$A$1:$I$88,5,0)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projet'!$B$15,Paramètres!$A$1:$I$88,7,0))</f>
        <v>0</v>
      </c>
      <c r="ET49" s="17">
        <f>IF(ISNA(VLOOKUP(A49,'Données projet'!$A$191:$I$211,6,0)),0%,VLOOKUP(A49,'Données projet'!$A$191:$I$211,6,0)*VLOOKUP('Données projet'!$B$15,Paramètres!$A$1:$I$88,7,0))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projet'!$B$15,Paramètres!$A$1:$I$88,3,0)*0.475*44/12</f>
        <v>#N/A</v>
      </c>
      <c r="EW49" s="23" t="e">
        <f>EXP(-LN(2)/25)*EW48+(1-EXP(-LN(2)/25))/(LN(2)/25)*Calculateur!ER49*Calculateur!ET49*VLOOKUP('Données projet'!$B$15,Paramètres!$A$1:$I$88,3,0)*0.475*44/12</f>
        <v>#N/A</v>
      </c>
      <c r="EX49" s="23" t="e">
        <f>EXP(-LN(2)/2)*EX48+(1-EXP(-LN(2)/2))/(LN(2)/2)*ER49*EU49*VLOOKUP('Données projet'!$B$15,Paramètres!$A$1:$I$88,3,0)*0.475*44/12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66.087980642605629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projet'!$B$16,Paramètres!$A$1:$I$88,3,0)*VLOOKUP('Données projet'!$B$16,Paramètres!$A$1:$I$88,5,0)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projet'!$B$16,Paramètres!$A$1:$I$88,7,0))</f>
        <v>0</v>
      </c>
      <c r="FO49" s="17">
        <f>IF(ISNA(VLOOKUP(A49,'Données projet'!$A$217:$I$237,6,0)),0%,VLOOKUP(A49,'Données projet'!$A$217:$I$237,6,0)*VLOOKUP('Données projet'!$B$16,Paramètres!$A$1:$I$88,7,0))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projet'!$B$16,Paramètres!$A$1:$I$88,3,0)*0.475*44/12</f>
        <v>#N/A</v>
      </c>
      <c r="FR49" s="23" t="e">
        <f>EXP(-LN(2)/25)*FR48+(1-EXP(-LN(2)/25))/(LN(2)/25)*Calculateur!FM49*Calculateur!FO49*VLOOKUP('Données projet'!$B$16,Paramètres!$A$1:$I$88,3,0)*0.475*44/12</f>
        <v>#N/A</v>
      </c>
      <c r="FS49" s="23" t="e">
        <f>EXP(-LN(2)/2)*FS48+(1-EXP(-LN(2)/2))/(LN(2)/2)*FM49*FP49*VLOOKUP('Données projet'!$B$16,Paramètres!$A$1:$I$88,3,0)*0.475*44/12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66.087980642605629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projet'!$B$17,Paramètres!$A$1:$I$88,3,0)*VLOOKUP('Données projet'!$B$17,Paramètres!$A$1:$I$88,5,0)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projet'!$B$17,Paramètres!$A$1:$I$88,7,0))</f>
        <v>0</v>
      </c>
      <c r="GJ49" s="17">
        <f>IF(ISNA(VLOOKUP(A49,'Données projet'!$A$243:$I$263,6,0)),0%,VLOOKUP(A49,'Données projet'!$A$243:$I$263,6,0)*VLOOKUP('Données projet'!$B$17,Paramètres!$A$1:$I$88,7,0))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projet'!$B$17,Paramètres!$A$1:$I$88,3,0)*0.475*44/12</f>
        <v>#N/A</v>
      </c>
      <c r="GM49" s="23" t="e">
        <f>EXP(-LN(2)/25)*GM48+(1-EXP(-LN(2)/25))/(LN(2)/25)*Calculateur!GH49*Calculateur!GJ49*VLOOKUP('Données projet'!$B$17,Paramètres!$A$1:$I$88,3,0)*0.475*44/12</f>
        <v>#N/A</v>
      </c>
      <c r="GN49" s="23" t="e">
        <f>EXP(-LN(2)/2)*GN48+(1-EXP(-LN(2)/2))/(LN(2)/2)*GH49*GK49*VLOOKUP('Données projet'!$B$17,Paramètres!$A$1:$I$88,3,0)*0.475*44/12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66.087980642605629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projet'!$B$18,Paramètres!$A$1:$I$88,3,0)*VLOOKUP('Données projet'!$B$18,Paramètres!$A$1:$I$88,5,0)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projet'!$B$18,Paramètres!$A$1:$I$88,7,0))</f>
        <v>0</v>
      </c>
      <c r="HE49" s="17">
        <f>IF(ISNA(VLOOKUP(A49,'Données projet'!$A$269:$I$289,6,0)),0%,VLOOKUP(A49,'Données projet'!$A$269:$I$289,6,0)*VLOOKUP('Données projet'!$B$18,Paramètres!$A$1:$I$88,7,0))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projet'!$B$18,Paramètres!$A$1:$I$88,3,0)*0.475*44/12</f>
        <v>#N/A</v>
      </c>
      <c r="HH49" s="23" t="e">
        <f>EXP(-LN(2)/25)*HH48+(1-EXP(-LN(2)/25))/(LN(2)/25)*Calculateur!HC49*Calculateur!HE49*VLOOKUP('Données projet'!$B$18,Paramètres!$A$1:$I$88,3,0)*0.475*44/12</f>
        <v>#N/A</v>
      </c>
      <c r="HI49" s="23" t="e">
        <f>EXP(-LN(2)/2)*HI48+(1-EXP(-LN(2)/2))/(LN(2)/2)*HC49*HF49*VLOOKUP('Données projet'!$B$18,Paramètres!$A$1:$I$88,3,0)*0.475*44/12</f>
        <v>#N/A</v>
      </c>
      <c r="HJ49" s="24" t="e">
        <f t="shared" si="30"/>
        <v>#N/A</v>
      </c>
    </row>
    <row r="50" spans="1:218" s="5" customFormat="1" x14ac:dyDescent="0.35">
      <c r="A50" s="11">
        <f t="shared" si="31"/>
        <v>47</v>
      </c>
      <c r="B50" s="77">
        <f>'Scénario référence'!$B$16*5+'Scénario référence'!$B$17*0+'Scénario référence'!$B$18*5</f>
        <v>1.75</v>
      </c>
      <c r="C50" s="20">
        <f>Calculateur!C49+'Scénario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50" s="12">
        <f t="shared" si="3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6.416666666666667</v>
      </c>
      <c r="H50" s="70">
        <f t="shared" si="1"/>
        <v>231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66.155845432491375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17.714285714285715</v>
      </c>
      <c r="N50" s="14">
        <f>IF('Données projet'!$A$36&gt;35,N49+M50-V49,IF(A50&lt;'Données projet'!$A$36,$K$205^A50,IF(A50='Données projet'!$A$36,'Données projet'!$B$36,N49+M50-V49)))</f>
        <v>375.71428571428584</v>
      </c>
      <c r="O50" s="14">
        <f>N50*VLOOKUP('Données projet'!$B$9,Paramètres!$A$1:$I$88,3,0)*VLOOKUP('Données projet'!$B$9,Paramètres!$A$1:$I$88,5,0)</f>
        <v>210.02428571428578</v>
      </c>
      <c r="P50" s="14">
        <f t="shared" si="33"/>
        <v>51.940892702173983</v>
      </c>
      <c r="Q50" s="22">
        <f t="shared" si="53"/>
        <v>456.25601907533405</v>
      </c>
      <c r="R50" s="62">
        <f t="shared" si="0"/>
        <v>735.49411899446909</v>
      </c>
      <c r="S50" s="62">
        <f ca="1">AVERAGE(OFFSET($R$3,0,0,'Données projet'!$E$9+1,1))-AVERAGE(OFFSET($H$3,0,0,'Données projet'!$E$9+1,1))</f>
        <v>341.05096821796769</v>
      </c>
      <c r="T50" s="62">
        <f t="shared" si="34"/>
        <v>400.72519822215168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projet'!$B$9,Paramètres!$A$1:$I$88,7,0))</f>
        <v>0</v>
      </c>
      <c r="X50" s="17">
        <f>IF(ISNA(VLOOKUP(A50,'Données projet'!$A$35:$I$55,6,0)),0%,VLOOKUP(A50,'Données projet'!$A$35:$I$55,6,0)*VLOOKUP('Données projet'!$B$9,Paramètres!$A$1:$I$88,7,0))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projet'!$B$9,Paramètres!$A$1:$I$88,3,0)*0.475*44/12</f>
        <v>27.408828235803352</v>
      </c>
      <c r="AA50" s="23">
        <f>EXP(-LN(2)/25)*AA49+(1-EXP(-LN(2)/25))/(LN(2)/25)*Calculateur!V50*Calculateur!X50*VLOOKUP('Données projet'!$B$9,Paramètres!$A$1:$I$88,3,0)*0.475*44/12</f>
        <v>51.014055805818515</v>
      </c>
      <c r="AB50" s="23">
        <f>EXP(-LN(2)/2)*AB49+(1-EXP(-LN(2)/2))/(LN(2)/2)*V50*Y50*VLOOKUP('Données projet'!$B$9,Paramètres!$A$1:$I$88,3,0)*0.475*44/12</f>
        <v>0</v>
      </c>
      <c r="AC50" s="24">
        <f t="shared" si="3"/>
        <v>78.42288404162187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66.155845432491375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5.1999999999999993</v>
      </c>
      <c r="AI50" s="14">
        <f>IF('Données projet'!$A$62&gt;35,AI49+AH50-AQ49,IF(A50&lt;'Données projet'!$A$62,$AF$205^A50,IF(A50='Données projet'!$A$62,'Données projet'!$B$62,AI49+AH50-AQ49)))</f>
        <v>210.30000000000007</v>
      </c>
      <c r="AJ50" s="14">
        <f>AI50*VLOOKUP('Données projet'!$B$10,Paramètres!$A$1:$I$88,3,0)*VLOOKUP('Données projet'!$B$10,Paramètres!$A$1:$I$88,5,0)</f>
        <v>125.75940000000006</v>
      </c>
      <c r="AK50" s="14">
        <f t="shared" si="35"/>
        <v>33.014597916626045</v>
      </c>
      <c r="AL50" s="22">
        <f t="shared" si="4"/>
        <v>276.53137970479048</v>
      </c>
      <c r="AM50" s="62">
        <f t="shared" si="5"/>
        <v>555.76947962392546</v>
      </c>
      <c r="AN50" s="62">
        <f ca="1">AVERAGE(OFFSET($AM$3,0,0,'Données projet'!$E$10+1,1))-AVERAGE(OFFSET($H$3,0,0,'Données projet'!$E$10+1,1))</f>
        <v>231.96474801342879</v>
      </c>
      <c r="AO50" s="62">
        <f t="shared" si="36"/>
        <v>237.75726086383668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projet'!$B$10,Paramètres!$A$1:$I$88,7,0))</f>
        <v>0</v>
      </c>
      <c r="AS50" s="17">
        <f>IF(ISNA(VLOOKUP(A50,'Données projet'!$A$61:$I$81,6,0)),0%,VLOOKUP(A50,'Données projet'!$A$61:$I$81,6,0)*VLOOKUP('Données projet'!$B$10,Paramètres!$A$1:$I$88,7,0))</f>
        <v>0</v>
      </c>
      <c r="AT50" s="17">
        <f>IF(ISNA(VLOOKUP(A50,'Données projet'!$A$61:$I$81,7,0)),0%,VLOOKUP(A50,'Données projet'!$A$61:$I$81,7,0))</f>
        <v>0</v>
      </c>
      <c r="AU50" s="23">
        <f>EXP(-LN(2)/35)*AU49+(1-EXP(-LN(2)/35))/(LN(2)/35)*AQ50*AR50*VLOOKUP('Données projet'!$B$10,Paramètres!$A$1:$I$88,3,0)*0.475*44/12</f>
        <v>9.7637707766113202</v>
      </c>
      <c r="AV50" s="23">
        <f>EXP(-LN(2)/25)*AV49+(1-EXP(-LN(2)/25))/(LN(2)/25)*Calculateur!AQ50*Calculateur!AS50*VLOOKUP('Données projet'!$B$10,Paramètres!$A$1:$I$88,3,0)*0.475*44/12</f>
        <v>23.126220041434294</v>
      </c>
      <c r="AW50" s="23">
        <f>EXP(-LN(2)/2)*AW49+(1-EXP(-LN(2)/2))/(LN(2)/2)*AQ50*AT50*VLOOKUP('Données projet'!$B$10,Paramètres!$A$1:$I$88,3,0)*0.475*44/12</f>
        <v>0</v>
      </c>
      <c r="AX50" s="23">
        <f t="shared" si="6"/>
        <v>32.889990818045618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66.155845432491375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18.100000000000001</v>
      </c>
      <c r="BD50" s="13">
        <f>IF('Données projet'!$A$88&gt;35,BD49+BC50-BL49,IF(A50&lt;'Données projet'!$A$88,$BA$205^A50,IF(A50='Données projet'!$A$88,'Données projet'!$B$88,BD49+BC50-BL49)))</f>
        <v>216.10000000000019</v>
      </c>
      <c r="BE50" s="14">
        <f>BD50*VLOOKUP('Données projet'!$B$11,Paramètres!$A$1:$I$88,3,0)*VLOOKUP('Données projet'!$B$11,Paramètres!$A$1:$I$88,5,0)</f>
        <v>101.13480000000008</v>
      </c>
      <c r="BF50" s="14">
        <f t="shared" si="37"/>
        <v>27.232170195444894</v>
      </c>
      <c r="BG50" s="22">
        <f t="shared" si="7"/>
        <v>223.5724730904</v>
      </c>
      <c r="BH50" s="62">
        <f t="shared" si="8"/>
        <v>502.81057300953501</v>
      </c>
      <c r="BI50" s="62">
        <f ca="1">AVERAGE(OFFSET($BH$3,0,0,'Données projet'!$E$11+1,1))-AVERAGE(OFFSET($H$3,0,0,'Données projet'!$E$11+1,1))</f>
        <v>364.96458059055169</v>
      </c>
      <c r="BJ50" s="62">
        <f t="shared" si="38"/>
        <v>246.27159120786257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projet'!$B$11,Paramètres!$A$1:$I$88,7,0))</f>
        <v>0</v>
      </c>
      <c r="BN50" s="17">
        <f>IF(ISNA(VLOOKUP(A50,'Données projet'!$A$87:$I$107,6,0)),0%,VLOOKUP(A50,'Données projet'!$A$87:$I$107,6,0)*VLOOKUP('Données projet'!$B$11,Paramètres!$A$1:$I$88,7,0))</f>
        <v>0</v>
      </c>
      <c r="BO50" s="17">
        <f>IF(ISNA(VLOOKUP(A50,'Données projet'!$A$87:$I$107,7,0)),0%,VLOOKUP(A50,'Données projet'!$A$87:$I$107,7,0))</f>
        <v>0</v>
      </c>
      <c r="BP50" s="23">
        <f>EXP(-LN(2)/35)*BP49+(1-EXP(-LN(2)/35))/(LN(2)/35)*BL50*BM50*VLOOKUP('Données projet'!$B$11,Paramètres!$A$1:$I$88,3,0)*0.475*44/12</f>
        <v>17.072857602860847</v>
      </c>
      <c r="BQ50" s="23">
        <f>EXP(-LN(2)/25)*BQ49+(1-EXP(-LN(2)/25))/(LN(2)/25)*Calculateur!BL50*Calculateur!BN50*VLOOKUP('Données projet'!$B$11,Paramètres!$A$1:$I$88,3,0)*0.475*44/12</f>
        <v>16.871454192966876</v>
      </c>
      <c r="BR50" s="23">
        <f>EXP(-LN(2)/2)*BR49+(1-EXP(-LN(2)/2))/(LN(2)/2)*BL50*BO50*VLOOKUP('Données projet'!$B$11,Paramètres!$A$1:$I$88,3,0)*0.475*44/12</f>
        <v>0</v>
      </c>
      <c r="BS50" s="24">
        <f t="shared" si="9"/>
        <v>33.944311795827723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66.155845432491375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4.1666667007873768</v>
      </c>
      <c r="BY50" s="13">
        <f>IF('Données projet'!$A$114&gt;35,BY49+BX50-CG49,IF(A50&lt;'Données projet'!$A$114,$BV$205^A50,IF(A50='Données projet'!$A$114,'Données projet'!$B$114,BY49+BX50-CG49)))</f>
        <v>195.83333493700661</v>
      </c>
      <c r="BZ50" s="14">
        <f>BY50*VLOOKUP('Données projet'!$B$12,Paramètres!$A$1:$I$88,3,0)*VLOOKUP('Données projet'!$B$12,Paramètres!$A$1:$I$88,5,0)</f>
        <v>198.57500162612473</v>
      </c>
      <c r="CA50" s="14">
        <f t="shared" si="39"/>
        <v>49.430866003335225</v>
      </c>
      <c r="CB50" s="22">
        <f t="shared" si="10"/>
        <v>431.9435527879761</v>
      </c>
      <c r="CC50" s="62">
        <f t="shared" si="11"/>
        <v>711.1816527071112</v>
      </c>
      <c r="CD50" s="62">
        <f ca="1">AVERAGE(OFFSET($CC$3,0,0,'Données projet'!$E$12+1,1))-AVERAGE(OFFSET($H$3,0,0,'Données projet'!$E$12+1,1))</f>
        <v>310.53598044763282</v>
      </c>
      <c r="CE50" s="62">
        <f t="shared" si="40"/>
        <v>322.01096634040596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projet'!$B$12,Paramètres!$A$1:$I$88,7,0))</f>
        <v>0</v>
      </c>
      <c r="CI50" s="17">
        <f>IF(ISNA(VLOOKUP(A50,'Données projet'!$A$113:$I$133,6,0)),0%,VLOOKUP(A50,'Données projet'!$A$113:$I$133,6,0)*VLOOKUP('Données projet'!$B$12,Paramètres!$A$1:$I$88,7,0))</f>
        <v>0</v>
      </c>
      <c r="CJ50" s="17">
        <f>IF(ISNA(VLOOKUP(A50,'Données projet'!$A$113:$I$133,7,0)),0%,VLOOKUP(A50,'Données projet'!$A$113:$I$133,7,0))</f>
        <v>0</v>
      </c>
      <c r="CK50" s="23">
        <f>EXP(-LN(2)/35)*CK49+(1-EXP(-LN(2)/35))/(LN(2)/35)*CG50*CH50*VLOOKUP('Données projet'!$B$12,Paramètres!$A$1:$I$88,3,0)*0.475*44/12</f>
        <v>0</v>
      </c>
      <c r="CL50" s="23">
        <f>EXP(-LN(2)/25)*CL49+(1-EXP(-LN(2)/25))/(LN(2)/25)*Calculateur!CG50*Calculateur!CI50*VLOOKUP('Données projet'!$B$12,Paramètres!$A$1:$I$88,3,0)*0.475*44/12</f>
        <v>0</v>
      </c>
      <c r="CM50" s="23">
        <f>EXP(-LN(2)/2)*CM49+(1-EXP(-LN(2)/2))/(LN(2)/2)*CG50*CJ50*VLOOKUP('Données projet'!$B$12,Paramètres!$A$1:$I$88,3,0)*0.475*44/12</f>
        <v>0</v>
      </c>
      <c r="CN50" s="24">
        <f t="shared" si="12"/>
        <v>0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66.155845432491375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projet'!$B$13,Paramètres!$A$1:$I$88,3,0)*VLOOKUP('Données projet'!$B$13,Paramètres!$A$1:$I$88,5,0)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projet'!$B$13,Paramètres!$A$1:$I$88,7,0))</f>
        <v>0</v>
      </c>
      <c r="DD50" s="17">
        <f>IF(ISNA(VLOOKUP(A50,'Données projet'!$A$139:$I$159,6,0)),0%,VLOOKUP(A50,'Données projet'!$A$139:$I$159,6,0)*VLOOKUP('Données projet'!$B$13,Paramètres!$A$1:$I$88,7,0))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projet'!$B$13,Paramètres!$A$1:$I$88,3,0)*0.475*44/12</f>
        <v>#N/A</v>
      </c>
      <c r="DG50" s="23" t="e">
        <f>EXP(-LN(2)/25)*DG49+(1-EXP(-LN(2)/25))/(LN(2)/25)*Calculateur!DB50*Calculateur!DD50*VLOOKUP('Données projet'!$B$13,Paramètres!$A$1:$I$88,3,0)*0.475*44/12</f>
        <v>#N/A</v>
      </c>
      <c r="DH50" s="23" t="e">
        <f>EXP(-LN(2)/2)*DH49+(1-EXP(-LN(2)/2))/(LN(2)/2)*DB50*DE50*VLOOKUP('Données projet'!$B$13,Paramètres!$A$1:$I$88,3,0)*0.475*44/12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66.155845432491375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projet'!$B$14,Paramètres!$A$1:$I$88,3,0)*VLOOKUP('Données projet'!$B$14,Paramètres!$A$1:$I$88,5,0)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projet'!$B$14,Paramètres!$A$1:$I$88,7,0))</f>
        <v>0</v>
      </c>
      <c r="DY50" s="17">
        <f>IF(ISNA(VLOOKUP(A50,'Données projet'!$A$165:$I$185,6,0)),0%,VLOOKUP(A50,'Données projet'!$A$165:$I$185,6,0)*VLOOKUP('Données projet'!$B$14,Paramètres!$A$1:$I$88,7,0))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projet'!$B$14,Paramètres!$A$1:$I$88,3,0)*0.475*44/12</f>
        <v>#N/A</v>
      </c>
      <c r="EB50" s="23" t="e">
        <f>EXP(-LN(2)/25)*EB49+(1-EXP(-LN(2)/25))/(LN(2)/25)*Calculateur!DW50*Calculateur!DY50*VLOOKUP('Données projet'!$B$14,Paramètres!$A$1:$I$88,3,0)*0.475*44/12</f>
        <v>#N/A</v>
      </c>
      <c r="EC50" s="23" t="e">
        <f>EXP(-LN(2)/2)*EC49+(1-EXP(-LN(2)/2))/(LN(2)/2)*DW50*DZ50*VLOOKUP('Données projet'!$B$14,Paramètres!$A$1:$I$88,3,0)*0.475*44/12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66.155845432491375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projet'!$B$15,Paramètres!$A$1:$I$88,3,0)*VLOOKUP('Données projet'!$B$15,Paramètres!$A$1:$I$88,5,0)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projet'!$B$15,Paramètres!$A$1:$I$88,7,0))</f>
        <v>0</v>
      </c>
      <c r="ET50" s="17">
        <f>IF(ISNA(VLOOKUP(A50,'Données projet'!$A$191:$I$211,6,0)),0%,VLOOKUP(A50,'Données projet'!$A$191:$I$211,6,0)*VLOOKUP('Données projet'!$B$15,Paramètres!$A$1:$I$88,7,0))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projet'!$B$15,Paramètres!$A$1:$I$88,3,0)*0.475*44/12</f>
        <v>#N/A</v>
      </c>
      <c r="EW50" s="23" t="e">
        <f>EXP(-LN(2)/25)*EW49+(1-EXP(-LN(2)/25))/(LN(2)/25)*Calculateur!ER50*Calculateur!ET50*VLOOKUP('Données projet'!$B$15,Paramètres!$A$1:$I$88,3,0)*0.475*44/12</f>
        <v>#N/A</v>
      </c>
      <c r="EX50" s="23" t="e">
        <f>EXP(-LN(2)/2)*EX49+(1-EXP(-LN(2)/2))/(LN(2)/2)*ER50*EU50*VLOOKUP('Données projet'!$B$15,Paramètres!$A$1:$I$88,3,0)*0.475*44/12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66.155845432491375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projet'!$B$16,Paramètres!$A$1:$I$88,3,0)*VLOOKUP('Données projet'!$B$16,Paramètres!$A$1:$I$88,5,0)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projet'!$B$16,Paramètres!$A$1:$I$88,7,0))</f>
        <v>0</v>
      </c>
      <c r="FO50" s="17">
        <f>IF(ISNA(VLOOKUP(A50,'Données projet'!$A$217:$I$237,6,0)),0%,VLOOKUP(A50,'Données projet'!$A$217:$I$237,6,0)*VLOOKUP('Données projet'!$B$16,Paramètres!$A$1:$I$88,7,0))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projet'!$B$16,Paramètres!$A$1:$I$88,3,0)*0.475*44/12</f>
        <v>#N/A</v>
      </c>
      <c r="FR50" s="23" t="e">
        <f>EXP(-LN(2)/25)*FR49+(1-EXP(-LN(2)/25))/(LN(2)/25)*Calculateur!FM50*Calculateur!FO50*VLOOKUP('Données projet'!$B$16,Paramètres!$A$1:$I$88,3,0)*0.475*44/12</f>
        <v>#N/A</v>
      </c>
      <c r="FS50" s="23" t="e">
        <f>EXP(-LN(2)/2)*FS49+(1-EXP(-LN(2)/2))/(LN(2)/2)*FM50*FP50*VLOOKUP('Données projet'!$B$16,Paramètres!$A$1:$I$88,3,0)*0.475*44/12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66.155845432491375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projet'!$B$17,Paramètres!$A$1:$I$88,3,0)*VLOOKUP('Données projet'!$B$17,Paramètres!$A$1:$I$88,5,0)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projet'!$B$17,Paramètres!$A$1:$I$88,7,0))</f>
        <v>0</v>
      </c>
      <c r="GJ50" s="17">
        <f>IF(ISNA(VLOOKUP(A50,'Données projet'!$A$243:$I$263,6,0)),0%,VLOOKUP(A50,'Données projet'!$A$243:$I$263,6,0)*VLOOKUP('Données projet'!$B$17,Paramètres!$A$1:$I$88,7,0))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projet'!$B$17,Paramètres!$A$1:$I$88,3,0)*0.475*44/12</f>
        <v>#N/A</v>
      </c>
      <c r="GM50" s="23" t="e">
        <f>EXP(-LN(2)/25)*GM49+(1-EXP(-LN(2)/25))/(LN(2)/25)*Calculateur!GH50*Calculateur!GJ50*VLOOKUP('Données projet'!$B$17,Paramètres!$A$1:$I$88,3,0)*0.475*44/12</f>
        <v>#N/A</v>
      </c>
      <c r="GN50" s="23" t="e">
        <f>EXP(-LN(2)/2)*GN49+(1-EXP(-LN(2)/2))/(LN(2)/2)*GH50*GK50*VLOOKUP('Données projet'!$B$17,Paramètres!$A$1:$I$88,3,0)*0.475*44/12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66.155845432491375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projet'!$B$18,Paramètres!$A$1:$I$88,3,0)*VLOOKUP('Données projet'!$B$18,Paramètres!$A$1:$I$88,5,0)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projet'!$B$18,Paramètres!$A$1:$I$88,7,0))</f>
        <v>0</v>
      </c>
      <c r="HE50" s="17">
        <f>IF(ISNA(VLOOKUP(A50,'Données projet'!$A$269:$I$289,6,0)),0%,VLOOKUP(A50,'Données projet'!$A$269:$I$289,6,0)*VLOOKUP('Données projet'!$B$18,Paramètres!$A$1:$I$88,7,0))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projet'!$B$18,Paramètres!$A$1:$I$88,3,0)*0.475*44/12</f>
        <v>#N/A</v>
      </c>
      <c r="HH50" s="23" t="e">
        <f>EXP(-LN(2)/25)*HH49+(1-EXP(-LN(2)/25))/(LN(2)/25)*Calculateur!HC50*Calculateur!HE50*VLOOKUP('Données projet'!$B$18,Paramètres!$A$1:$I$88,3,0)*0.475*44/12</f>
        <v>#N/A</v>
      </c>
      <c r="HI50" s="23" t="e">
        <f>EXP(-LN(2)/2)*HI49+(1-EXP(-LN(2)/2))/(LN(2)/2)*HC50*HF50*VLOOKUP('Données projet'!$B$18,Paramètres!$A$1:$I$88,3,0)*0.475*44/12</f>
        <v>#N/A</v>
      </c>
      <c r="HJ50" s="24" t="e">
        <f t="shared" si="30"/>
        <v>#N/A</v>
      </c>
    </row>
    <row r="51" spans="1:218" s="5" customFormat="1" x14ac:dyDescent="0.35">
      <c r="A51" s="11">
        <f t="shared" si="31"/>
        <v>48</v>
      </c>
      <c r="B51" s="77">
        <f>'Scénario référence'!$B$16*5+'Scénario référence'!$B$17*0+'Scénario référence'!$B$18*5</f>
        <v>1.75</v>
      </c>
      <c r="C51" s="20">
        <f>Calculateur!C50+'Scénario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51" s="12">
        <f t="shared" si="3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6.416666666666667</v>
      </c>
      <c r="H51" s="70">
        <f t="shared" si="1"/>
        <v>231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66.222532919995558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17.714285714285715</v>
      </c>
      <c r="N51" s="14">
        <f>IF('Données projet'!$A$36&gt;35,N50+M51-V50,IF(A51&lt;'Données projet'!$A$36,$K$205^A51,IF(A51='Données projet'!$A$36,'Données projet'!$B$36,N50+M51-V50)))</f>
        <v>393.42857142857156</v>
      </c>
      <c r="O51" s="14">
        <f>N51*VLOOKUP('Données projet'!$B$9,Paramètres!$A$1:$I$88,3,0)*VLOOKUP('Données projet'!$B$9,Paramètres!$A$1:$I$88,5,0)</f>
        <v>219.92657142857149</v>
      </c>
      <c r="P51" s="14">
        <f t="shared" si="33"/>
        <v>54.098926073340607</v>
      </c>
      <c r="Q51" s="22">
        <f t="shared" si="53"/>
        <v>477.26107481583023</v>
      </c>
      <c r="R51" s="62">
        <f t="shared" si="0"/>
        <v>756.74369552248061</v>
      </c>
      <c r="S51" s="62">
        <f ca="1">AVERAGE(OFFSET($R$3,0,0,'Données projet'!$E$9+1,1))-AVERAGE(OFFSET($H$3,0,0,'Données projet'!$E$9+1,1))</f>
        <v>341.05096821796769</v>
      </c>
      <c r="T51" s="62">
        <f t="shared" si="34"/>
        <v>400.72519822215168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projet'!$B$9,Paramètres!$A$1:$I$88,7,0))</f>
        <v>0</v>
      </c>
      <c r="X51" s="17">
        <f>IF(ISNA(VLOOKUP(A51,'Données projet'!$A$35:$I$55,6,0)),0%,VLOOKUP(A51,'Données projet'!$A$35:$I$55,6,0)*VLOOKUP('Données projet'!$B$9,Paramètres!$A$1:$I$88,7,0))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projet'!$B$9,Paramètres!$A$1:$I$88,3,0)*0.475*44/12</f>
        <v>26.871357831833734</v>
      </c>
      <c r="AA51" s="23">
        <f>EXP(-LN(2)/25)*AA50+(1-EXP(-LN(2)/25))/(LN(2)/25)*Calculateur!V51*Calculateur!X51*VLOOKUP('Données projet'!$B$9,Paramètres!$A$1:$I$88,3,0)*0.475*44/12</f>
        <v>49.619073767095806</v>
      </c>
      <c r="AB51" s="23">
        <f>EXP(-LN(2)/2)*AB50+(1-EXP(-LN(2)/2))/(LN(2)/2)*V51*Y51*VLOOKUP('Données projet'!$B$9,Paramètres!$A$1:$I$88,3,0)*0.475*44/12</f>
        <v>0</v>
      </c>
      <c r="AC51" s="24">
        <f t="shared" si="3"/>
        <v>76.490431598929547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66.222532919995558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5.1999999999999993</v>
      </c>
      <c r="AI51" s="14">
        <f>IF('Données projet'!$A$62&gt;35,AI50+AH51-AQ50,IF(A51&lt;'Données projet'!$A$62,$AF$205^A51,IF(A51='Données projet'!$A$62,'Données projet'!$B$62,AI50+AH51-AQ50)))</f>
        <v>215.50000000000006</v>
      </c>
      <c r="AJ51" s="14">
        <f>AI51*VLOOKUP('Données projet'!$B$10,Paramètres!$A$1:$I$88,3,0)*VLOOKUP('Données projet'!$B$10,Paramètres!$A$1:$I$88,5,0)</f>
        <v>128.86900000000003</v>
      </c>
      <c r="AK51" s="14">
        <f t="shared" si="35"/>
        <v>33.734885681578668</v>
      </c>
      <c r="AL51" s="22">
        <f t="shared" si="4"/>
        <v>283.20176756208286</v>
      </c>
      <c r="AM51" s="62">
        <f t="shared" si="5"/>
        <v>562.6843882687333</v>
      </c>
      <c r="AN51" s="62">
        <f ca="1">AVERAGE(OFFSET($AM$3,0,0,'Données projet'!$E$10+1,1))-AVERAGE(OFFSET($H$3,0,0,'Données projet'!$E$10+1,1))</f>
        <v>231.96474801342879</v>
      </c>
      <c r="AO51" s="62">
        <f t="shared" si="36"/>
        <v>237.75726086383668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projet'!$B$10,Paramètres!$A$1:$I$88,7,0))</f>
        <v>0</v>
      </c>
      <c r="AS51" s="17">
        <f>IF(ISNA(VLOOKUP(A51,'Données projet'!$A$61:$I$81,6,0)),0%,VLOOKUP(A51,'Données projet'!$A$61:$I$81,6,0)*VLOOKUP('Données projet'!$B$10,Paramètres!$A$1:$I$88,7,0))</f>
        <v>0</v>
      </c>
      <c r="AT51" s="17">
        <f>IF(ISNA(VLOOKUP(A51,'Données projet'!$A$61:$I$81,7,0)),0%,VLOOKUP(A51,'Données projet'!$A$61:$I$81,7,0))</f>
        <v>0</v>
      </c>
      <c r="AU51" s="23">
        <f>EXP(-LN(2)/35)*AU50+(1-EXP(-LN(2)/35))/(LN(2)/35)*AQ51*AR51*VLOOKUP('Données projet'!$B$10,Paramètres!$A$1:$I$88,3,0)*0.475*44/12</f>
        <v>9.5723091869941079</v>
      </c>
      <c r="AV51" s="23">
        <f>EXP(-LN(2)/25)*AV50+(1-EXP(-LN(2)/25))/(LN(2)/25)*Calculateur!AQ51*Calculateur!AS51*VLOOKUP('Données projet'!$B$10,Paramètres!$A$1:$I$88,3,0)*0.475*44/12</f>
        <v>22.493832338246218</v>
      </c>
      <c r="AW51" s="23">
        <f>EXP(-LN(2)/2)*AW50+(1-EXP(-LN(2)/2))/(LN(2)/2)*AQ51*AT51*VLOOKUP('Données projet'!$B$10,Paramètres!$A$1:$I$88,3,0)*0.475*44/12</f>
        <v>0</v>
      </c>
      <c r="AX51" s="23">
        <f t="shared" si="6"/>
        <v>32.066141525240326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66.222532919995558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18.100000000000001</v>
      </c>
      <c r="BD51" s="13">
        <f>IF('Données projet'!$A$88&gt;35,BD50+BC51-BL50,IF(A51&lt;'Données projet'!$A$88,$BA$205^A51,IF(A51='Données projet'!$A$88,'Données projet'!$B$88,BD50+BC51-BL50)))</f>
        <v>234.20000000000019</v>
      </c>
      <c r="BE51" s="14">
        <f>BD51*VLOOKUP('Données projet'!$B$11,Paramètres!$A$1:$I$88,3,0)*VLOOKUP('Données projet'!$B$11,Paramètres!$A$1:$I$88,5,0)</f>
        <v>109.60560000000009</v>
      </c>
      <c r="BF51" s="14">
        <f t="shared" si="37"/>
        <v>29.238041439718234</v>
      </c>
      <c r="BG51" s="22">
        <f t="shared" si="7"/>
        <v>241.81934217417611</v>
      </c>
      <c r="BH51" s="62">
        <f t="shared" si="8"/>
        <v>521.30196288082652</v>
      </c>
      <c r="BI51" s="62">
        <f ca="1">AVERAGE(OFFSET($BH$3,0,0,'Données projet'!$E$11+1,1))-AVERAGE(OFFSET($H$3,0,0,'Données projet'!$E$11+1,1))</f>
        <v>364.96458059055169</v>
      </c>
      <c r="BJ51" s="62">
        <f t="shared" si="38"/>
        <v>246.27159120786257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projet'!$B$11,Paramètres!$A$1:$I$88,7,0))</f>
        <v>0</v>
      </c>
      <c r="BN51" s="17">
        <f>IF(ISNA(VLOOKUP(A51,'Données projet'!$A$87:$I$107,6,0)),0%,VLOOKUP(A51,'Données projet'!$A$87:$I$107,6,0)*VLOOKUP('Données projet'!$B$11,Paramètres!$A$1:$I$88,7,0))</f>
        <v>0</v>
      </c>
      <c r="BO51" s="17">
        <f>IF(ISNA(VLOOKUP(A51,'Données projet'!$A$87:$I$107,7,0)),0%,VLOOKUP(A51,'Données projet'!$A$87:$I$107,7,0))</f>
        <v>0</v>
      </c>
      <c r="BP51" s="23">
        <f>EXP(-LN(2)/35)*BP50+(1-EXP(-LN(2)/35))/(LN(2)/35)*BL51*BM51*VLOOKUP('Données projet'!$B$11,Paramètres!$A$1:$I$88,3,0)*0.475*44/12</f>
        <v>16.738069278683643</v>
      </c>
      <c r="BQ51" s="23">
        <f>EXP(-LN(2)/25)*BQ50+(1-EXP(-LN(2)/25))/(LN(2)/25)*Calculateur!BL51*Calculateur!BN51*VLOOKUP('Données projet'!$B$11,Paramètres!$A$1:$I$88,3,0)*0.475*44/12</f>
        <v>16.410103390828983</v>
      </c>
      <c r="BR51" s="23">
        <f>EXP(-LN(2)/2)*BR50+(1-EXP(-LN(2)/2))/(LN(2)/2)*BL51*BO51*VLOOKUP('Données projet'!$B$11,Paramètres!$A$1:$I$88,3,0)*0.475*44/12</f>
        <v>0</v>
      </c>
      <c r="BS51" s="24">
        <f t="shared" si="9"/>
        <v>33.148172669512626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66.222532919995558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4.1666667007873768</v>
      </c>
      <c r="BY51" s="13">
        <f>IF('Données projet'!$A$114&gt;35,BY50+BX51-CG50,IF(A51&lt;'Données projet'!$A$114,$BV$205^A51,IF(A51='Données projet'!$A$114,'Données projet'!$B$114,BY50+BX51-CG50)))</f>
        <v>200.00000163779399</v>
      </c>
      <c r="BZ51" s="14">
        <f>BY51*VLOOKUP('Données projet'!$B$12,Paramètres!$A$1:$I$88,3,0)*VLOOKUP('Données projet'!$B$12,Paramètres!$A$1:$I$88,5,0)</f>
        <v>202.80000166072313</v>
      </c>
      <c r="CA51" s="14">
        <f t="shared" si="39"/>
        <v>50.359024543740482</v>
      </c>
      <c r="CB51" s="22">
        <f t="shared" si="10"/>
        <v>440.91863730610743</v>
      </c>
      <c r="CC51" s="62">
        <f t="shared" si="11"/>
        <v>720.40125801275781</v>
      </c>
      <c r="CD51" s="62">
        <f ca="1">AVERAGE(OFFSET($CC$3,0,0,'Données projet'!$E$12+1,1))-AVERAGE(OFFSET($H$3,0,0,'Données projet'!$E$12+1,1))</f>
        <v>310.53598044763282</v>
      </c>
      <c r="CE51" s="62">
        <f t="shared" si="40"/>
        <v>322.01096634040596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projet'!$B$12,Paramètres!$A$1:$I$88,7,0))</f>
        <v>0</v>
      </c>
      <c r="CI51" s="17">
        <f>IF(ISNA(VLOOKUP(A51,'Données projet'!$A$113:$I$133,6,0)),0%,VLOOKUP(A51,'Données projet'!$A$113:$I$133,6,0)*VLOOKUP('Données projet'!$B$12,Paramètres!$A$1:$I$88,7,0))</f>
        <v>0</v>
      </c>
      <c r="CJ51" s="17">
        <f>IF(ISNA(VLOOKUP(A51,'Données projet'!$A$113:$I$133,7,0)),0%,VLOOKUP(A51,'Données projet'!$A$113:$I$133,7,0))</f>
        <v>0</v>
      </c>
      <c r="CK51" s="23">
        <f>EXP(-LN(2)/35)*CK50+(1-EXP(-LN(2)/35))/(LN(2)/35)*CG51*CH51*VLOOKUP('Données projet'!$B$12,Paramètres!$A$1:$I$88,3,0)*0.475*44/12</f>
        <v>0</v>
      </c>
      <c r="CL51" s="23">
        <f>EXP(-LN(2)/25)*CL50+(1-EXP(-LN(2)/25))/(LN(2)/25)*Calculateur!CG51*Calculateur!CI51*VLOOKUP('Données projet'!$B$12,Paramètres!$A$1:$I$88,3,0)*0.475*44/12</f>
        <v>0</v>
      </c>
      <c r="CM51" s="23">
        <f>EXP(-LN(2)/2)*CM50+(1-EXP(-LN(2)/2))/(LN(2)/2)*CG51*CJ51*VLOOKUP('Données projet'!$B$12,Paramètres!$A$1:$I$88,3,0)*0.475*44/12</f>
        <v>0</v>
      </c>
      <c r="CN51" s="24">
        <f t="shared" si="12"/>
        <v>0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66.222532919995558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projet'!$B$13,Paramètres!$A$1:$I$88,3,0)*VLOOKUP('Données projet'!$B$13,Paramètres!$A$1:$I$88,5,0)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projet'!$B$13,Paramètres!$A$1:$I$88,7,0))</f>
        <v>0</v>
      </c>
      <c r="DD51" s="17">
        <f>IF(ISNA(VLOOKUP(A51,'Données projet'!$A$139:$I$159,6,0)),0%,VLOOKUP(A51,'Données projet'!$A$139:$I$159,6,0)*VLOOKUP('Données projet'!$B$13,Paramètres!$A$1:$I$88,7,0))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projet'!$B$13,Paramètres!$A$1:$I$88,3,0)*0.475*44/12</f>
        <v>#N/A</v>
      </c>
      <c r="DG51" s="23" t="e">
        <f>EXP(-LN(2)/25)*DG50+(1-EXP(-LN(2)/25))/(LN(2)/25)*Calculateur!DB51*Calculateur!DD51*VLOOKUP('Données projet'!$B$13,Paramètres!$A$1:$I$88,3,0)*0.475*44/12</f>
        <v>#N/A</v>
      </c>
      <c r="DH51" s="23" t="e">
        <f>EXP(-LN(2)/2)*DH50+(1-EXP(-LN(2)/2))/(LN(2)/2)*DB51*DE51*VLOOKUP('Données projet'!$B$13,Paramètres!$A$1:$I$88,3,0)*0.475*44/12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66.222532919995558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projet'!$B$14,Paramètres!$A$1:$I$88,3,0)*VLOOKUP('Données projet'!$B$14,Paramètres!$A$1:$I$88,5,0)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projet'!$B$14,Paramètres!$A$1:$I$88,7,0))</f>
        <v>0</v>
      </c>
      <c r="DY51" s="17">
        <f>IF(ISNA(VLOOKUP(A51,'Données projet'!$A$165:$I$185,6,0)),0%,VLOOKUP(A51,'Données projet'!$A$165:$I$185,6,0)*VLOOKUP('Données projet'!$B$14,Paramètres!$A$1:$I$88,7,0))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projet'!$B$14,Paramètres!$A$1:$I$88,3,0)*0.475*44/12</f>
        <v>#N/A</v>
      </c>
      <c r="EB51" s="23" t="e">
        <f>EXP(-LN(2)/25)*EB50+(1-EXP(-LN(2)/25))/(LN(2)/25)*Calculateur!DW51*Calculateur!DY51*VLOOKUP('Données projet'!$B$14,Paramètres!$A$1:$I$88,3,0)*0.475*44/12</f>
        <v>#N/A</v>
      </c>
      <c r="EC51" s="23" t="e">
        <f>EXP(-LN(2)/2)*EC50+(1-EXP(-LN(2)/2))/(LN(2)/2)*DW51*DZ51*VLOOKUP('Données projet'!$B$14,Paramètres!$A$1:$I$88,3,0)*0.475*44/12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66.222532919995558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projet'!$B$15,Paramètres!$A$1:$I$88,3,0)*VLOOKUP('Données projet'!$B$15,Paramètres!$A$1:$I$88,5,0)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projet'!$B$15,Paramètres!$A$1:$I$88,7,0))</f>
        <v>0</v>
      </c>
      <c r="ET51" s="17">
        <f>IF(ISNA(VLOOKUP(A51,'Données projet'!$A$191:$I$211,6,0)),0%,VLOOKUP(A51,'Données projet'!$A$191:$I$211,6,0)*VLOOKUP('Données projet'!$B$15,Paramètres!$A$1:$I$88,7,0))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projet'!$B$15,Paramètres!$A$1:$I$88,3,0)*0.475*44/12</f>
        <v>#N/A</v>
      </c>
      <c r="EW51" s="23" t="e">
        <f>EXP(-LN(2)/25)*EW50+(1-EXP(-LN(2)/25))/(LN(2)/25)*Calculateur!ER51*Calculateur!ET51*VLOOKUP('Données projet'!$B$15,Paramètres!$A$1:$I$88,3,0)*0.475*44/12</f>
        <v>#N/A</v>
      </c>
      <c r="EX51" s="23" t="e">
        <f>EXP(-LN(2)/2)*EX50+(1-EXP(-LN(2)/2))/(LN(2)/2)*ER51*EU51*VLOOKUP('Données projet'!$B$15,Paramètres!$A$1:$I$88,3,0)*0.475*44/12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66.222532919995558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projet'!$B$16,Paramètres!$A$1:$I$88,3,0)*VLOOKUP('Données projet'!$B$16,Paramètres!$A$1:$I$88,5,0)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projet'!$B$16,Paramètres!$A$1:$I$88,7,0))</f>
        <v>0</v>
      </c>
      <c r="FO51" s="17">
        <f>IF(ISNA(VLOOKUP(A51,'Données projet'!$A$217:$I$237,6,0)),0%,VLOOKUP(A51,'Données projet'!$A$217:$I$237,6,0)*VLOOKUP('Données projet'!$B$16,Paramètres!$A$1:$I$88,7,0))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projet'!$B$16,Paramètres!$A$1:$I$88,3,0)*0.475*44/12</f>
        <v>#N/A</v>
      </c>
      <c r="FR51" s="23" t="e">
        <f>EXP(-LN(2)/25)*FR50+(1-EXP(-LN(2)/25))/(LN(2)/25)*Calculateur!FM51*Calculateur!FO51*VLOOKUP('Données projet'!$B$16,Paramètres!$A$1:$I$88,3,0)*0.475*44/12</f>
        <v>#N/A</v>
      </c>
      <c r="FS51" s="23" t="e">
        <f>EXP(-LN(2)/2)*FS50+(1-EXP(-LN(2)/2))/(LN(2)/2)*FM51*FP51*VLOOKUP('Données projet'!$B$16,Paramètres!$A$1:$I$88,3,0)*0.475*44/12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66.222532919995558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projet'!$B$17,Paramètres!$A$1:$I$88,3,0)*VLOOKUP('Données projet'!$B$17,Paramètres!$A$1:$I$88,5,0)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projet'!$B$17,Paramètres!$A$1:$I$88,7,0))</f>
        <v>0</v>
      </c>
      <c r="GJ51" s="17">
        <f>IF(ISNA(VLOOKUP(A51,'Données projet'!$A$243:$I$263,6,0)),0%,VLOOKUP(A51,'Données projet'!$A$243:$I$263,6,0)*VLOOKUP('Données projet'!$B$17,Paramètres!$A$1:$I$88,7,0))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projet'!$B$17,Paramètres!$A$1:$I$88,3,0)*0.475*44/12</f>
        <v>#N/A</v>
      </c>
      <c r="GM51" s="23" t="e">
        <f>EXP(-LN(2)/25)*GM50+(1-EXP(-LN(2)/25))/(LN(2)/25)*Calculateur!GH51*Calculateur!GJ51*VLOOKUP('Données projet'!$B$17,Paramètres!$A$1:$I$88,3,0)*0.475*44/12</f>
        <v>#N/A</v>
      </c>
      <c r="GN51" s="23" t="e">
        <f>EXP(-LN(2)/2)*GN50+(1-EXP(-LN(2)/2))/(LN(2)/2)*GH51*GK51*VLOOKUP('Données projet'!$B$17,Paramètres!$A$1:$I$88,3,0)*0.475*44/12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66.222532919995558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projet'!$B$18,Paramètres!$A$1:$I$88,3,0)*VLOOKUP('Données projet'!$B$18,Paramètres!$A$1:$I$88,5,0)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projet'!$B$18,Paramètres!$A$1:$I$88,7,0))</f>
        <v>0</v>
      </c>
      <c r="HE51" s="17">
        <f>IF(ISNA(VLOOKUP(A51,'Données projet'!$A$269:$I$289,6,0)),0%,VLOOKUP(A51,'Données projet'!$A$269:$I$289,6,0)*VLOOKUP('Données projet'!$B$18,Paramètres!$A$1:$I$88,7,0))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projet'!$B$18,Paramètres!$A$1:$I$88,3,0)*0.475*44/12</f>
        <v>#N/A</v>
      </c>
      <c r="HH51" s="23" t="e">
        <f>EXP(-LN(2)/25)*HH50+(1-EXP(-LN(2)/25))/(LN(2)/25)*Calculateur!HC51*Calculateur!HE51*VLOOKUP('Données projet'!$B$18,Paramètres!$A$1:$I$88,3,0)*0.475*44/12</f>
        <v>#N/A</v>
      </c>
      <c r="HI51" s="23" t="e">
        <f>EXP(-LN(2)/2)*HI50+(1-EXP(-LN(2)/2))/(LN(2)/2)*HC51*HF51*VLOOKUP('Données projet'!$B$18,Paramètres!$A$1:$I$88,3,0)*0.475*44/12</f>
        <v>#N/A</v>
      </c>
      <c r="HJ51" s="24" t="e">
        <f t="shared" si="30"/>
        <v>#N/A</v>
      </c>
    </row>
    <row r="52" spans="1:218" s="5" customFormat="1" x14ac:dyDescent="0.35">
      <c r="A52" s="11">
        <f t="shared" si="31"/>
        <v>49</v>
      </c>
      <c r="B52" s="77">
        <f>'Scénario référence'!$B$16*5+'Scénario référence'!$B$17*0+'Scénario référence'!$B$18*5</f>
        <v>1.75</v>
      </c>
      <c r="C52" s="20">
        <f>Calculateur!C51+'Scénario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52" s="12">
        <f t="shared" si="3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6.416666666666667</v>
      </c>
      <c r="H52" s="70">
        <f t="shared" si="1"/>
        <v>231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66.288063528682414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17.714285714285715</v>
      </c>
      <c r="N52" s="14">
        <f>IF('Données projet'!$A$36&gt;35,N51+M52-V51,IF(A52&lt;'Données projet'!$A$36,$K$205^A52,IF(A52='Données projet'!$A$36,'Données projet'!$B$36,N51+M52-V51)))</f>
        <v>411.14285714285728</v>
      </c>
      <c r="O52" s="14">
        <f>N52*VLOOKUP('Données projet'!$B$9,Paramètres!$A$1:$I$88,3,0)*VLOOKUP('Données projet'!$B$9,Paramètres!$A$1:$I$88,5,0)</f>
        <v>229.82885714285723</v>
      </c>
      <c r="P52" s="14">
        <f t="shared" si="33"/>
        <v>56.245674841098193</v>
      </c>
      <c r="Q52" s="22">
        <f t="shared" si="53"/>
        <v>498.24647653872233</v>
      </c>
      <c r="R52" s="62">
        <f t="shared" si="0"/>
        <v>777.96937614389117</v>
      </c>
      <c r="S52" s="62">
        <f ca="1">AVERAGE(OFFSET($R$3,0,0,'Données projet'!$E$9+1,1))-AVERAGE(OFFSET($H$3,0,0,'Données projet'!$E$9+1,1))</f>
        <v>341.05096821796769</v>
      </c>
      <c r="T52" s="62">
        <f t="shared" si="34"/>
        <v>400.72519822215168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projet'!$B$9,Paramètres!$A$1:$I$88,7,0))</f>
        <v>0</v>
      </c>
      <c r="X52" s="17">
        <f>IF(ISNA(VLOOKUP(A52,'Données projet'!$A$35:$I$55,6,0)),0%,VLOOKUP(A52,'Données projet'!$A$35:$I$55,6,0)*VLOOKUP('Données projet'!$B$9,Paramètres!$A$1:$I$88,7,0))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projet'!$B$9,Paramètres!$A$1:$I$88,3,0)*0.475*44/12</f>
        <v>26.344426894661382</v>
      </c>
      <c r="AA52" s="23">
        <f>EXP(-LN(2)/25)*AA51+(1-EXP(-LN(2)/25))/(LN(2)/25)*Calculateur!V52*Calculateur!X52*VLOOKUP('Données projet'!$B$9,Paramètres!$A$1:$I$88,3,0)*0.475*44/12</f>
        <v>48.262237585580884</v>
      </c>
      <c r="AB52" s="23">
        <f>EXP(-LN(2)/2)*AB51+(1-EXP(-LN(2)/2))/(LN(2)/2)*V52*Y52*VLOOKUP('Données projet'!$B$9,Paramètres!$A$1:$I$88,3,0)*0.475*44/12</f>
        <v>0</v>
      </c>
      <c r="AC52" s="24">
        <f t="shared" si="3"/>
        <v>74.606664480242273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66.288063528682414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5.1999999999999993</v>
      </c>
      <c r="AI52" s="14">
        <f>IF('Données projet'!$A$62&gt;35,AI51+AH52-AQ51,IF(A52&lt;'Données projet'!$A$62,$AF$205^A52,IF(A52='Données projet'!$A$62,'Données projet'!$B$62,AI51+AH52-AQ51)))</f>
        <v>220.70000000000005</v>
      </c>
      <c r="AJ52" s="14">
        <f>AI52*VLOOKUP('Données projet'!$B$10,Paramètres!$A$1:$I$88,3,0)*VLOOKUP('Données projet'!$B$10,Paramètres!$A$1:$I$88,5,0)</f>
        <v>131.97860000000003</v>
      </c>
      <c r="AK52" s="14">
        <f t="shared" si="35"/>
        <v>34.453152988345146</v>
      </c>
      <c r="AL52" s="22">
        <f t="shared" si="4"/>
        <v>289.86863645470117</v>
      </c>
      <c r="AM52" s="62">
        <f t="shared" si="5"/>
        <v>569.59153605987001</v>
      </c>
      <c r="AN52" s="62">
        <f ca="1">AVERAGE(OFFSET($AM$3,0,0,'Données projet'!$E$10+1,1))-AVERAGE(OFFSET($H$3,0,0,'Données projet'!$E$10+1,1))</f>
        <v>231.96474801342879</v>
      </c>
      <c r="AO52" s="62">
        <f t="shared" si="36"/>
        <v>237.75726086383668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projet'!$B$10,Paramètres!$A$1:$I$88,7,0))</f>
        <v>0</v>
      </c>
      <c r="AS52" s="17">
        <f>IF(ISNA(VLOOKUP(A52,'Données projet'!$A$61:$I$81,6,0)),0%,VLOOKUP(A52,'Données projet'!$A$61:$I$81,6,0)*VLOOKUP('Données projet'!$B$10,Paramètres!$A$1:$I$88,7,0))</f>
        <v>0</v>
      </c>
      <c r="AT52" s="17">
        <f>IF(ISNA(VLOOKUP(A52,'Données projet'!$A$61:$I$81,7,0)),0%,VLOOKUP(A52,'Données projet'!$A$61:$I$81,7,0))</f>
        <v>0</v>
      </c>
      <c r="AU52" s="23">
        <f>EXP(-LN(2)/35)*AU51+(1-EXP(-LN(2)/35))/(LN(2)/35)*AQ52*AR52*VLOOKUP('Données projet'!$B$10,Paramètres!$A$1:$I$88,3,0)*0.475*44/12</f>
        <v>9.3846020423692504</v>
      </c>
      <c r="AV52" s="23">
        <f>EXP(-LN(2)/25)*AV51+(1-EXP(-LN(2)/25))/(LN(2)/25)*Calculateur!AQ52*Calculateur!AS52*VLOOKUP('Données projet'!$B$10,Paramètres!$A$1:$I$88,3,0)*0.475*44/12</f>
        <v>21.878737310057645</v>
      </c>
      <c r="AW52" s="23">
        <f>EXP(-LN(2)/2)*AW51+(1-EXP(-LN(2)/2))/(LN(2)/2)*AQ52*AT52*VLOOKUP('Données projet'!$B$10,Paramètres!$A$1:$I$88,3,0)*0.475*44/12</f>
        <v>0</v>
      </c>
      <c r="AX52" s="23">
        <f t="shared" si="6"/>
        <v>31.263339352426897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66.288063528682414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18.100000000000001</v>
      </c>
      <c r="BD52" s="13">
        <f>IF('Données projet'!$A$88&gt;35,BD51+BC52-BL51,IF(A52&lt;'Données projet'!$A$88,$BA$205^A52,IF(A52='Données projet'!$A$88,'Données projet'!$B$88,BD51+BC52-BL51)))</f>
        <v>252.30000000000018</v>
      </c>
      <c r="BE52" s="14">
        <f>BD52*VLOOKUP('Données projet'!$B$11,Paramètres!$A$1:$I$88,3,0)*VLOOKUP('Données projet'!$B$11,Paramètres!$A$1:$I$88,5,0)</f>
        <v>118.07640000000008</v>
      </c>
      <c r="BF52" s="14">
        <f t="shared" si="37"/>
        <v>31.225930100508261</v>
      </c>
      <c r="BG52" s="22">
        <f t="shared" si="7"/>
        <v>260.03489159171863</v>
      </c>
      <c r="BH52" s="62">
        <f t="shared" si="8"/>
        <v>539.75779119688741</v>
      </c>
      <c r="BI52" s="62">
        <f ca="1">AVERAGE(OFFSET($BH$3,0,0,'Données projet'!$E$11+1,1))-AVERAGE(OFFSET($H$3,0,0,'Données projet'!$E$11+1,1))</f>
        <v>364.96458059055169</v>
      </c>
      <c r="BJ52" s="62">
        <f t="shared" si="38"/>
        <v>246.27159120786257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projet'!$B$11,Paramètres!$A$1:$I$88,7,0))</f>
        <v>0</v>
      </c>
      <c r="BN52" s="17">
        <f>IF(ISNA(VLOOKUP(A52,'Données projet'!$A$87:$I$107,6,0)),0%,VLOOKUP(A52,'Données projet'!$A$87:$I$107,6,0)*VLOOKUP('Données projet'!$B$11,Paramètres!$A$1:$I$88,7,0))</f>
        <v>0</v>
      </c>
      <c r="BO52" s="17">
        <f>IF(ISNA(VLOOKUP(A52,'Données projet'!$A$87:$I$107,7,0)),0%,VLOOKUP(A52,'Données projet'!$A$87:$I$107,7,0))</f>
        <v>0</v>
      </c>
      <c r="BP52" s="23">
        <f>EXP(-LN(2)/35)*BP51+(1-EXP(-LN(2)/35))/(LN(2)/35)*BL52*BM52*VLOOKUP('Données projet'!$B$11,Paramètres!$A$1:$I$88,3,0)*0.475*44/12</f>
        <v>16.409845949342841</v>
      </c>
      <c r="BQ52" s="23">
        <f>EXP(-LN(2)/25)*BQ51+(1-EXP(-LN(2)/25))/(LN(2)/25)*Calculateur!BL52*Calculateur!BN52*VLOOKUP('Données projet'!$B$11,Paramètres!$A$1:$I$88,3,0)*0.475*44/12</f>
        <v>15.961368250636934</v>
      </c>
      <c r="BR52" s="23">
        <f>EXP(-LN(2)/2)*BR51+(1-EXP(-LN(2)/2))/(LN(2)/2)*BL52*BO52*VLOOKUP('Données projet'!$B$11,Paramètres!$A$1:$I$88,3,0)*0.475*44/12</f>
        <v>0</v>
      </c>
      <c r="BS52" s="24">
        <f t="shared" si="9"/>
        <v>32.371214199979775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66.288063528682414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4.1666667007873768</v>
      </c>
      <c r="BY52" s="13">
        <f>IF('Données projet'!$A$114&gt;35,BY51+BX52-CG51,IF(A52&lt;'Données projet'!$A$114,$BV$205^A52,IF(A52='Données projet'!$A$114,'Données projet'!$B$114,BY51+BX52-CG51)))</f>
        <v>204.16666833858136</v>
      </c>
      <c r="BZ52" s="14">
        <f>BY52*VLOOKUP('Données projet'!$B$12,Paramètres!$A$1:$I$88,3,0)*VLOOKUP('Données projet'!$B$12,Paramètres!$A$1:$I$88,5,0)</f>
        <v>207.02500169532149</v>
      </c>
      <c r="CA52" s="14">
        <f t="shared" si="39"/>
        <v>51.284934854649741</v>
      </c>
      <c r="CB52" s="22">
        <f t="shared" si="10"/>
        <v>449.88980615786653</v>
      </c>
      <c r="CC52" s="62">
        <f t="shared" si="11"/>
        <v>729.61270576303536</v>
      </c>
      <c r="CD52" s="62">
        <f ca="1">AVERAGE(OFFSET($CC$3,0,0,'Données projet'!$E$12+1,1))-AVERAGE(OFFSET($H$3,0,0,'Données projet'!$E$12+1,1))</f>
        <v>310.53598044763282</v>
      </c>
      <c r="CE52" s="62">
        <f t="shared" si="40"/>
        <v>322.01096634040596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projet'!$B$12,Paramètres!$A$1:$I$88,7,0))</f>
        <v>0</v>
      </c>
      <c r="CI52" s="17">
        <f>IF(ISNA(VLOOKUP(A52,'Données projet'!$A$113:$I$133,6,0)),0%,VLOOKUP(A52,'Données projet'!$A$113:$I$133,6,0)*VLOOKUP('Données projet'!$B$12,Paramètres!$A$1:$I$88,7,0))</f>
        <v>0</v>
      </c>
      <c r="CJ52" s="17">
        <f>IF(ISNA(VLOOKUP(A52,'Données projet'!$A$113:$I$133,7,0)),0%,VLOOKUP(A52,'Données projet'!$A$113:$I$133,7,0))</f>
        <v>0</v>
      </c>
      <c r="CK52" s="23">
        <f>EXP(-LN(2)/35)*CK51+(1-EXP(-LN(2)/35))/(LN(2)/35)*CG52*CH52*VLOOKUP('Données projet'!$B$12,Paramètres!$A$1:$I$88,3,0)*0.475*44/12</f>
        <v>0</v>
      </c>
      <c r="CL52" s="23">
        <f>EXP(-LN(2)/25)*CL51+(1-EXP(-LN(2)/25))/(LN(2)/25)*Calculateur!CG52*Calculateur!CI52*VLOOKUP('Données projet'!$B$12,Paramètres!$A$1:$I$88,3,0)*0.475*44/12</f>
        <v>0</v>
      </c>
      <c r="CM52" s="23">
        <f>EXP(-LN(2)/2)*CM51+(1-EXP(-LN(2)/2))/(LN(2)/2)*CG52*CJ52*VLOOKUP('Données projet'!$B$12,Paramètres!$A$1:$I$88,3,0)*0.475*44/12</f>
        <v>0</v>
      </c>
      <c r="CN52" s="24">
        <f t="shared" si="12"/>
        <v>0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66.288063528682414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projet'!$B$13,Paramètres!$A$1:$I$88,3,0)*VLOOKUP('Données projet'!$B$13,Paramètres!$A$1:$I$88,5,0)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projet'!$B$13,Paramètres!$A$1:$I$88,7,0))</f>
        <v>0</v>
      </c>
      <c r="DD52" s="17">
        <f>IF(ISNA(VLOOKUP(A52,'Données projet'!$A$139:$I$159,6,0)),0%,VLOOKUP(A52,'Données projet'!$A$139:$I$159,6,0)*VLOOKUP('Données projet'!$B$13,Paramètres!$A$1:$I$88,7,0))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projet'!$B$13,Paramètres!$A$1:$I$88,3,0)*0.475*44/12</f>
        <v>#N/A</v>
      </c>
      <c r="DG52" s="23" t="e">
        <f>EXP(-LN(2)/25)*DG51+(1-EXP(-LN(2)/25))/(LN(2)/25)*Calculateur!DB52*Calculateur!DD52*VLOOKUP('Données projet'!$B$13,Paramètres!$A$1:$I$88,3,0)*0.475*44/12</f>
        <v>#N/A</v>
      </c>
      <c r="DH52" s="23" t="e">
        <f>EXP(-LN(2)/2)*DH51+(1-EXP(-LN(2)/2))/(LN(2)/2)*DB52*DE52*VLOOKUP('Données projet'!$B$13,Paramètres!$A$1:$I$88,3,0)*0.475*44/12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66.288063528682414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projet'!$B$14,Paramètres!$A$1:$I$88,3,0)*VLOOKUP('Données projet'!$B$14,Paramètres!$A$1:$I$88,5,0)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projet'!$B$14,Paramètres!$A$1:$I$88,7,0))</f>
        <v>0</v>
      </c>
      <c r="DY52" s="17">
        <f>IF(ISNA(VLOOKUP(A52,'Données projet'!$A$165:$I$185,6,0)),0%,VLOOKUP(A52,'Données projet'!$A$165:$I$185,6,0)*VLOOKUP('Données projet'!$B$14,Paramètres!$A$1:$I$88,7,0))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projet'!$B$14,Paramètres!$A$1:$I$88,3,0)*0.475*44/12</f>
        <v>#N/A</v>
      </c>
      <c r="EB52" s="23" t="e">
        <f>EXP(-LN(2)/25)*EB51+(1-EXP(-LN(2)/25))/(LN(2)/25)*Calculateur!DW52*Calculateur!DY52*VLOOKUP('Données projet'!$B$14,Paramètres!$A$1:$I$88,3,0)*0.475*44/12</f>
        <v>#N/A</v>
      </c>
      <c r="EC52" s="23" t="e">
        <f>EXP(-LN(2)/2)*EC51+(1-EXP(-LN(2)/2))/(LN(2)/2)*DW52*DZ52*VLOOKUP('Données projet'!$B$14,Paramètres!$A$1:$I$88,3,0)*0.475*44/12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66.288063528682414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projet'!$B$15,Paramètres!$A$1:$I$88,3,0)*VLOOKUP('Données projet'!$B$15,Paramètres!$A$1:$I$88,5,0)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projet'!$B$15,Paramètres!$A$1:$I$88,7,0))</f>
        <v>0</v>
      </c>
      <c r="ET52" s="17">
        <f>IF(ISNA(VLOOKUP(A52,'Données projet'!$A$191:$I$211,6,0)),0%,VLOOKUP(A52,'Données projet'!$A$191:$I$211,6,0)*VLOOKUP('Données projet'!$B$15,Paramètres!$A$1:$I$88,7,0))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projet'!$B$15,Paramètres!$A$1:$I$88,3,0)*0.475*44/12</f>
        <v>#N/A</v>
      </c>
      <c r="EW52" s="23" t="e">
        <f>EXP(-LN(2)/25)*EW51+(1-EXP(-LN(2)/25))/(LN(2)/25)*Calculateur!ER52*Calculateur!ET52*VLOOKUP('Données projet'!$B$15,Paramètres!$A$1:$I$88,3,0)*0.475*44/12</f>
        <v>#N/A</v>
      </c>
      <c r="EX52" s="23" t="e">
        <f>EXP(-LN(2)/2)*EX51+(1-EXP(-LN(2)/2))/(LN(2)/2)*ER52*EU52*VLOOKUP('Données projet'!$B$15,Paramètres!$A$1:$I$88,3,0)*0.475*44/12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66.288063528682414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projet'!$B$16,Paramètres!$A$1:$I$88,3,0)*VLOOKUP('Données projet'!$B$16,Paramètres!$A$1:$I$88,5,0)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projet'!$B$16,Paramètres!$A$1:$I$88,7,0))</f>
        <v>0</v>
      </c>
      <c r="FO52" s="17">
        <f>IF(ISNA(VLOOKUP(A52,'Données projet'!$A$217:$I$237,6,0)),0%,VLOOKUP(A52,'Données projet'!$A$217:$I$237,6,0)*VLOOKUP('Données projet'!$B$16,Paramètres!$A$1:$I$88,7,0))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projet'!$B$16,Paramètres!$A$1:$I$88,3,0)*0.475*44/12</f>
        <v>#N/A</v>
      </c>
      <c r="FR52" s="23" t="e">
        <f>EXP(-LN(2)/25)*FR51+(1-EXP(-LN(2)/25))/(LN(2)/25)*Calculateur!FM52*Calculateur!FO52*VLOOKUP('Données projet'!$B$16,Paramètres!$A$1:$I$88,3,0)*0.475*44/12</f>
        <v>#N/A</v>
      </c>
      <c r="FS52" s="23" t="e">
        <f>EXP(-LN(2)/2)*FS51+(1-EXP(-LN(2)/2))/(LN(2)/2)*FM52*FP52*VLOOKUP('Données projet'!$B$16,Paramètres!$A$1:$I$88,3,0)*0.475*44/12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66.288063528682414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projet'!$B$17,Paramètres!$A$1:$I$88,3,0)*VLOOKUP('Données projet'!$B$17,Paramètres!$A$1:$I$88,5,0)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projet'!$B$17,Paramètres!$A$1:$I$88,7,0))</f>
        <v>0</v>
      </c>
      <c r="GJ52" s="17">
        <f>IF(ISNA(VLOOKUP(A52,'Données projet'!$A$243:$I$263,6,0)),0%,VLOOKUP(A52,'Données projet'!$A$243:$I$263,6,0)*VLOOKUP('Données projet'!$B$17,Paramètres!$A$1:$I$88,7,0))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projet'!$B$17,Paramètres!$A$1:$I$88,3,0)*0.475*44/12</f>
        <v>#N/A</v>
      </c>
      <c r="GM52" s="23" t="e">
        <f>EXP(-LN(2)/25)*GM51+(1-EXP(-LN(2)/25))/(LN(2)/25)*Calculateur!GH52*Calculateur!GJ52*VLOOKUP('Données projet'!$B$17,Paramètres!$A$1:$I$88,3,0)*0.475*44/12</f>
        <v>#N/A</v>
      </c>
      <c r="GN52" s="23" t="e">
        <f>EXP(-LN(2)/2)*GN51+(1-EXP(-LN(2)/2))/(LN(2)/2)*GH52*GK52*VLOOKUP('Données projet'!$B$17,Paramètres!$A$1:$I$88,3,0)*0.475*44/12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66.288063528682414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projet'!$B$18,Paramètres!$A$1:$I$88,3,0)*VLOOKUP('Données projet'!$B$18,Paramètres!$A$1:$I$88,5,0)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projet'!$B$18,Paramètres!$A$1:$I$88,7,0))</f>
        <v>0</v>
      </c>
      <c r="HE52" s="17">
        <f>IF(ISNA(VLOOKUP(A52,'Données projet'!$A$269:$I$289,6,0)),0%,VLOOKUP(A52,'Données projet'!$A$269:$I$289,6,0)*VLOOKUP('Données projet'!$B$18,Paramètres!$A$1:$I$88,7,0))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projet'!$B$18,Paramètres!$A$1:$I$88,3,0)*0.475*44/12</f>
        <v>#N/A</v>
      </c>
      <c r="HH52" s="23" t="e">
        <f>EXP(-LN(2)/25)*HH51+(1-EXP(-LN(2)/25))/(LN(2)/25)*Calculateur!HC52*Calculateur!HE52*VLOOKUP('Données projet'!$B$18,Paramètres!$A$1:$I$88,3,0)*0.475*44/12</f>
        <v>#N/A</v>
      </c>
      <c r="HI52" s="23" t="e">
        <f>EXP(-LN(2)/2)*HI51+(1-EXP(-LN(2)/2))/(LN(2)/2)*HC52*HF52*VLOOKUP('Données projet'!$B$18,Paramètres!$A$1:$I$88,3,0)*0.475*44/12</f>
        <v>#N/A</v>
      </c>
      <c r="HJ52" s="24" t="e">
        <f t="shared" si="30"/>
        <v>#N/A</v>
      </c>
    </row>
    <row r="53" spans="1:218" s="5" customFormat="1" x14ac:dyDescent="0.35">
      <c r="A53" s="11">
        <f t="shared" si="31"/>
        <v>50</v>
      </c>
      <c r="B53" s="77">
        <f>'Scénario référence'!$B$16*5+'Scénario référence'!$B$17*0+'Scénario référence'!$B$18*5</f>
        <v>1.75</v>
      </c>
      <c r="C53" s="20">
        <f>Calculateur!C52+'Scénario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53" s="12">
        <f t="shared" si="3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6.416666666666667</v>
      </c>
      <c r="H53" s="70">
        <f t="shared" si="1"/>
        <v>231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66.352457327813056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17.714285714285715</v>
      </c>
      <c r="N53" s="14">
        <f>IF('Données projet'!$A$36&gt;35,N52+M53-V52,IF(A53&lt;'Données projet'!$A$36,$K$205^A53,IF(A53='Données projet'!$A$36,'Données projet'!$B$36,N52+M53-V52)))</f>
        <v>428.857142857143</v>
      </c>
      <c r="O53" s="14">
        <f>N53*VLOOKUP('Données projet'!$B$9,Paramètres!$A$1:$I$88,3,0)*VLOOKUP('Données projet'!$B$9,Paramètres!$A$1:$I$88,5,0)</f>
        <v>239.73114285714294</v>
      </c>
      <c r="P53" s="14">
        <f t="shared" si="33"/>
        <v>58.381680785216801</v>
      </c>
      <c r="Q53" s="22">
        <f t="shared" si="53"/>
        <v>519.21316784377643</v>
      </c>
      <c r="R53" s="62">
        <f t="shared" si="0"/>
        <v>799.17217804575762</v>
      </c>
      <c r="S53" s="62">
        <f ca="1">AVERAGE(OFFSET($R$3,0,0,'Données projet'!$E$9+1,1))-AVERAGE(OFFSET($H$3,0,0,'Données projet'!$E$9+1,1))</f>
        <v>341.05096821796769</v>
      </c>
      <c r="T53" s="62">
        <f t="shared" si="34"/>
        <v>400.72519822215168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projet'!$B$9,Paramètres!$A$1:$I$88,7,0))</f>
        <v>0</v>
      </c>
      <c r="X53" s="17">
        <f>IF(ISNA(VLOOKUP(A53,'Données projet'!$A$35:$I$55,6,0)),0%,VLOOKUP(A53,'Données projet'!$A$35:$I$55,6,0)*VLOOKUP('Données projet'!$B$9,Paramètres!$A$1:$I$88,7,0))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projet'!$B$9,Paramètres!$A$1:$I$88,3,0)*0.475*44/12</f>
        <v>25.827828751770845</v>
      </c>
      <c r="AA53" s="23">
        <f>EXP(-LN(2)/25)*AA52+(1-EXP(-LN(2)/25))/(LN(2)/25)*Calculateur!V53*Calculateur!X53*VLOOKUP('Données projet'!$B$9,Paramètres!$A$1:$I$88,3,0)*0.475*44/12</f>
        <v>46.942504160802407</v>
      </c>
      <c r="AB53" s="23">
        <f>EXP(-LN(2)/2)*AB52+(1-EXP(-LN(2)/2))/(LN(2)/2)*V53*Y53*VLOOKUP('Données projet'!$B$9,Paramètres!$A$1:$I$88,3,0)*0.475*44/12</f>
        <v>0</v>
      </c>
      <c r="AC53" s="24">
        <f t="shared" si="3"/>
        <v>72.770332912573252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66.352457327813056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5.1999999999999993</v>
      </c>
      <c r="AI53" s="14">
        <f>IF('Données projet'!$A$62&gt;35,AI52+AH53-AQ52,IF(A53&lt;'Données projet'!$A$62,$AF$205^A53,IF(A53='Données projet'!$A$62,'Données projet'!$B$62,AI52+AH53-AQ52)))</f>
        <v>225.90000000000003</v>
      </c>
      <c r="AJ53" s="14">
        <f>AI53*VLOOKUP('Données projet'!$B$10,Paramètres!$A$1:$I$88,3,0)*VLOOKUP('Données projet'!$B$10,Paramètres!$A$1:$I$88,5,0)</f>
        <v>135.08820000000003</v>
      </c>
      <c r="AK53" s="14">
        <f t="shared" si="35"/>
        <v>35.169452920058376</v>
      </c>
      <c r="AL53" s="22">
        <f t="shared" si="4"/>
        <v>296.53207883576835</v>
      </c>
      <c r="AM53" s="62">
        <f t="shared" si="5"/>
        <v>576.49108903774959</v>
      </c>
      <c r="AN53" s="62">
        <f ca="1">AVERAGE(OFFSET($AM$3,0,0,'Données projet'!$E$10+1,1))-AVERAGE(OFFSET($H$3,0,0,'Données projet'!$E$10+1,1))</f>
        <v>231.96474801342879</v>
      </c>
      <c r="AO53" s="62">
        <f t="shared" si="36"/>
        <v>237.75726086383668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projet'!$B$10,Paramètres!$A$1:$I$88,7,0))</f>
        <v>0</v>
      </c>
      <c r="AS53" s="17">
        <f>IF(ISNA(VLOOKUP(A53,'Données projet'!$A$61:$I$81,6,0)),0%,VLOOKUP(A53,'Données projet'!$A$61:$I$81,6,0)*VLOOKUP('Données projet'!$B$10,Paramètres!$A$1:$I$88,7,0))</f>
        <v>0</v>
      </c>
      <c r="AT53" s="17">
        <f>IF(ISNA(VLOOKUP(A53,'Données projet'!$A$61:$I$81,7,0)),0%,VLOOKUP(A53,'Données projet'!$A$61:$I$81,7,0))</f>
        <v>0</v>
      </c>
      <c r="AU53" s="23">
        <f>EXP(-LN(2)/35)*AU52+(1-EXP(-LN(2)/35))/(LN(2)/35)*AQ53*AR53*VLOOKUP('Données projet'!$B$10,Paramètres!$A$1:$I$88,3,0)*0.475*44/12</f>
        <v>9.2005757203604333</v>
      </c>
      <c r="AV53" s="23">
        <f>EXP(-LN(2)/25)*AV52+(1-EXP(-LN(2)/25))/(LN(2)/25)*Calculateur!AQ53*Calculateur!AS53*VLOOKUP('Données projet'!$B$10,Paramètres!$A$1:$I$88,3,0)*0.475*44/12</f>
        <v>21.280462087761329</v>
      </c>
      <c r="AW53" s="23">
        <f>EXP(-LN(2)/2)*AW52+(1-EXP(-LN(2)/2))/(LN(2)/2)*AQ53*AT53*VLOOKUP('Données projet'!$B$10,Paramètres!$A$1:$I$88,3,0)*0.475*44/12</f>
        <v>0</v>
      </c>
      <c r="AX53" s="23">
        <f t="shared" si="6"/>
        <v>30.481037808121762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66.352457327813056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18.100000000000001</v>
      </c>
      <c r="BD53" s="13">
        <f>IF('Données projet'!$A$88&gt;35,BD52+BC53-BL52,IF(A53&lt;'Données projet'!$A$88,$BA$205^A53,IF(A53='Données projet'!$A$88,'Données projet'!$B$88,BD52+BC53-BL52)))</f>
        <v>270.4000000000002</v>
      </c>
      <c r="BE53" s="14">
        <f>BD53*VLOOKUP('Données projet'!$B$11,Paramètres!$A$1:$I$88,3,0)*VLOOKUP('Données projet'!$B$11,Paramètres!$A$1:$I$88,5,0)</f>
        <v>126.54720000000009</v>
      </c>
      <c r="BF53" s="14">
        <f t="shared" si="37"/>
        <v>33.197272969362459</v>
      </c>
      <c r="BG53" s="22">
        <f t="shared" si="7"/>
        <v>278.22162375497311</v>
      </c>
      <c r="BH53" s="62">
        <f t="shared" si="8"/>
        <v>558.18063395695435</v>
      </c>
      <c r="BI53" s="62">
        <f ca="1">AVERAGE(OFFSET($BH$3,0,0,'Données projet'!$E$11+1,1))-AVERAGE(OFFSET($H$3,0,0,'Données projet'!$E$11+1,1))</f>
        <v>364.96458059055169</v>
      </c>
      <c r="BJ53" s="62">
        <f t="shared" si="38"/>
        <v>246.27159120786257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projet'!$B$11,Paramètres!$A$1:$I$88,7,0))</f>
        <v>0</v>
      </c>
      <c r="BN53" s="17">
        <f>IF(ISNA(VLOOKUP(A53,'Données projet'!$A$87:$I$107,6,0)),0%,VLOOKUP(A53,'Données projet'!$A$87:$I$107,6,0)*VLOOKUP('Données projet'!$B$11,Paramètres!$A$1:$I$88,7,0))</f>
        <v>0</v>
      </c>
      <c r="BO53" s="17">
        <f>IF(ISNA(VLOOKUP(A53,'Données projet'!$A$87:$I$107,7,0)),0%,VLOOKUP(A53,'Données projet'!$A$87:$I$107,7,0))</f>
        <v>0</v>
      </c>
      <c r="BP53" s="23">
        <f>EXP(-LN(2)/35)*BP52+(1-EXP(-LN(2)/35))/(LN(2)/35)*BL53*BM53*VLOOKUP('Données projet'!$B$11,Paramètres!$A$1:$I$88,3,0)*0.475*44/12</f>
        <v>16.08805887929395</v>
      </c>
      <c r="BQ53" s="23">
        <f>EXP(-LN(2)/25)*BQ52+(1-EXP(-LN(2)/25))/(LN(2)/25)*Calculateur!BL53*Calculateur!BN53*VLOOKUP('Données projet'!$B$11,Paramètres!$A$1:$I$88,3,0)*0.475*44/12</f>
        <v>15.52490379645139</v>
      </c>
      <c r="BR53" s="23">
        <f>EXP(-LN(2)/2)*BR52+(1-EXP(-LN(2)/2))/(LN(2)/2)*BL53*BO53*VLOOKUP('Données projet'!$B$11,Paramètres!$A$1:$I$88,3,0)*0.475*44/12</f>
        <v>0</v>
      </c>
      <c r="BS53" s="24">
        <f t="shared" si="9"/>
        <v>31.61296267574534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66.352457327813056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4.1666667007873768</v>
      </c>
      <c r="BY53" s="13">
        <f>IF('Données projet'!$A$114&gt;35,BY52+BX53-CG52,IF(A53&lt;'Données projet'!$A$114,$BV$205^A53,IF(A53='Données projet'!$A$114,'Données projet'!$B$114,BY52+BX53-CG52)))</f>
        <v>208.33333503936873</v>
      </c>
      <c r="BZ53" s="14">
        <f>BY53*VLOOKUP('Données projet'!$B$12,Paramètres!$A$1:$I$88,3,0)*VLOOKUP('Données projet'!$B$12,Paramètres!$A$1:$I$88,5,0)</f>
        <v>211.25000172991989</v>
      </c>
      <c r="CA53" s="14">
        <f t="shared" si="39"/>
        <v>52.208648105367558</v>
      </c>
      <c r="CB53" s="22">
        <f t="shared" si="10"/>
        <v>458.85714846312567</v>
      </c>
      <c r="CC53" s="62">
        <f t="shared" si="11"/>
        <v>738.81615866510697</v>
      </c>
      <c r="CD53" s="62">
        <f ca="1">AVERAGE(OFFSET($CC$3,0,0,'Données projet'!$E$12+1,1))-AVERAGE(OFFSET($H$3,0,0,'Données projet'!$E$12+1,1))</f>
        <v>310.53598044763282</v>
      </c>
      <c r="CE53" s="62">
        <f t="shared" si="40"/>
        <v>322.01096634040596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projet'!$B$12,Paramètres!$A$1:$I$88,7,0))</f>
        <v>0</v>
      </c>
      <c r="CI53" s="17">
        <f>IF(ISNA(VLOOKUP(A53,'Données projet'!$A$113:$I$133,6,0)),0%,VLOOKUP(A53,'Données projet'!$A$113:$I$133,6,0)*VLOOKUP('Données projet'!$B$12,Paramètres!$A$1:$I$88,7,0))</f>
        <v>0</v>
      </c>
      <c r="CJ53" s="17">
        <f>IF(ISNA(VLOOKUP(A53,'Données projet'!$A$113:$I$133,7,0)),0%,VLOOKUP(A53,'Données projet'!$A$113:$I$133,7,0))</f>
        <v>0</v>
      </c>
      <c r="CK53" s="23">
        <f>EXP(-LN(2)/35)*CK52+(1-EXP(-LN(2)/35))/(LN(2)/35)*CG53*CH53*VLOOKUP('Données projet'!$B$12,Paramètres!$A$1:$I$88,3,0)*0.475*44/12</f>
        <v>0</v>
      </c>
      <c r="CL53" s="23">
        <f>EXP(-LN(2)/25)*CL52+(1-EXP(-LN(2)/25))/(LN(2)/25)*Calculateur!CG53*Calculateur!CI53*VLOOKUP('Données projet'!$B$12,Paramètres!$A$1:$I$88,3,0)*0.475*44/12</f>
        <v>0</v>
      </c>
      <c r="CM53" s="23">
        <f>EXP(-LN(2)/2)*CM52+(1-EXP(-LN(2)/2))/(LN(2)/2)*CG53*CJ53*VLOOKUP('Données projet'!$B$12,Paramètres!$A$1:$I$88,3,0)*0.475*44/12</f>
        <v>0</v>
      </c>
      <c r="CN53" s="24">
        <f t="shared" si="12"/>
        <v>0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66.352457327813056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projet'!$B$13,Paramètres!$A$1:$I$88,3,0)*VLOOKUP('Données projet'!$B$13,Paramètres!$A$1:$I$88,5,0)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projet'!$B$13,Paramètres!$A$1:$I$88,7,0))</f>
        <v>0</v>
      </c>
      <c r="DD53" s="17">
        <f>IF(ISNA(VLOOKUP(A53,'Données projet'!$A$139:$I$159,6,0)),0%,VLOOKUP(A53,'Données projet'!$A$139:$I$159,6,0)*VLOOKUP('Données projet'!$B$13,Paramètres!$A$1:$I$88,7,0))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projet'!$B$13,Paramètres!$A$1:$I$88,3,0)*0.475*44/12</f>
        <v>#N/A</v>
      </c>
      <c r="DG53" s="23" t="e">
        <f>EXP(-LN(2)/25)*DG52+(1-EXP(-LN(2)/25))/(LN(2)/25)*Calculateur!DB53*Calculateur!DD53*VLOOKUP('Données projet'!$B$13,Paramètres!$A$1:$I$88,3,0)*0.475*44/12</f>
        <v>#N/A</v>
      </c>
      <c r="DH53" s="23" t="e">
        <f>EXP(-LN(2)/2)*DH52+(1-EXP(-LN(2)/2))/(LN(2)/2)*DB53*DE53*VLOOKUP('Données projet'!$B$13,Paramètres!$A$1:$I$88,3,0)*0.475*44/12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66.352457327813056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projet'!$B$14,Paramètres!$A$1:$I$88,3,0)*VLOOKUP('Données projet'!$B$14,Paramètres!$A$1:$I$88,5,0)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projet'!$B$14,Paramètres!$A$1:$I$88,7,0))</f>
        <v>0</v>
      </c>
      <c r="DY53" s="17">
        <f>IF(ISNA(VLOOKUP(A53,'Données projet'!$A$165:$I$185,6,0)),0%,VLOOKUP(A53,'Données projet'!$A$165:$I$185,6,0)*VLOOKUP('Données projet'!$B$14,Paramètres!$A$1:$I$88,7,0))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projet'!$B$14,Paramètres!$A$1:$I$88,3,0)*0.475*44/12</f>
        <v>#N/A</v>
      </c>
      <c r="EB53" s="23" t="e">
        <f>EXP(-LN(2)/25)*EB52+(1-EXP(-LN(2)/25))/(LN(2)/25)*Calculateur!DW53*Calculateur!DY53*VLOOKUP('Données projet'!$B$14,Paramètres!$A$1:$I$88,3,0)*0.475*44/12</f>
        <v>#N/A</v>
      </c>
      <c r="EC53" s="23" t="e">
        <f>EXP(-LN(2)/2)*EC52+(1-EXP(-LN(2)/2))/(LN(2)/2)*DW53*DZ53*VLOOKUP('Données projet'!$B$14,Paramètres!$A$1:$I$88,3,0)*0.475*44/12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66.352457327813056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projet'!$B$15,Paramètres!$A$1:$I$88,3,0)*VLOOKUP('Données projet'!$B$15,Paramètres!$A$1:$I$88,5,0)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projet'!$B$15,Paramètres!$A$1:$I$88,7,0))</f>
        <v>0</v>
      </c>
      <c r="ET53" s="17">
        <f>IF(ISNA(VLOOKUP(A53,'Données projet'!$A$191:$I$211,6,0)),0%,VLOOKUP(A53,'Données projet'!$A$191:$I$211,6,0)*VLOOKUP('Données projet'!$B$15,Paramètres!$A$1:$I$88,7,0))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projet'!$B$15,Paramètres!$A$1:$I$88,3,0)*0.475*44/12</f>
        <v>#N/A</v>
      </c>
      <c r="EW53" s="23" t="e">
        <f>EXP(-LN(2)/25)*EW52+(1-EXP(-LN(2)/25))/(LN(2)/25)*Calculateur!ER53*Calculateur!ET53*VLOOKUP('Données projet'!$B$15,Paramètres!$A$1:$I$88,3,0)*0.475*44/12</f>
        <v>#N/A</v>
      </c>
      <c r="EX53" s="23" t="e">
        <f>EXP(-LN(2)/2)*EX52+(1-EXP(-LN(2)/2))/(LN(2)/2)*ER53*EU53*VLOOKUP('Données projet'!$B$15,Paramètres!$A$1:$I$88,3,0)*0.475*44/12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66.352457327813056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projet'!$B$16,Paramètres!$A$1:$I$88,3,0)*VLOOKUP('Données projet'!$B$16,Paramètres!$A$1:$I$88,5,0)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projet'!$B$16,Paramètres!$A$1:$I$88,7,0))</f>
        <v>0</v>
      </c>
      <c r="FO53" s="17">
        <f>IF(ISNA(VLOOKUP(A53,'Données projet'!$A$217:$I$237,6,0)),0%,VLOOKUP(A53,'Données projet'!$A$217:$I$237,6,0)*VLOOKUP('Données projet'!$B$16,Paramètres!$A$1:$I$88,7,0))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projet'!$B$16,Paramètres!$A$1:$I$88,3,0)*0.475*44/12</f>
        <v>#N/A</v>
      </c>
      <c r="FR53" s="23" t="e">
        <f>EXP(-LN(2)/25)*FR52+(1-EXP(-LN(2)/25))/(LN(2)/25)*Calculateur!FM53*Calculateur!FO53*VLOOKUP('Données projet'!$B$16,Paramètres!$A$1:$I$88,3,0)*0.475*44/12</f>
        <v>#N/A</v>
      </c>
      <c r="FS53" s="23" t="e">
        <f>EXP(-LN(2)/2)*FS52+(1-EXP(-LN(2)/2))/(LN(2)/2)*FM53*FP53*VLOOKUP('Données projet'!$B$16,Paramètres!$A$1:$I$88,3,0)*0.475*44/12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66.352457327813056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projet'!$B$17,Paramètres!$A$1:$I$88,3,0)*VLOOKUP('Données projet'!$B$17,Paramètres!$A$1:$I$88,5,0)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projet'!$B$17,Paramètres!$A$1:$I$88,7,0))</f>
        <v>0</v>
      </c>
      <c r="GJ53" s="17">
        <f>IF(ISNA(VLOOKUP(A53,'Données projet'!$A$243:$I$263,6,0)),0%,VLOOKUP(A53,'Données projet'!$A$243:$I$263,6,0)*VLOOKUP('Données projet'!$B$17,Paramètres!$A$1:$I$88,7,0))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projet'!$B$17,Paramètres!$A$1:$I$88,3,0)*0.475*44/12</f>
        <v>#N/A</v>
      </c>
      <c r="GM53" s="23" t="e">
        <f>EXP(-LN(2)/25)*GM52+(1-EXP(-LN(2)/25))/(LN(2)/25)*Calculateur!GH53*Calculateur!GJ53*VLOOKUP('Données projet'!$B$17,Paramètres!$A$1:$I$88,3,0)*0.475*44/12</f>
        <v>#N/A</v>
      </c>
      <c r="GN53" s="23" t="e">
        <f>EXP(-LN(2)/2)*GN52+(1-EXP(-LN(2)/2))/(LN(2)/2)*GH53*GK53*VLOOKUP('Données projet'!$B$17,Paramètres!$A$1:$I$88,3,0)*0.475*44/12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66.352457327813056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projet'!$B$18,Paramètres!$A$1:$I$88,3,0)*VLOOKUP('Données projet'!$B$18,Paramètres!$A$1:$I$88,5,0)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projet'!$B$18,Paramètres!$A$1:$I$88,7,0))</f>
        <v>0</v>
      </c>
      <c r="HE53" s="17">
        <f>IF(ISNA(VLOOKUP(A53,'Données projet'!$A$269:$I$289,6,0)),0%,VLOOKUP(A53,'Données projet'!$A$269:$I$289,6,0)*VLOOKUP('Données projet'!$B$18,Paramètres!$A$1:$I$88,7,0))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projet'!$B$18,Paramètres!$A$1:$I$88,3,0)*0.475*44/12</f>
        <v>#N/A</v>
      </c>
      <c r="HH53" s="23" t="e">
        <f>EXP(-LN(2)/25)*HH52+(1-EXP(-LN(2)/25))/(LN(2)/25)*Calculateur!HC53*Calculateur!HE53*VLOOKUP('Données projet'!$B$18,Paramètres!$A$1:$I$88,3,0)*0.475*44/12</f>
        <v>#N/A</v>
      </c>
      <c r="HI53" s="23" t="e">
        <f>EXP(-LN(2)/2)*HI52+(1-EXP(-LN(2)/2))/(LN(2)/2)*HC53*HF53*VLOOKUP('Données projet'!$B$18,Paramètres!$A$1:$I$88,3,0)*0.475*44/12</f>
        <v>#N/A</v>
      </c>
      <c r="HJ53" s="24" t="e">
        <f t="shared" si="30"/>
        <v>#N/A</v>
      </c>
    </row>
    <row r="54" spans="1:218" s="5" customFormat="1" x14ac:dyDescent="0.35">
      <c r="A54" s="11">
        <f t="shared" si="31"/>
        <v>51</v>
      </c>
      <c r="B54" s="77">
        <f>'Scénario référence'!$B$16*5+'Scénario référence'!$B$17*0+'Scénario référence'!$B$18*5</f>
        <v>1.75</v>
      </c>
      <c r="C54" s="20">
        <f>Calculateur!C53+'Scénario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54" s="12">
        <f t="shared" si="3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6.416666666666667</v>
      </c>
      <c r="H54" s="70">
        <f t="shared" si="1"/>
        <v>231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66.415734038491735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17.714285714285715</v>
      </c>
      <c r="N54" s="14">
        <f>IF('Données projet'!$A$36&gt;35,N53+M54-V53,IF(A54&lt;'Données projet'!$A$36,$K$205^A54,IF(A54='Données projet'!$A$36,'Données projet'!$B$36,N53+M54-V53)))</f>
        <v>446.57142857142873</v>
      </c>
      <c r="O54" s="14">
        <f>N54*VLOOKUP('Données projet'!$B$9,Paramètres!$A$1:$I$88,3,0)*VLOOKUP('Données projet'!$B$9,Paramètres!$A$1:$I$88,5,0)</f>
        <v>249.63342857142865</v>
      </c>
      <c r="P54" s="14">
        <f t="shared" si="33"/>
        <v>60.50743839573984</v>
      </c>
      <c r="Q54" s="22">
        <f t="shared" si="53"/>
        <v>540.16200996781845</v>
      </c>
      <c r="R54" s="62">
        <f t="shared" si="0"/>
        <v>820.35303477562138</v>
      </c>
      <c r="S54" s="62">
        <f ca="1">AVERAGE(OFFSET($R$3,0,0,'Données projet'!$E$9+1,1))-AVERAGE(OFFSET($H$3,0,0,'Données projet'!$E$9+1,1))</f>
        <v>341.05096821796769</v>
      </c>
      <c r="T54" s="62">
        <f t="shared" si="34"/>
        <v>400.72519822215168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projet'!$B$9,Paramètres!$A$1:$I$88,7,0))</f>
        <v>0</v>
      </c>
      <c r="X54" s="17">
        <f>IF(ISNA(VLOOKUP(A54,'Données projet'!$A$35:$I$55,6,0)),0%,VLOOKUP(A54,'Données projet'!$A$35:$I$55,6,0)*VLOOKUP('Données projet'!$B$9,Paramètres!$A$1:$I$88,7,0))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projet'!$B$9,Paramètres!$A$1:$I$88,3,0)*0.475*44/12</f>
        <v>25.321360783368636</v>
      </c>
      <c r="AA54" s="23">
        <f>EXP(-LN(2)/25)*AA53+(1-EXP(-LN(2)/25))/(LN(2)/25)*Calculateur!V54*Calculateur!X54*VLOOKUP('Données projet'!$B$9,Paramètres!$A$1:$I$88,3,0)*0.475*44/12</f>
        <v>45.65885891592626</v>
      </c>
      <c r="AB54" s="23">
        <f>EXP(-LN(2)/2)*AB53+(1-EXP(-LN(2)/2))/(LN(2)/2)*V54*Y54*VLOOKUP('Données projet'!$B$9,Paramètres!$A$1:$I$88,3,0)*0.475*44/12</f>
        <v>0</v>
      </c>
      <c r="AC54" s="24">
        <f t="shared" si="3"/>
        <v>70.980219699294892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66.415734038491735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5.1999999999999993</v>
      </c>
      <c r="AI54" s="14">
        <f>IF('Données projet'!$A$62&gt;35,AI53+AH54-AQ53,IF(A54&lt;'Données projet'!$A$62,$AF$205^A54,IF(A54='Données projet'!$A$62,'Données projet'!$B$62,AI53+AH54-AQ53)))</f>
        <v>231.10000000000002</v>
      </c>
      <c r="AJ54" s="14">
        <f>AI54*VLOOKUP('Données projet'!$B$10,Paramètres!$A$1:$I$88,3,0)*VLOOKUP('Données projet'!$B$10,Paramètres!$A$1:$I$88,5,0)</f>
        <v>138.19780000000003</v>
      </c>
      <c r="AK54" s="14">
        <f t="shared" si="35"/>
        <v>35.883835976549634</v>
      </c>
      <c r="AL54" s="22">
        <f t="shared" si="4"/>
        <v>303.19218265915725</v>
      </c>
      <c r="AM54" s="62">
        <f t="shared" si="5"/>
        <v>583.38320746696024</v>
      </c>
      <c r="AN54" s="62">
        <f ca="1">AVERAGE(OFFSET($AM$3,0,0,'Données projet'!$E$10+1,1))-AVERAGE(OFFSET($H$3,0,0,'Données projet'!$E$10+1,1))</f>
        <v>231.96474801342879</v>
      </c>
      <c r="AO54" s="62">
        <f t="shared" si="36"/>
        <v>237.75726086383668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projet'!$B$10,Paramètres!$A$1:$I$88,7,0))</f>
        <v>0</v>
      </c>
      <c r="AS54" s="17">
        <f>IF(ISNA(VLOOKUP(A54,'Données projet'!$A$61:$I$81,6,0)),0%,VLOOKUP(A54,'Données projet'!$A$61:$I$81,6,0)*VLOOKUP('Données projet'!$B$10,Paramètres!$A$1:$I$88,7,0))</f>
        <v>0</v>
      </c>
      <c r="AT54" s="17">
        <f>IF(ISNA(VLOOKUP(A54,'Données projet'!$A$61:$I$81,7,0)),0%,VLOOKUP(A54,'Données projet'!$A$61:$I$81,7,0))</f>
        <v>0</v>
      </c>
      <c r="AU54" s="23">
        <f>EXP(-LN(2)/35)*AU53+(1-EXP(-LN(2)/35))/(LN(2)/35)*AQ54*AR54*VLOOKUP('Données projet'!$B$10,Paramètres!$A$1:$I$88,3,0)*0.475*44/12</f>
        <v>9.0201580422812349</v>
      </c>
      <c r="AV54" s="23">
        <f>EXP(-LN(2)/25)*AV53+(1-EXP(-LN(2)/25))/(LN(2)/25)*Calculateur!AQ54*Calculateur!AS54*VLOOKUP('Données projet'!$B$10,Paramètres!$A$1:$I$88,3,0)*0.475*44/12</f>
        <v>20.698546732880633</v>
      </c>
      <c r="AW54" s="23">
        <f>EXP(-LN(2)/2)*AW53+(1-EXP(-LN(2)/2))/(LN(2)/2)*AQ54*AT54*VLOOKUP('Données projet'!$B$10,Paramètres!$A$1:$I$88,3,0)*0.475*44/12</f>
        <v>0</v>
      </c>
      <c r="AX54" s="23">
        <f t="shared" si="6"/>
        <v>29.718704775161868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66.415734038491735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18.100000000000001</v>
      </c>
      <c r="BD54" s="13">
        <f>IF('Données projet'!$A$88&gt;35,BD53+BC54-BL53,IF(A54&lt;'Données projet'!$A$88,$BA$205^A54,IF(A54='Données projet'!$A$88,'Données projet'!$B$88,BD53+BC54-BL53)))</f>
        <v>288.50000000000023</v>
      </c>
      <c r="BE54" s="14">
        <f>BD54*VLOOKUP('Données projet'!$B$11,Paramètres!$A$1:$I$88,3,0)*VLOOKUP('Données projet'!$B$11,Paramètres!$A$1:$I$88,5,0)</f>
        <v>135.01800000000011</v>
      </c>
      <c r="BF54" s="14">
        <f t="shared" si="37"/>
        <v>35.153303603250606</v>
      </c>
      <c r="BG54" s="22">
        <f t="shared" si="7"/>
        <v>296.38168710899498</v>
      </c>
      <c r="BH54" s="62">
        <f t="shared" si="8"/>
        <v>576.57271191679797</v>
      </c>
      <c r="BI54" s="62">
        <f ca="1">AVERAGE(OFFSET($BH$3,0,0,'Données projet'!$E$11+1,1))-AVERAGE(OFFSET($H$3,0,0,'Données projet'!$E$11+1,1))</f>
        <v>364.96458059055169</v>
      </c>
      <c r="BJ54" s="62">
        <f t="shared" si="38"/>
        <v>246.27159120786257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projet'!$B$11,Paramètres!$A$1:$I$88,7,0))</f>
        <v>0</v>
      </c>
      <c r="BN54" s="17">
        <f>IF(ISNA(VLOOKUP(A54,'Données projet'!$A$87:$I$107,6,0)),0%,VLOOKUP(A54,'Données projet'!$A$87:$I$107,6,0)*VLOOKUP('Données projet'!$B$11,Paramètres!$A$1:$I$88,7,0))</f>
        <v>0</v>
      </c>
      <c r="BO54" s="17">
        <f>IF(ISNA(VLOOKUP(A54,'Données projet'!$A$87:$I$107,7,0)),0%,VLOOKUP(A54,'Données projet'!$A$87:$I$107,7,0))</f>
        <v>0</v>
      </c>
      <c r="BP54" s="23">
        <f>EXP(-LN(2)/35)*BP53+(1-EXP(-LN(2)/35))/(LN(2)/35)*BL54*BM54*VLOOKUP('Données projet'!$B$11,Paramètres!$A$1:$I$88,3,0)*0.475*44/12</f>
        <v>15.772581857417984</v>
      </c>
      <c r="BQ54" s="23">
        <f>EXP(-LN(2)/25)*BQ53+(1-EXP(-LN(2)/25))/(LN(2)/25)*Calculateur!BL54*Calculateur!BN54*VLOOKUP('Données projet'!$B$11,Paramètres!$A$1:$I$88,3,0)*0.475*44/12</f>
        <v>15.10037448571822</v>
      </c>
      <c r="BR54" s="23">
        <f>EXP(-LN(2)/2)*BR53+(1-EXP(-LN(2)/2))/(LN(2)/2)*BL54*BO54*VLOOKUP('Données projet'!$B$11,Paramètres!$A$1:$I$88,3,0)*0.475*44/12</f>
        <v>0</v>
      </c>
      <c r="BS54" s="24">
        <f t="shared" si="9"/>
        <v>30.872956343136202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66.415734038491735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4.1666667007873768</v>
      </c>
      <c r="BY54" s="13">
        <f>IF('Données projet'!$A$114&gt;35,BY53+BX54-CG53,IF(A54&lt;'Données projet'!$A$114,$BV$205^A54,IF(A54='Données projet'!$A$114,'Données projet'!$B$114,BY53+BX54-CG53)))</f>
        <v>212.50000174015611</v>
      </c>
      <c r="BZ54" s="14">
        <f>BY54*VLOOKUP('Données projet'!$B$12,Paramètres!$A$1:$I$88,3,0)*VLOOKUP('Données projet'!$B$12,Paramètres!$A$1:$I$88,5,0)</f>
        <v>215.47500176451831</v>
      </c>
      <c r="CA54" s="14">
        <f t="shared" si="39"/>
        <v>53.130213301390853</v>
      </c>
      <c r="CB54" s="22">
        <f t="shared" si="10"/>
        <v>467.82074957312517</v>
      </c>
      <c r="CC54" s="62">
        <f t="shared" si="11"/>
        <v>748.01177438092816</v>
      </c>
      <c r="CD54" s="62">
        <f ca="1">AVERAGE(OFFSET($CC$3,0,0,'Données projet'!$E$12+1,1))-AVERAGE(OFFSET($H$3,0,0,'Données projet'!$E$12+1,1))</f>
        <v>310.53598044763282</v>
      </c>
      <c r="CE54" s="62">
        <f t="shared" si="40"/>
        <v>322.01096634040596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projet'!$B$12,Paramètres!$A$1:$I$88,7,0))</f>
        <v>0</v>
      </c>
      <c r="CI54" s="17">
        <f>IF(ISNA(VLOOKUP(A54,'Données projet'!$A$113:$I$133,6,0)),0%,VLOOKUP(A54,'Données projet'!$A$113:$I$133,6,0)*VLOOKUP('Données projet'!$B$12,Paramètres!$A$1:$I$88,7,0))</f>
        <v>0</v>
      </c>
      <c r="CJ54" s="17">
        <f>IF(ISNA(VLOOKUP(A54,'Données projet'!$A$113:$I$133,7,0)),0%,VLOOKUP(A54,'Données projet'!$A$113:$I$133,7,0))</f>
        <v>0</v>
      </c>
      <c r="CK54" s="23">
        <f>EXP(-LN(2)/35)*CK53+(1-EXP(-LN(2)/35))/(LN(2)/35)*CG54*CH54*VLOOKUP('Données projet'!$B$12,Paramètres!$A$1:$I$88,3,0)*0.475*44/12</f>
        <v>0</v>
      </c>
      <c r="CL54" s="23">
        <f>EXP(-LN(2)/25)*CL53+(1-EXP(-LN(2)/25))/(LN(2)/25)*Calculateur!CG54*Calculateur!CI54*VLOOKUP('Données projet'!$B$12,Paramètres!$A$1:$I$88,3,0)*0.475*44/12</f>
        <v>0</v>
      </c>
      <c r="CM54" s="23">
        <f>EXP(-LN(2)/2)*CM53+(1-EXP(-LN(2)/2))/(LN(2)/2)*CG54*CJ54*VLOOKUP('Données projet'!$B$12,Paramètres!$A$1:$I$88,3,0)*0.475*44/12</f>
        <v>0</v>
      </c>
      <c r="CN54" s="24">
        <f t="shared" si="12"/>
        <v>0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66.415734038491735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projet'!$B$13,Paramètres!$A$1:$I$88,3,0)*VLOOKUP('Données projet'!$B$13,Paramètres!$A$1:$I$88,5,0)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projet'!$B$13,Paramètres!$A$1:$I$88,7,0))</f>
        <v>0</v>
      </c>
      <c r="DD54" s="17">
        <f>IF(ISNA(VLOOKUP(A54,'Données projet'!$A$139:$I$159,6,0)),0%,VLOOKUP(A54,'Données projet'!$A$139:$I$159,6,0)*VLOOKUP('Données projet'!$B$13,Paramètres!$A$1:$I$88,7,0))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projet'!$B$13,Paramètres!$A$1:$I$88,3,0)*0.475*44/12</f>
        <v>#N/A</v>
      </c>
      <c r="DG54" s="23" t="e">
        <f>EXP(-LN(2)/25)*DG53+(1-EXP(-LN(2)/25))/(LN(2)/25)*Calculateur!DB54*Calculateur!DD54*VLOOKUP('Données projet'!$B$13,Paramètres!$A$1:$I$88,3,0)*0.475*44/12</f>
        <v>#N/A</v>
      </c>
      <c r="DH54" s="23" t="e">
        <f>EXP(-LN(2)/2)*DH53+(1-EXP(-LN(2)/2))/(LN(2)/2)*DB54*DE54*VLOOKUP('Données projet'!$B$13,Paramètres!$A$1:$I$88,3,0)*0.475*44/12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66.415734038491735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projet'!$B$14,Paramètres!$A$1:$I$88,3,0)*VLOOKUP('Données projet'!$B$14,Paramètres!$A$1:$I$88,5,0)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projet'!$B$14,Paramètres!$A$1:$I$88,7,0))</f>
        <v>0</v>
      </c>
      <c r="DY54" s="17">
        <f>IF(ISNA(VLOOKUP(A54,'Données projet'!$A$165:$I$185,6,0)),0%,VLOOKUP(A54,'Données projet'!$A$165:$I$185,6,0)*VLOOKUP('Données projet'!$B$14,Paramètres!$A$1:$I$88,7,0))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projet'!$B$14,Paramètres!$A$1:$I$88,3,0)*0.475*44/12</f>
        <v>#N/A</v>
      </c>
      <c r="EB54" s="23" t="e">
        <f>EXP(-LN(2)/25)*EB53+(1-EXP(-LN(2)/25))/(LN(2)/25)*Calculateur!DW54*Calculateur!DY54*VLOOKUP('Données projet'!$B$14,Paramètres!$A$1:$I$88,3,0)*0.475*44/12</f>
        <v>#N/A</v>
      </c>
      <c r="EC54" s="23" t="e">
        <f>EXP(-LN(2)/2)*EC53+(1-EXP(-LN(2)/2))/(LN(2)/2)*DW54*DZ54*VLOOKUP('Données projet'!$B$14,Paramètres!$A$1:$I$88,3,0)*0.475*44/12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66.415734038491735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projet'!$B$15,Paramètres!$A$1:$I$88,3,0)*VLOOKUP('Données projet'!$B$15,Paramètres!$A$1:$I$88,5,0)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projet'!$B$15,Paramètres!$A$1:$I$88,7,0))</f>
        <v>0</v>
      </c>
      <c r="ET54" s="17">
        <f>IF(ISNA(VLOOKUP(A54,'Données projet'!$A$191:$I$211,6,0)),0%,VLOOKUP(A54,'Données projet'!$A$191:$I$211,6,0)*VLOOKUP('Données projet'!$B$15,Paramètres!$A$1:$I$88,7,0))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projet'!$B$15,Paramètres!$A$1:$I$88,3,0)*0.475*44/12</f>
        <v>#N/A</v>
      </c>
      <c r="EW54" s="23" t="e">
        <f>EXP(-LN(2)/25)*EW53+(1-EXP(-LN(2)/25))/(LN(2)/25)*Calculateur!ER54*Calculateur!ET54*VLOOKUP('Données projet'!$B$15,Paramètres!$A$1:$I$88,3,0)*0.475*44/12</f>
        <v>#N/A</v>
      </c>
      <c r="EX54" s="23" t="e">
        <f>EXP(-LN(2)/2)*EX53+(1-EXP(-LN(2)/2))/(LN(2)/2)*ER54*EU54*VLOOKUP('Données projet'!$B$15,Paramètres!$A$1:$I$88,3,0)*0.475*44/12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66.415734038491735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projet'!$B$16,Paramètres!$A$1:$I$88,3,0)*VLOOKUP('Données projet'!$B$16,Paramètres!$A$1:$I$88,5,0)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projet'!$B$16,Paramètres!$A$1:$I$88,7,0))</f>
        <v>0</v>
      </c>
      <c r="FO54" s="17">
        <f>IF(ISNA(VLOOKUP(A54,'Données projet'!$A$217:$I$237,6,0)),0%,VLOOKUP(A54,'Données projet'!$A$217:$I$237,6,0)*VLOOKUP('Données projet'!$B$16,Paramètres!$A$1:$I$88,7,0))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projet'!$B$16,Paramètres!$A$1:$I$88,3,0)*0.475*44/12</f>
        <v>#N/A</v>
      </c>
      <c r="FR54" s="23" t="e">
        <f>EXP(-LN(2)/25)*FR53+(1-EXP(-LN(2)/25))/(LN(2)/25)*Calculateur!FM54*Calculateur!FO54*VLOOKUP('Données projet'!$B$16,Paramètres!$A$1:$I$88,3,0)*0.475*44/12</f>
        <v>#N/A</v>
      </c>
      <c r="FS54" s="23" t="e">
        <f>EXP(-LN(2)/2)*FS53+(1-EXP(-LN(2)/2))/(LN(2)/2)*FM54*FP54*VLOOKUP('Données projet'!$B$16,Paramètres!$A$1:$I$88,3,0)*0.475*44/12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66.415734038491735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projet'!$B$17,Paramètres!$A$1:$I$88,3,0)*VLOOKUP('Données projet'!$B$17,Paramètres!$A$1:$I$88,5,0)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projet'!$B$17,Paramètres!$A$1:$I$88,7,0))</f>
        <v>0</v>
      </c>
      <c r="GJ54" s="17">
        <f>IF(ISNA(VLOOKUP(A54,'Données projet'!$A$243:$I$263,6,0)),0%,VLOOKUP(A54,'Données projet'!$A$243:$I$263,6,0)*VLOOKUP('Données projet'!$B$17,Paramètres!$A$1:$I$88,7,0))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projet'!$B$17,Paramètres!$A$1:$I$88,3,0)*0.475*44/12</f>
        <v>#N/A</v>
      </c>
      <c r="GM54" s="23" t="e">
        <f>EXP(-LN(2)/25)*GM53+(1-EXP(-LN(2)/25))/(LN(2)/25)*Calculateur!GH54*Calculateur!GJ54*VLOOKUP('Données projet'!$B$17,Paramètres!$A$1:$I$88,3,0)*0.475*44/12</f>
        <v>#N/A</v>
      </c>
      <c r="GN54" s="23" t="e">
        <f>EXP(-LN(2)/2)*GN53+(1-EXP(-LN(2)/2))/(LN(2)/2)*GH54*GK54*VLOOKUP('Données projet'!$B$17,Paramètres!$A$1:$I$88,3,0)*0.475*44/12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66.415734038491735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projet'!$B$18,Paramètres!$A$1:$I$88,3,0)*VLOOKUP('Données projet'!$B$18,Paramètres!$A$1:$I$88,5,0)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projet'!$B$18,Paramètres!$A$1:$I$88,7,0))</f>
        <v>0</v>
      </c>
      <c r="HE54" s="17">
        <f>IF(ISNA(VLOOKUP(A54,'Données projet'!$A$269:$I$289,6,0)),0%,VLOOKUP(A54,'Données projet'!$A$269:$I$289,6,0)*VLOOKUP('Données projet'!$B$18,Paramètres!$A$1:$I$88,7,0))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projet'!$B$18,Paramètres!$A$1:$I$88,3,0)*0.475*44/12</f>
        <v>#N/A</v>
      </c>
      <c r="HH54" s="23" t="e">
        <f>EXP(-LN(2)/25)*HH53+(1-EXP(-LN(2)/25))/(LN(2)/25)*Calculateur!HC54*Calculateur!HE54*VLOOKUP('Données projet'!$B$18,Paramètres!$A$1:$I$88,3,0)*0.475*44/12</f>
        <v>#N/A</v>
      </c>
      <c r="HI54" s="23" t="e">
        <f>EXP(-LN(2)/2)*HI53+(1-EXP(-LN(2)/2))/(LN(2)/2)*HC54*HF54*VLOOKUP('Données projet'!$B$18,Paramètres!$A$1:$I$88,3,0)*0.475*44/12</f>
        <v>#N/A</v>
      </c>
      <c r="HJ54" s="24" t="e">
        <f t="shared" si="30"/>
        <v>#N/A</v>
      </c>
    </row>
    <row r="55" spans="1:218" s="5" customFormat="1" x14ac:dyDescent="0.35">
      <c r="A55" s="11">
        <f t="shared" si="31"/>
        <v>52</v>
      </c>
      <c r="B55" s="77">
        <f>'Scénario référence'!$B$16*5+'Scénario référence'!$B$17*0+'Scénario référence'!$B$18*5</f>
        <v>1.75</v>
      </c>
      <c r="C55" s="20">
        <f>Calculateur!C54+'Scénario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55" s="12">
        <f t="shared" si="3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6.416666666666667</v>
      </c>
      <c r="H55" s="70">
        <f t="shared" si="1"/>
        <v>231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66.477913039705683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17.714285714285715</v>
      </c>
      <c r="N55" s="14">
        <f>IF('Données projet'!$A$36&gt;35,N54+M55-V54,IF(A55&lt;'Données projet'!$A$36,$K$205^A55,IF(A55='Données projet'!$A$36,'Données projet'!$B$36,N54+M55-V54)))</f>
        <v>464.28571428571445</v>
      </c>
      <c r="O55" s="14">
        <f>N55*VLOOKUP('Données projet'!$B$9,Paramètres!$A$1:$I$88,3,0)*VLOOKUP('Données projet'!$B$9,Paramètres!$A$1:$I$88,5,0)</f>
        <v>259.53571428571439</v>
      </c>
      <c r="P55" s="14">
        <f t="shared" si="33"/>
        <v>62.623400711752197</v>
      </c>
      <c r="Q55" s="22">
        <f t="shared" si="53"/>
        <v>561.09379195392091</v>
      </c>
      <c r="R55" s="62">
        <f t="shared" si="0"/>
        <v>841.51280643284167</v>
      </c>
      <c r="S55" s="62">
        <f ca="1">AVERAGE(OFFSET($R$3,0,0,'Données projet'!$E$9+1,1))-AVERAGE(OFFSET($H$3,0,0,'Données projet'!$E$9+1,1))</f>
        <v>341.05096821796769</v>
      </c>
      <c r="T55" s="62">
        <f t="shared" si="34"/>
        <v>400.72519822215168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projet'!$B$9,Paramètres!$A$1:$I$88,7,0))</f>
        <v>0</v>
      </c>
      <c r="X55" s="17">
        <f>IF(ISNA(VLOOKUP(A55,'Données projet'!$A$35:$I$55,6,0)),0%,VLOOKUP(A55,'Données projet'!$A$35:$I$55,6,0)*VLOOKUP('Données projet'!$B$9,Paramètres!$A$1:$I$88,7,0))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projet'!$B$9,Paramètres!$A$1:$I$88,3,0)*0.475*44/12</f>
        <v>24.824824342911835</v>
      </c>
      <c r="AA55" s="23">
        <f>EXP(-LN(2)/25)*AA54+(1-EXP(-LN(2)/25))/(LN(2)/25)*Calculateur!V55*Calculateur!X55*VLOOKUP('Données projet'!$B$9,Paramètres!$A$1:$I$88,3,0)*0.475*44/12</f>
        <v>44.410315017775218</v>
      </c>
      <c r="AB55" s="23">
        <f>EXP(-LN(2)/2)*AB54+(1-EXP(-LN(2)/2))/(LN(2)/2)*V55*Y55*VLOOKUP('Données projet'!$B$9,Paramètres!$A$1:$I$88,3,0)*0.475*44/12</f>
        <v>0</v>
      </c>
      <c r="AC55" s="24">
        <f t="shared" si="3"/>
        <v>69.235139360687057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66.477913039705683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5.1999999999999993</v>
      </c>
      <c r="AI55" s="14">
        <f>IF('Données projet'!$A$62&gt;35,AI54+AH55-AQ54,IF(A55&lt;'Données projet'!$A$62,$AF$205^A55,IF(A55='Données projet'!$A$62,'Données projet'!$B$62,AI54+AH55-AQ54)))</f>
        <v>236.3</v>
      </c>
      <c r="AJ55" s="14">
        <f>AI55*VLOOKUP('Données projet'!$B$10,Paramètres!$A$1:$I$88,3,0)*VLOOKUP('Données projet'!$B$10,Paramètres!$A$1:$I$88,5,0)</f>
        <v>141.3074</v>
      </c>
      <c r="AK55" s="14">
        <f t="shared" si="35"/>
        <v>36.596350255320161</v>
      </c>
      <c r="AL55" s="22">
        <f t="shared" si="4"/>
        <v>309.84903169468259</v>
      </c>
      <c r="AM55" s="62">
        <f t="shared" si="5"/>
        <v>590.26804617360335</v>
      </c>
      <c r="AN55" s="62">
        <f ca="1">AVERAGE(OFFSET($AM$3,0,0,'Données projet'!$E$10+1,1))-AVERAGE(OFFSET($H$3,0,0,'Données projet'!$E$10+1,1))</f>
        <v>231.96474801342879</v>
      </c>
      <c r="AO55" s="62">
        <f t="shared" si="36"/>
        <v>237.75726086383668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projet'!$B$10,Paramètres!$A$1:$I$88,7,0))</f>
        <v>0</v>
      </c>
      <c r="AS55" s="17">
        <f>IF(ISNA(VLOOKUP(A55,'Données projet'!$A$61:$I$81,6,0)),0%,VLOOKUP(A55,'Données projet'!$A$61:$I$81,6,0)*VLOOKUP('Données projet'!$B$10,Paramètres!$A$1:$I$88,7,0))</f>
        <v>0</v>
      </c>
      <c r="AT55" s="17">
        <f>IF(ISNA(VLOOKUP(A55,'Données projet'!$A$61:$I$81,7,0)),0%,VLOOKUP(A55,'Données projet'!$A$61:$I$81,7,0))</f>
        <v>0</v>
      </c>
      <c r="AU55" s="23">
        <f>EXP(-LN(2)/35)*AU54+(1-EXP(-LN(2)/35))/(LN(2)/35)*AQ55*AR55*VLOOKUP('Données projet'!$B$10,Paramètres!$A$1:$I$88,3,0)*0.475*44/12</f>
        <v>8.8432782448252532</v>
      </c>
      <c r="AV55" s="23">
        <f>EXP(-LN(2)/25)*AV54+(1-EXP(-LN(2)/25))/(LN(2)/25)*Calculateur!AQ55*Calculateur!AS55*VLOOKUP('Données projet'!$B$10,Paramètres!$A$1:$I$88,3,0)*0.475*44/12</f>
        <v>20.132543883980748</v>
      </c>
      <c r="AW55" s="23">
        <f>EXP(-LN(2)/2)*AW54+(1-EXP(-LN(2)/2))/(LN(2)/2)*AQ55*AT55*VLOOKUP('Données projet'!$B$10,Paramètres!$A$1:$I$88,3,0)*0.475*44/12</f>
        <v>0</v>
      </c>
      <c r="AX55" s="23">
        <f t="shared" si="6"/>
        <v>28.975822128806001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66.477913039705683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18.100000000000001</v>
      </c>
      <c r="BD55" s="13">
        <f>IF('Données projet'!$A$88&gt;35,BD54+BC55-BL54,IF(A55&lt;'Données projet'!$A$88,$BA$205^A55,IF(A55='Données projet'!$A$88,'Données projet'!$B$88,BD54+BC55-BL54)))</f>
        <v>306.60000000000025</v>
      </c>
      <c r="BE55" s="14">
        <f>BD55*VLOOKUP('Données projet'!$B$11,Paramètres!$A$1:$I$88,3,0)*VLOOKUP('Données projet'!$B$11,Paramètres!$A$1:$I$88,5,0)</f>
        <v>143.48880000000011</v>
      </c>
      <c r="BF55" s="14">
        <f t="shared" si="37"/>
        <v>37.09509202787892</v>
      </c>
      <c r="BG55" s="22">
        <f t="shared" si="7"/>
        <v>314.51694528188926</v>
      </c>
      <c r="BH55" s="62">
        <f t="shared" si="8"/>
        <v>594.93595976081008</v>
      </c>
      <c r="BI55" s="62">
        <f ca="1">AVERAGE(OFFSET($BH$3,0,0,'Données projet'!$E$11+1,1))-AVERAGE(OFFSET($H$3,0,0,'Données projet'!$E$11+1,1))</f>
        <v>364.96458059055169</v>
      </c>
      <c r="BJ55" s="62">
        <f t="shared" si="38"/>
        <v>246.27159120786257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projet'!$B$11,Paramètres!$A$1:$I$88,7,0))</f>
        <v>0</v>
      </c>
      <c r="BN55" s="17">
        <f>IF(ISNA(VLOOKUP(A55,'Données projet'!$A$87:$I$107,6,0)),0%,VLOOKUP(A55,'Données projet'!$A$87:$I$107,6,0)*VLOOKUP('Données projet'!$B$11,Paramètres!$A$1:$I$88,7,0))</f>
        <v>0</v>
      </c>
      <c r="BO55" s="17">
        <f>IF(ISNA(VLOOKUP(A55,'Données projet'!$A$87:$I$107,7,0)),0%,VLOOKUP(A55,'Données projet'!$A$87:$I$107,7,0))</f>
        <v>0</v>
      </c>
      <c r="BP55" s="23">
        <f>EXP(-LN(2)/35)*BP54+(1-EXP(-LN(2)/35))/(LN(2)/35)*BL55*BM55*VLOOKUP('Données projet'!$B$11,Paramètres!$A$1:$I$88,3,0)*0.475*44/12</f>
        <v>15.463291147519023</v>
      </c>
      <c r="BQ55" s="23">
        <f>EXP(-LN(2)/25)*BQ54+(1-EXP(-LN(2)/25))/(LN(2)/25)*Calculateur!BL55*Calculateur!BN55*VLOOKUP('Données projet'!$B$11,Paramètres!$A$1:$I$88,3,0)*0.475*44/12</f>
        <v>14.687453951312074</v>
      </c>
      <c r="BR55" s="23">
        <f>EXP(-LN(2)/2)*BR54+(1-EXP(-LN(2)/2))/(LN(2)/2)*BL55*BO55*VLOOKUP('Données projet'!$B$11,Paramètres!$A$1:$I$88,3,0)*0.475*44/12</f>
        <v>0</v>
      </c>
      <c r="BS55" s="24">
        <f t="shared" si="9"/>
        <v>30.150745098831095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66.477913039705683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4.1666667007873768</v>
      </c>
      <c r="BY55" s="13">
        <f>IF('Données projet'!$A$114&gt;35,BY54+BX55-CG54,IF(A55&lt;'Données projet'!$A$114,$BV$205^A55,IF(A55='Données projet'!$A$114,'Données projet'!$B$114,BY54+BX55-CG54)))</f>
        <v>216.66666844094348</v>
      </c>
      <c r="BZ55" s="14">
        <f>BY55*VLOOKUP('Données projet'!$B$12,Paramètres!$A$1:$I$88,3,0)*VLOOKUP('Données projet'!$B$12,Paramètres!$A$1:$I$88,5,0)</f>
        <v>219.70000179911671</v>
      </c>
      <c r="CA55" s="14">
        <f t="shared" si="39"/>
        <v>54.049677416512822</v>
      </c>
      <c r="CB55" s="22">
        <f t="shared" si="10"/>
        <v>476.78069130055468</v>
      </c>
      <c r="CC55" s="62">
        <f t="shared" si="11"/>
        <v>757.19970577947549</v>
      </c>
      <c r="CD55" s="62">
        <f ca="1">AVERAGE(OFFSET($CC$3,0,0,'Données projet'!$E$12+1,1))-AVERAGE(OFFSET($H$3,0,0,'Données projet'!$E$12+1,1))</f>
        <v>310.53598044763282</v>
      </c>
      <c r="CE55" s="62">
        <f t="shared" si="40"/>
        <v>322.01096634040596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projet'!$B$12,Paramètres!$A$1:$I$88,7,0))</f>
        <v>0</v>
      </c>
      <c r="CI55" s="17">
        <f>IF(ISNA(VLOOKUP(A55,'Données projet'!$A$113:$I$133,6,0)),0%,VLOOKUP(A55,'Données projet'!$A$113:$I$133,6,0)*VLOOKUP('Données projet'!$B$12,Paramètres!$A$1:$I$88,7,0))</f>
        <v>0</v>
      </c>
      <c r="CJ55" s="17">
        <f>IF(ISNA(VLOOKUP(A55,'Données projet'!$A$113:$I$133,7,0)),0%,VLOOKUP(A55,'Données projet'!$A$113:$I$133,7,0))</f>
        <v>0</v>
      </c>
      <c r="CK55" s="23">
        <f>EXP(-LN(2)/35)*CK54+(1-EXP(-LN(2)/35))/(LN(2)/35)*CG55*CH55*VLOOKUP('Données projet'!$B$12,Paramètres!$A$1:$I$88,3,0)*0.475*44/12</f>
        <v>0</v>
      </c>
      <c r="CL55" s="23">
        <f>EXP(-LN(2)/25)*CL54+(1-EXP(-LN(2)/25))/(LN(2)/25)*Calculateur!CG55*Calculateur!CI55*VLOOKUP('Données projet'!$B$12,Paramètres!$A$1:$I$88,3,0)*0.475*44/12</f>
        <v>0</v>
      </c>
      <c r="CM55" s="23">
        <f>EXP(-LN(2)/2)*CM54+(1-EXP(-LN(2)/2))/(LN(2)/2)*CG55*CJ55*VLOOKUP('Données projet'!$B$12,Paramètres!$A$1:$I$88,3,0)*0.475*44/12</f>
        <v>0</v>
      </c>
      <c r="CN55" s="24">
        <f t="shared" si="12"/>
        <v>0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66.477913039705683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projet'!$B$13,Paramètres!$A$1:$I$88,3,0)*VLOOKUP('Données projet'!$B$13,Paramètres!$A$1:$I$88,5,0)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projet'!$B$13,Paramètres!$A$1:$I$88,7,0))</f>
        <v>0</v>
      </c>
      <c r="DD55" s="17">
        <f>IF(ISNA(VLOOKUP(A55,'Données projet'!$A$139:$I$159,6,0)),0%,VLOOKUP(A55,'Données projet'!$A$139:$I$159,6,0)*VLOOKUP('Données projet'!$B$13,Paramètres!$A$1:$I$88,7,0))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projet'!$B$13,Paramètres!$A$1:$I$88,3,0)*0.475*44/12</f>
        <v>#N/A</v>
      </c>
      <c r="DG55" s="23" t="e">
        <f>EXP(-LN(2)/25)*DG54+(1-EXP(-LN(2)/25))/(LN(2)/25)*Calculateur!DB55*Calculateur!DD55*VLOOKUP('Données projet'!$B$13,Paramètres!$A$1:$I$88,3,0)*0.475*44/12</f>
        <v>#N/A</v>
      </c>
      <c r="DH55" s="23" t="e">
        <f>EXP(-LN(2)/2)*DH54+(1-EXP(-LN(2)/2))/(LN(2)/2)*DB55*DE55*VLOOKUP('Données projet'!$B$13,Paramètres!$A$1:$I$88,3,0)*0.475*44/12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66.477913039705683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projet'!$B$14,Paramètres!$A$1:$I$88,3,0)*VLOOKUP('Données projet'!$B$14,Paramètres!$A$1:$I$88,5,0)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projet'!$B$14,Paramètres!$A$1:$I$88,7,0))</f>
        <v>0</v>
      </c>
      <c r="DY55" s="17">
        <f>IF(ISNA(VLOOKUP(A55,'Données projet'!$A$165:$I$185,6,0)),0%,VLOOKUP(A55,'Données projet'!$A$165:$I$185,6,0)*VLOOKUP('Données projet'!$B$14,Paramètres!$A$1:$I$88,7,0))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projet'!$B$14,Paramètres!$A$1:$I$88,3,0)*0.475*44/12</f>
        <v>#N/A</v>
      </c>
      <c r="EB55" s="23" t="e">
        <f>EXP(-LN(2)/25)*EB54+(1-EXP(-LN(2)/25))/(LN(2)/25)*Calculateur!DW55*Calculateur!DY55*VLOOKUP('Données projet'!$B$14,Paramètres!$A$1:$I$88,3,0)*0.475*44/12</f>
        <v>#N/A</v>
      </c>
      <c r="EC55" s="23" t="e">
        <f>EXP(-LN(2)/2)*EC54+(1-EXP(-LN(2)/2))/(LN(2)/2)*DW55*DZ55*VLOOKUP('Données projet'!$B$14,Paramètres!$A$1:$I$88,3,0)*0.475*44/12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66.477913039705683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projet'!$B$15,Paramètres!$A$1:$I$88,3,0)*VLOOKUP('Données projet'!$B$15,Paramètres!$A$1:$I$88,5,0)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projet'!$B$15,Paramètres!$A$1:$I$88,7,0))</f>
        <v>0</v>
      </c>
      <c r="ET55" s="17">
        <f>IF(ISNA(VLOOKUP(A55,'Données projet'!$A$191:$I$211,6,0)),0%,VLOOKUP(A55,'Données projet'!$A$191:$I$211,6,0)*VLOOKUP('Données projet'!$B$15,Paramètres!$A$1:$I$88,7,0))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projet'!$B$15,Paramètres!$A$1:$I$88,3,0)*0.475*44/12</f>
        <v>#N/A</v>
      </c>
      <c r="EW55" s="23" t="e">
        <f>EXP(-LN(2)/25)*EW54+(1-EXP(-LN(2)/25))/(LN(2)/25)*Calculateur!ER55*Calculateur!ET55*VLOOKUP('Données projet'!$B$15,Paramètres!$A$1:$I$88,3,0)*0.475*44/12</f>
        <v>#N/A</v>
      </c>
      <c r="EX55" s="23" t="e">
        <f>EXP(-LN(2)/2)*EX54+(1-EXP(-LN(2)/2))/(LN(2)/2)*ER55*EU55*VLOOKUP('Données projet'!$B$15,Paramètres!$A$1:$I$88,3,0)*0.475*44/12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66.477913039705683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projet'!$B$16,Paramètres!$A$1:$I$88,3,0)*VLOOKUP('Données projet'!$B$16,Paramètres!$A$1:$I$88,5,0)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projet'!$B$16,Paramètres!$A$1:$I$88,7,0))</f>
        <v>0</v>
      </c>
      <c r="FO55" s="17">
        <f>IF(ISNA(VLOOKUP(A55,'Données projet'!$A$217:$I$237,6,0)),0%,VLOOKUP(A55,'Données projet'!$A$217:$I$237,6,0)*VLOOKUP('Données projet'!$B$16,Paramètres!$A$1:$I$88,7,0))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projet'!$B$16,Paramètres!$A$1:$I$88,3,0)*0.475*44/12</f>
        <v>#N/A</v>
      </c>
      <c r="FR55" s="23" t="e">
        <f>EXP(-LN(2)/25)*FR54+(1-EXP(-LN(2)/25))/(LN(2)/25)*Calculateur!FM55*Calculateur!FO55*VLOOKUP('Données projet'!$B$16,Paramètres!$A$1:$I$88,3,0)*0.475*44/12</f>
        <v>#N/A</v>
      </c>
      <c r="FS55" s="23" t="e">
        <f>EXP(-LN(2)/2)*FS54+(1-EXP(-LN(2)/2))/(LN(2)/2)*FM55*FP55*VLOOKUP('Données projet'!$B$16,Paramètres!$A$1:$I$88,3,0)*0.475*44/12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66.477913039705683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projet'!$B$17,Paramètres!$A$1:$I$88,3,0)*VLOOKUP('Données projet'!$B$17,Paramètres!$A$1:$I$88,5,0)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projet'!$B$17,Paramètres!$A$1:$I$88,7,0))</f>
        <v>0</v>
      </c>
      <c r="GJ55" s="17">
        <f>IF(ISNA(VLOOKUP(A55,'Données projet'!$A$243:$I$263,6,0)),0%,VLOOKUP(A55,'Données projet'!$A$243:$I$263,6,0)*VLOOKUP('Données projet'!$B$17,Paramètres!$A$1:$I$88,7,0))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projet'!$B$17,Paramètres!$A$1:$I$88,3,0)*0.475*44/12</f>
        <v>#N/A</v>
      </c>
      <c r="GM55" s="23" t="e">
        <f>EXP(-LN(2)/25)*GM54+(1-EXP(-LN(2)/25))/(LN(2)/25)*Calculateur!GH55*Calculateur!GJ55*VLOOKUP('Données projet'!$B$17,Paramètres!$A$1:$I$88,3,0)*0.475*44/12</f>
        <v>#N/A</v>
      </c>
      <c r="GN55" s="23" t="e">
        <f>EXP(-LN(2)/2)*GN54+(1-EXP(-LN(2)/2))/(LN(2)/2)*GH55*GK55*VLOOKUP('Données projet'!$B$17,Paramètres!$A$1:$I$88,3,0)*0.475*44/12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66.477913039705683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projet'!$B$18,Paramètres!$A$1:$I$88,3,0)*VLOOKUP('Données projet'!$B$18,Paramètres!$A$1:$I$88,5,0)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projet'!$B$18,Paramètres!$A$1:$I$88,7,0))</f>
        <v>0</v>
      </c>
      <c r="HE55" s="17">
        <f>IF(ISNA(VLOOKUP(A55,'Données projet'!$A$269:$I$289,6,0)),0%,VLOOKUP(A55,'Données projet'!$A$269:$I$289,6,0)*VLOOKUP('Données projet'!$B$18,Paramètres!$A$1:$I$88,7,0))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projet'!$B$18,Paramètres!$A$1:$I$88,3,0)*0.475*44/12</f>
        <v>#N/A</v>
      </c>
      <c r="HH55" s="23" t="e">
        <f>EXP(-LN(2)/25)*HH54+(1-EXP(-LN(2)/25))/(LN(2)/25)*Calculateur!HC55*Calculateur!HE55*VLOOKUP('Données projet'!$B$18,Paramètres!$A$1:$I$88,3,0)*0.475*44/12</f>
        <v>#N/A</v>
      </c>
      <c r="HI55" s="23" t="e">
        <f>EXP(-LN(2)/2)*HI54+(1-EXP(-LN(2)/2))/(LN(2)/2)*HC55*HF55*VLOOKUP('Données projet'!$B$18,Paramètres!$A$1:$I$88,3,0)*0.475*44/12</f>
        <v>#N/A</v>
      </c>
      <c r="HJ55" s="24" t="e">
        <f t="shared" si="30"/>
        <v>#N/A</v>
      </c>
    </row>
    <row r="56" spans="1:218" s="5" customFormat="1" x14ac:dyDescent="0.35">
      <c r="A56" s="11">
        <f t="shared" si="31"/>
        <v>53</v>
      </c>
      <c r="B56" s="77">
        <f>'Scénario référence'!$B$16*5+'Scénario référence'!$B$17*0+'Scénario référence'!$B$18*5</f>
        <v>1.75</v>
      </c>
      <c r="C56" s="20">
        <f>Calculateur!C55+'Scénario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56" s="12">
        <f t="shared" si="3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6.416666666666667</v>
      </c>
      <c r="H56" s="70">
        <f t="shared" si="1"/>
        <v>231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66.539013374259994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>
        <f>VLOOKUP(A56,'Données projet'!$A$35:$I$55,2,0)</f>
        <v>482</v>
      </c>
      <c r="L56" s="13">
        <f>VLOOKUP(A56,'Données projet'!$A$35:$I$55,9,0)</f>
        <v>17.714285714285715</v>
      </c>
      <c r="M56" s="13">
        <f t="array" ref="M56">INDEX(L:L,MIN(IF(ISNUMBER(L56:L252),ROW(L56:L252),"")))</f>
        <v>17.714285714285715</v>
      </c>
      <c r="N56" s="14">
        <f>IF('Données projet'!$A$36&gt;35,N55+M56-V55,IF(A56&lt;'Données projet'!$A$36,$K$205^A56,IF(A56='Données projet'!$A$36,'Données projet'!$B$36,N55+M56-V55)))</f>
        <v>482.00000000000017</v>
      </c>
      <c r="O56" s="14">
        <f>N56*VLOOKUP('Données projet'!$B$9,Paramètres!$A$1:$I$88,3,0)*VLOOKUP('Données projet'!$B$9,Paramètres!$A$1:$I$88,5,0)</f>
        <v>269.4380000000001</v>
      </c>
      <c r="P56" s="14">
        <f t="shared" si="33"/>
        <v>64.729984244002807</v>
      </c>
      <c r="Q56" s="22">
        <f t="shared" si="53"/>
        <v>582.00923922497179</v>
      </c>
      <c r="R56" s="62">
        <f t="shared" si="0"/>
        <v>862.65228826392513</v>
      </c>
      <c r="S56" s="62">
        <f ca="1">AVERAGE(OFFSET($R$3,0,0,'Données projet'!$E$9+1,1))-AVERAGE(OFFSET($H$3,0,0,'Données projet'!$E$9+1,1))</f>
        <v>341.05096821796769</v>
      </c>
      <c r="T56" s="62">
        <f t="shared" si="34"/>
        <v>400.72519822215168</v>
      </c>
      <c r="U56" s="16">
        <f>IF(ISNA(VLOOKUP(A56,'Données projet'!$A$35:$I$55,3,0)),0,VLOOKUP(A56,'Données projet'!$A$35:$I$55,3,0))</f>
        <v>5</v>
      </c>
      <c r="V56" s="16">
        <f>IF(ISNA(VLOOKUP(A56,'Données projet'!$A$35:$I$55,4,0)),0,VLOOKUP(A56,'Données projet'!$A$35:$I$55,4,0))</f>
        <v>80</v>
      </c>
      <c r="W56" s="17">
        <f>IF(ISNA(VLOOKUP(A56,'Données projet'!$A$35:$I$55,5,0)),0%,VLOOKUP(A56,'Données projet'!$A$35:$I$55,5,0)*VLOOKUP('Données projet'!$B$9,Paramètres!$A$1:$I$88,7,0))</f>
        <v>0.38500000000000001</v>
      </c>
      <c r="X56" s="17">
        <f>IF(ISNA(VLOOKUP(A56,'Données projet'!$A$35:$I$55,6,0)),0%,VLOOKUP(A56,'Données projet'!$A$35:$I$55,6,0)*VLOOKUP('Données projet'!$B$9,Paramètres!$A$1:$I$88,7,0))</f>
        <v>0.16500000000000001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projet'!$B$9,Paramètres!$A$1:$I$88,3,0)*0.475*44/12</f>
        <v>47.17775022138872</v>
      </c>
      <c r="AA56" s="23">
        <f>EXP(-LN(2)/25)*AA55+(1-EXP(-LN(2)/25))/(LN(2)/25)*Calculateur!V56*Calculateur!X56*VLOOKUP('Données projet'!$B$9,Paramètres!$A$1:$I$88,3,0)*0.475*44/12</f>
        <v>52.945825549655616</v>
      </c>
      <c r="AB56" s="23">
        <f>EXP(-LN(2)/2)*AB55+(1-EXP(-LN(2)/2))/(LN(2)/2)*V56*Y56*VLOOKUP('Données projet'!$B$9,Paramètres!$A$1:$I$88,3,0)*0.475*44/12</f>
        <v>0</v>
      </c>
      <c r="AC56" s="24">
        <f t="shared" si="3"/>
        <v>100.12357577104433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66.539013374259994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5.1999999999999993</v>
      </c>
      <c r="AI56" s="14">
        <f>IF('Données projet'!$A$62&gt;35,AI55+AH56-AQ55,IF(A56&lt;'Données projet'!$A$62,$AF$205^A56,IF(A56='Données projet'!$A$62,'Données projet'!$B$62,AI55+AH56-AQ55)))</f>
        <v>241.5</v>
      </c>
      <c r="AJ56" s="14">
        <f>AI56*VLOOKUP('Données projet'!$B$10,Paramètres!$A$1:$I$88,3,0)*VLOOKUP('Données projet'!$B$10,Paramètres!$A$1:$I$88,5,0)</f>
        <v>144.417</v>
      </c>
      <c r="AK56" s="14">
        <f t="shared" si="35"/>
        <v>37.307041616133553</v>
      </c>
      <c r="AL56" s="22">
        <f t="shared" si="4"/>
        <v>316.50270581476593</v>
      </c>
      <c r="AM56" s="62">
        <f t="shared" si="5"/>
        <v>597.14575485371915</v>
      </c>
      <c r="AN56" s="62">
        <f ca="1">AVERAGE(OFFSET($AM$3,0,0,'Données projet'!$E$10+1,1))-AVERAGE(OFFSET($H$3,0,0,'Données projet'!$E$10+1,1))</f>
        <v>231.96474801342879</v>
      </c>
      <c r="AO56" s="62">
        <f t="shared" si="36"/>
        <v>237.75726086383668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projet'!$B$10,Paramètres!$A$1:$I$88,7,0))</f>
        <v>0</v>
      </c>
      <c r="AS56" s="17">
        <f>IF(ISNA(VLOOKUP(A56,'Données projet'!$A$61:$I$81,6,0)),0%,VLOOKUP(A56,'Données projet'!$A$61:$I$81,6,0)*VLOOKUP('Données projet'!$B$10,Paramètres!$A$1:$I$88,7,0))</f>
        <v>0</v>
      </c>
      <c r="AT56" s="17">
        <f>IF(ISNA(VLOOKUP(A56,'Données projet'!$A$61:$I$81,7,0)),0%,VLOOKUP(A56,'Données projet'!$A$61:$I$81,7,0))</f>
        <v>0</v>
      </c>
      <c r="AU56" s="23">
        <f>EXP(-LN(2)/35)*AU55+(1-EXP(-LN(2)/35))/(LN(2)/35)*AQ56*AR56*VLOOKUP('Données projet'!$B$10,Paramètres!$A$1:$I$88,3,0)*0.475*44/12</f>
        <v>8.6698669523113594</v>
      </c>
      <c r="AV56" s="23">
        <f>EXP(-LN(2)/25)*AV55+(1-EXP(-LN(2)/25))/(LN(2)/25)*Calculateur!AQ56*Calculateur!AS56*VLOOKUP('Données projet'!$B$10,Paramètres!$A$1:$I$88,3,0)*0.475*44/12</f>
        <v>19.582018412748827</v>
      </c>
      <c r="AW56" s="23">
        <f>EXP(-LN(2)/2)*AW55+(1-EXP(-LN(2)/2))/(LN(2)/2)*AQ56*AT56*VLOOKUP('Données projet'!$B$10,Paramètres!$A$1:$I$88,3,0)*0.475*44/12</f>
        <v>0</v>
      </c>
      <c r="AX56" s="23">
        <f t="shared" si="6"/>
        <v>28.251885365060186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66.539013374259994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18.100000000000001</v>
      </c>
      <c r="BD56" s="13">
        <f>IF('Données projet'!$A$88&gt;35,BD55+BC56-BL55,IF(A56&lt;'Données projet'!$A$88,$BA$205^A56,IF(A56='Données projet'!$A$88,'Données projet'!$B$88,BD55+BC56-BL55)))</f>
        <v>324.70000000000027</v>
      </c>
      <c r="BE56" s="14">
        <f>BD56*VLOOKUP('Données projet'!$B$11,Paramètres!$A$1:$I$88,3,0)*VLOOKUP('Données projet'!$B$11,Paramètres!$A$1:$I$88,5,0)</f>
        <v>151.95960000000014</v>
      </c>
      <c r="BF56" s="14">
        <f t="shared" si="37"/>
        <v>39.023574794907688</v>
      </c>
      <c r="BG56" s="22">
        <f t="shared" si="7"/>
        <v>332.62902943446448</v>
      </c>
      <c r="BH56" s="62">
        <f t="shared" si="8"/>
        <v>613.27207847341776</v>
      </c>
      <c r="BI56" s="62">
        <f ca="1">AVERAGE(OFFSET($BH$3,0,0,'Données projet'!$E$11+1,1))-AVERAGE(OFFSET($H$3,0,0,'Données projet'!$E$11+1,1))</f>
        <v>364.96458059055169</v>
      </c>
      <c r="BJ56" s="62">
        <f t="shared" si="38"/>
        <v>246.27159120786257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projet'!$B$11,Paramètres!$A$1:$I$88,7,0))</f>
        <v>0</v>
      </c>
      <c r="BN56" s="17">
        <f>IF(ISNA(VLOOKUP(A56,'Données projet'!$A$87:$I$107,6,0)),0%,VLOOKUP(A56,'Données projet'!$A$87:$I$107,6,0)*VLOOKUP('Données projet'!$B$11,Paramètres!$A$1:$I$88,7,0))</f>
        <v>0</v>
      </c>
      <c r="BO56" s="17">
        <f>IF(ISNA(VLOOKUP(A56,'Données projet'!$A$87:$I$107,7,0)),0%,VLOOKUP(A56,'Données projet'!$A$87:$I$107,7,0))</f>
        <v>0</v>
      </c>
      <c r="BP56" s="23">
        <f>EXP(-LN(2)/35)*BP55+(1-EXP(-LN(2)/35))/(LN(2)/35)*BL56*BM56*VLOOKUP('Données projet'!$B$11,Paramètres!$A$1:$I$88,3,0)*0.475*44/12</f>
        <v>15.160065439792474</v>
      </c>
      <c r="BQ56" s="23">
        <f>EXP(-LN(2)/25)*BQ55+(1-EXP(-LN(2)/25))/(LN(2)/25)*Calculateur!BL56*Calculateur!BN56*VLOOKUP('Données projet'!$B$11,Paramètres!$A$1:$I$88,3,0)*0.475*44/12</f>
        <v>14.285824750633811</v>
      </c>
      <c r="BR56" s="23">
        <f>EXP(-LN(2)/2)*BR55+(1-EXP(-LN(2)/2))/(LN(2)/2)*BL56*BO56*VLOOKUP('Données projet'!$B$11,Paramètres!$A$1:$I$88,3,0)*0.475*44/12</f>
        <v>0</v>
      </c>
      <c r="BS56" s="24">
        <f t="shared" si="9"/>
        <v>29.445890190426283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66.539013374259994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4.1666667007873768</v>
      </c>
      <c r="BY56" s="13">
        <f>IF('Données projet'!$A$114&gt;35,BY55+BX56-CG55,IF(A56&lt;'Données projet'!$A$114,$BV$205^A56,IF(A56='Données projet'!$A$114,'Données projet'!$B$114,BY55+BX56-CG55)))</f>
        <v>220.83333514173086</v>
      </c>
      <c r="BZ56" s="14">
        <f>BY56*VLOOKUP('Données projet'!$B$12,Paramètres!$A$1:$I$88,3,0)*VLOOKUP('Données projet'!$B$12,Paramètres!$A$1:$I$88,5,0)</f>
        <v>223.9250018337151</v>
      </c>
      <c r="CA56" s="14">
        <f t="shared" si="39"/>
        <v>54.96708551447896</v>
      </c>
      <c r="CB56" s="22">
        <f t="shared" si="10"/>
        <v>485.73705213143802</v>
      </c>
      <c r="CC56" s="62">
        <f t="shared" si="11"/>
        <v>766.3801011703913</v>
      </c>
      <c r="CD56" s="62">
        <f ca="1">AVERAGE(OFFSET($CC$3,0,0,'Données projet'!$E$12+1,1))-AVERAGE(OFFSET($H$3,0,0,'Données projet'!$E$12+1,1))</f>
        <v>310.53598044763282</v>
      </c>
      <c r="CE56" s="62">
        <f t="shared" si="40"/>
        <v>322.01096634040596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projet'!$B$12,Paramètres!$A$1:$I$88,7,0))</f>
        <v>0</v>
      </c>
      <c r="CI56" s="17">
        <f>IF(ISNA(VLOOKUP(A56,'Données projet'!$A$113:$I$133,6,0)),0%,VLOOKUP(A56,'Données projet'!$A$113:$I$133,6,0)*VLOOKUP('Données projet'!$B$12,Paramètres!$A$1:$I$88,7,0))</f>
        <v>0</v>
      </c>
      <c r="CJ56" s="17">
        <f>IF(ISNA(VLOOKUP(A56,'Données projet'!$A$113:$I$133,7,0)),0%,VLOOKUP(A56,'Données projet'!$A$113:$I$133,7,0))</f>
        <v>0</v>
      </c>
      <c r="CK56" s="23">
        <f>EXP(-LN(2)/35)*CK55+(1-EXP(-LN(2)/35))/(LN(2)/35)*CG56*CH56*VLOOKUP('Données projet'!$B$12,Paramètres!$A$1:$I$88,3,0)*0.475*44/12</f>
        <v>0</v>
      </c>
      <c r="CL56" s="23">
        <f>EXP(-LN(2)/25)*CL55+(1-EXP(-LN(2)/25))/(LN(2)/25)*Calculateur!CG56*Calculateur!CI56*VLOOKUP('Données projet'!$B$12,Paramètres!$A$1:$I$88,3,0)*0.475*44/12</f>
        <v>0</v>
      </c>
      <c r="CM56" s="23">
        <f>EXP(-LN(2)/2)*CM55+(1-EXP(-LN(2)/2))/(LN(2)/2)*CG56*CJ56*VLOOKUP('Données projet'!$B$12,Paramètres!$A$1:$I$88,3,0)*0.475*44/12</f>
        <v>0</v>
      </c>
      <c r="CN56" s="24">
        <f t="shared" si="12"/>
        <v>0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66.539013374259994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projet'!$B$13,Paramètres!$A$1:$I$88,3,0)*VLOOKUP('Données projet'!$B$13,Paramètres!$A$1:$I$88,5,0)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projet'!$B$13,Paramètres!$A$1:$I$88,7,0))</f>
        <v>0</v>
      </c>
      <c r="DD56" s="17">
        <f>IF(ISNA(VLOOKUP(A56,'Données projet'!$A$139:$I$159,6,0)),0%,VLOOKUP(A56,'Données projet'!$A$139:$I$159,6,0)*VLOOKUP('Données projet'!$B$13,Paramètres!$A$1:$I$88,7,0))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projet'!$B$13,Paramètres!$A$1:$I$88,3,0)*0.475*44/12</f>
        <v>#N/A</v>
      </c>
      <c r="DG56" s="23" t="e">
        <f>EXP(-LN(2)/25)*DG55+(1-EXP(-LN(2)/25))/(LN(2)/25)*Calculateur!DB56*Calculateur!DD56*VLOOKUP('Données projet'!$B$13,Paramètres!$A$1:$I$88,3,0)*0.475*44/12</f>
        <v>#N/A</v>
      </c>
      <c r="DH56" s="23" t="e">
        <f>EXP(-LN(2)/2)*DH55+(1-EXP(-LN(2)/2))/(LN(2)/2)*DB56*DE56*VLOOKUP('Données projet'!$B$13,Paramètres!$A$1:$I$88,3,0)*0.475*44/12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66.539013374259994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projet'!$B$14,Paramètres!$A$1:$I$88,3,0)*VLOOKUP('Données projet'!$B$14,Paramètres!$A$1:$I$88,5,0)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projet'!$B$14,Paramètres!$A$1:$I$88,7,0))</f>
        <v>0</v>
      </c>
      <c r="DY56" s="17">
        <f>IF(ISNA(VLOOKUP(A56,'Données projet'!$A$165:$I$185,6,0)),0%,VLOOKUP(A56,'Données projet'!$A$165:$I$185,6,0)*VLOOKUP('Données projet'!$B$14,Paramètres!$A$1:$I$88,7,0))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projet'!$B$14,Paramètres!$A$1:$I$88,3,0)*0.475*44/12</f>
        <v>#N/A</v>
      </c>
      <c r="EB56" s="23" t="e">
        <f>EXP(-LN(2)/25)*EB55+(1-EXP(-LN(2)/25))/(LN(2)/25)*Calculateur!DW56*Calculateur!DY56*VLOOKUP('Données projet'!$B$14,Paramètres!$A$1:$I$88,3,0)*0.475*44/12</f>
        <v>#N/A</v>
      </c>
      <c r="EC56" s="23" t="e">
        <f>EXP(-LN(2)/2)*EC55+(1-EXP(-LN(2)/2))/(LN(2)/2)*DW56*DZ56*VLOOKUP('Données projet'!$B$14,Paramètres!$A$1:$I$88,3,0)*0.475*44/12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66.539013374259994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projet'!$B$15,Paramètres!$A$1:$I$88,3,0)*VLOOKUP('Données projet'!$B$15,Paramètres!$A$1:$I$88,5,0)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projet'!$B$15,Paramètres!$A$1:$I$88,7,0))</f>
        <v>0</v>
      </c>
      <c r="ET56" s="17">
        <f>IF(ISNA(VLOOKUP(A56,'Données projet'!$A$191:$I$211,6,0)),0%,VLOOKUP(A56,'Données projet'!$A$191:$I$211,6,0)*VLOOKUP('Données projet'!$B$15,Paramètres!$A$1:$I$88,7,0))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projet'!$B$15,Paramètres!$A$1:$I$88,3,0)*0.475*44/12</f>
        <v>#N/A</v>
      </c>
      <c r="EW56" s="23" t="e">
        <f>EXP(-LN(2)/25)*EW55+(1-EXP(-LN(2)/25))/(LN(2)/25)*Calculateur!ER56*Calculateur!ET56*VLOOKUP('Données projet'!$B$15,Paramètres!$A$1:$I$88,3,0)*0.475*44/12</f>
        <v>#N/A</v>
      </c>
      <c r="EX56" s="23" t="e">
        <f>EXP(-LN(2)/2)*EX55+(1-EXP(-LN(2)/2))/(LN(2)/2)*ER56*EU56*VLOOKUP('Données projet'!$B$15,Paramètres!$A$1:$I$88,3,0)*0.475*44/12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66.539013374259994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projet'!$B$16,Paramètres!$A$1:$I$88,3,0)*VLOOKUP('Données projet'!$B$16,Paramètres!$A$1:$I$88,5,0)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projet'!$B$16,Paramètres!$A$1:$I$88,7,0))</f>
        <v>0</v>
      </c>
      <c r="FO56" s="17">
        <f>IF(ISNA(VLOOKUP(A56,'Données projet'!$A$217:$I$237,6,0)),0%,VLOOKUP(A56,'Données projet'!$A$217:$I$237,6,0)*VLOOKUP('Données projet'!$B$16,Paramètres!$A$1:$I$88,7,0))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projet'!$B$16,Paramètres!$A$1:$I$88,3,0)*0.475*44/12</f>
        <v>#N/A</v>
      </c>
      <c r="FR56" s="23" t="e">
        <f>EXP(-LN(2)/25)*FR55+(1-EXP(-LN(2)/25))/(LN(2)/25)*Calculateur!FM56*Calculateur!FO56*VLOOKUP('Données projet'!$B$16,Paramètres!$A$1:$I$88,3,0)*0.475*44/12</f>
        <v>#N/A</v>
      </c>
      <c r="FS56" s="23" t="e">
        <f>EXP(-LN(2)/2)*FS55+(1-EXP(-LN(2)/2))/(LN(2)/2)*FM56*FP56*VLOOKUP('Données projet'!$B$16,Paramètres!$A$1:$I$88,3,0)*0.475*44/12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66.539013374259994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projet'!$B$17,Paramètres!$A$1:$I$88,3,0)*VLOOKUP('Données projet'!$B$17,Paramètres!$A$1:$I$88,5,0)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projet'!$B$17,Paramètres!$A$1:$I$88,7,0))</f>
        <v>0</v>
      </c>
      <c r="GJ56" s="17">
        <f>IF(ISNA(VLOOKUP(A56,'Données projet'!$A$243:$I$263,6,0)),0%,VLOOKUP(A56,'Données projet'!$A$243:$I$263,6,0)*VLOOKUP('Données projet'!$B$17,Paramètres!$A$1:$I$88,7,0))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projet'!$B$17,Paramètres!$A$1:$I$88,3,0)*0.475*44/12</f>
        <v>#N/A</v>
      </c>
      <c r="GM56" s="23" t="e">
        <f>EXP(-LN(2)/25)*GM55+(1-EXP(-LN(2)/25))/(LN(2)/25)*Calculateur!GH56*Calculateur!GJ56*VLOOKUP('Données projet'!$B$17,Paramètres!$A$1:$I$88,3,0)*0.475*44/12</f>
        <v>#N/A</v>
      </c>
      <c r="GN56" s="23" t="e">
        <f>EXP(-LN(2)/2)*GN55+(1-EXP(-LN(2)/2))/(LN(2)/2)*GH56*GK56*VLOOKUP('Données projet'!$B$17,Paramètres!$A$1:$I$88,3,0)*0.475*44/12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66.539013374259994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projet'!$B$18,Paramètres!$A$1:$I$88,3,0)*VLOOKUP('Données projet'!$B$18,Paramètres!$A$1:$I$88,5,0)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projet'!$B$18,Paramètres!$A$1:$I$88,7,0))</f>
        <v>0</v>
      </c>
      <c r="HE56" s="17">
        <f>IF(ISNA(VLOOKUP(A56,'Données projet'!$A$269:$I$289,6,0)),0%,VLOOKUP(A56,'Données projet'!$A$269:$I$289,6,0)*VLOOKUP('Données projet'!$B$18,Paramètres!$A$1:$I$88,7,0))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projet'!$B$18,Paramètres!$A$1:$I$88,3,0)*0.475*44/12</f>
        <v>#N/A</v>
      </c>
      <c r="HH56" s="23" t="e">
        <f>EXP(-LN(2)/25)*HH55+(1-EXP(-LN(2)/25))/(LN(2)/25)*Calculateur!HC56*Calculateur!HE56*VLOOKUP('Données projet'!$B$18,Paramètres!$A$1:$I$88,3,0)*0.475*44/12</f>
        <v>#N/A</v>
      </c>
      <c r="HI56" s="23" t="e">
        <f>EXP(-LN(2)/2)*HI55+(1-EXP(-LN(2)/2))/(LN(2)/2)*HC56*HF56*VLOOKUP('Données projet'!$B$18,Paramètres!$A$1:$I$88,3,0)*0.475*44/12</f>
        <v>#N/A</v>
      </c>
      <c r="HJ56" s="24" t="e">
        <f t="shared" si="30"/>
        <v>#N/A</v>
      </c>
    </row>
    <row r="57" spans="1:218" s="5" customFormat="1" x14ac:dyDescent="0.35">
      <c r="A57" s="11">
        <f t="shared" si="31"/>
        <v>54</v>
      </c>
      <c r="B57" s="77">
        <f>'Scénario référence'!$B$16*5+'Scénario référence'!$B$17*0+'Scénario référence'!$B$18*5</f>
        <v>1.75</v>
      </c>
      <c r="C57" s="20">
        <f>Calculateur!C56+'Scénario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57" s="12">
        <f t="shared" si="3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6.416666666666667</v>
      </c>
      <c r="H57" s="70">
        <f t="shared" si="1"/>
        <v>231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66.599053754609656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16.428571428571427</v>
      </c>
      <c r="N57" s="14">
        <f>IF('Données projet'!$A$36&gt;35,N56+M57-V56,IF(A57&lt;'Données projet'!$A$36,$K$205^A57,IF(A57='Données projet'!$A$36,'Données projet'!$B$36,N56+M57-V56)))</f>
        <v>418.42857142857162</v>
      </c>
      <c r="O57" s="14">
        <f>N57*VLOOKUP('Données projet'!$B$9,Paramètres!$A$1:$I$88,3,0)*VLOOKUP('Données projet'!$B$9,Paramètres!$A$1:$I$88,5,0)</f>
        <v>233.90157142857154</v>
      </c>
      <c r="P57" s="14">
        <f t="shared" si="33"/>
        <v>57.125464834218377</v>
      </c>
      <c r="Q57" s="22">
        <f t="shared" si="53"/>
        <v>506.87208815769242</v>
      </c>
      <c r="R57" s="62">
        <f t="shared" si="0"/>
        <v>787.73528525792779</v>
      </c>
      <c r="S57" s="62">
        <f ca="1">AVERAGE(OFFSET($R$3,0,0,'Données projet'!$E$9+1,1))-AVERAGE(OFFSET($H$3,0,0,'Données projet'!$E$9+1,1))</f>
        <v>341.05096821796769</v>
      </c>
      <c r="T57" s="62">
        <f t="shared" si="34"/>
        <v>400.72519822215168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projet'!$B$9,Paramètres!$A$1:$I$88,7,0))</f>
        <v>0</v>
      </c>
      <c r="X57" s="17">
        <f>IF(ISNA(VLOOKUP(A57,'Données projet'!$A$35:$I$55,6,0)),0%,VLOOKUP(A57,'Données projet'!$A$35:$I$55,6,0)*VLOOKUP('Données projet'!$B$9,Paramètres!$A$1:$I$88,7,0))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projet'!$B$9,Paramètres!$A$1:$I$88,3,0)*0.475*44/12</f>
        <v>46.252623315133569</v>
      </c>
      <c r="AA57" s="23">
        <f>EXP(-LN(2)/25)*AA56+(1-EXP(-LN(2)/25))/(LN(2)/25)*Calculateur!V57*Calculateur!X57*VLOOKUP('Données projet'!$B$9,Paramètres!$A$1:$I$88,3,0)*0.475*44/12</f>
        <v>51.498019165700327</v>
      </c>
      <c r="AB57" s="23">
        <f>EXP(-LN(2)/2)*AB56+(1-EXP(-LN(2)/2))/(LN(2)/2)*V57*Y57*VLOOKUP('Données projet'!$B$9,Paramètres!$A$1:$I$88,3,0)*0.475*44/12</f>
        <v>0</v>
      </c>
      <c r="AC57" s="24">
        <f t="shared" si="3"/>
        <v>97.750642480833903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66.599053754609656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>
        <f>VLOOKUP(A57,'Données projet'!$A$61:$I$81,2,0)</f>
        <v>246.7</v>
      </c>
      <c r="AG57" s="13">
        <f>VLOOKUP(A57,'Données projet'!$A$61:$I$81,9,0)</f>
        <v>5.1999999999999993</v>
      </c>
      <c r="AH57" s="13">
        <f t="array" ref="AH57">INDEX(AG:AG,MIN(IF(ISNUMBER(AG57:AG253),ROW(AG57:AG253),"")))</f>
        <v>5.1999999999999993</v>
      </c>
      <c r="AI57" s="14">
        <f>IF('Données projet'!$A$62&gt;35,AI56+AH57-AQ56,IF(A57&lt;'Données projet'!$A$62,$AF$205^A57,IF(A57='Données projet'!$A$62,'Données projet'!$B$62,AI56+AH57-AQ56)))</f>
        <v>246.7</v>
      </c>
      <c r="AJ57" s="14">
        <f>AI57*VLOOKUP('Données projet'!$B$10,Paramètres!$A$1:$I$88,3,0)*VLOOKUP('Données projet'!$B$10,Paramètres!$A$1:$I$88,5,0)</f>
        <v>147.5266</v>
      </c>
      <c r="AK57" s="14">
        <f t="shared" si="35"/>
        <v>38.015953831032398</v>
      </c>
      <c r="AL57" s="22">
        <f t="shared" si="4"/>
        <v>323.15328125571472</v>
      </c>
      <c r="AM57" s="62">
        <f t="shared" si="5"/>
        <v>604.01647835595008</v>
      </c>
      <c r="AN57" s="62">
        <f ca="1">AVERAGE(OFFSET($AM$3,0,0,'Données projet'!$E$10+1,1))-AVERAGE(OFFSET($H$3,0,0,'Données projet'!$E$10+1,1))</f>
        <v>231.96474801342879</v>
      </c>
      <c r="AO57" s="62">
        <f t="shared" si="36"/>
        <v>237.75726086383668</v>
      </c>
      <c r="AP57" s="16">
        <f>IF(ISNA(VLOOKUP(A57,'Données projet'!$A$61:$I$81,3,0)),0,VLOOKUP(A57,'Données projet'!$A$61:$I$81,3,0))</f>
        <v>8</v>
      </c>
      <c r="AQ57" s="16">
        <f>IF(ISNA(VLOOKUP(A57,'Données projet'!$A$61:$I$81,4,0)),0,VLOOKUP(A57,'Données projet'!$A$61:$I$81,4,0))</f>
        <v>22.4</v>
      </c>
      <c r="AR57" s="17">
        <f>IF(ISNA(VLOOKUP(A57,'Données projet'!$A$61:$I$81,5,0)),0%,VLOOKUP(A57,'Données projet'!$A$61:$I$81,5,0)*VLOOKUP('Données projet'!$B$10,Paramètres!$A$1:$I$88,7,0))</f>
        <v>0.315</v>
      </c>
      <c r="AS57" s="17">
        <f>IF(ISNA(VLOOKUP(A57,'Données projet'!$A$61:$I$81,6,0)),0%,VLOOKUP(A57,'Données projet'!$A$61:$I$81,6,0)*VLOOKUP('Données projet'!$B$10,Paramètres!$A$1:$I$88,7,0))</f>
        <v>0.13500000000000001</v>
      </c>
      <c r="AT57" s="17">
        <f>IF(ISNA(VLOOKUP(A57,'Données projet'!$A$61:$I$81,7,0)),0%,VLOOKUP(A57,'Données projet'!$A$61:$I$81,7,0))</f>
        <v>0</v>
      </c>
      <c r="AU57" s="23">
        <f>EXP(-LN(2)/35)*AU56+(1-EXP(-LN(2)/35))/(LN(2)/35)*AQ57*AR57*VLOOKUP('Données projet'!$B$10,Paramètres!$A$1:$I$88,3,0)*0.475*44/12</f>
        <v>14.097278950426894</v>
      </c>
      <c r="AV57" s="23">
        <f>EXP(-LN(2)/25)*AV56+(1-EXP(-LN(2)/25))/(LN(2)/25)*Calculateur!AQ57*Calculateur!AS57*VLOOKUP('Données projet'!$B$10,Paramètres!$A$1:$I$88,3,0)*0.475*44/12</f>
        <v>21.435997210021917</v>
      </c>
      <c r="AW57" s="23">
        <f>EXP(-LN(2)/2)*AW56+(1-EXP(-LN(2)/2))/(LN(2)/2)*AQ57*AT57*VLOOKUP('Données projet'!$B$10,Paramètres!$A$1:$I$88,3,0)*0.475*44/12</f>
        <v>0</v>
      </c>
      <c r="AX57" s="23">
        <f t="shared" si="6"/>
        <v>35.533276160448807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66.599053754609656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18.100000000000001</v>
      </c>
      <c r="BD57" s="13">
        <f>IF('Données projet'!$A$88&gt;35,BD56+BC57-BL56,IF(A57&lt;'Données projet'!$A$88,$BA$205^A57,IF(A57='Données projet'!$A$88,'Données projet'!$B$88,BD56+BC57-BL56)))</f>
        <v>342.8000000000003</v>
      </c>
      <c r="BE57" s="14">
        <f>BD57*VLOOKUP('Données projet'!$B$11,Paramètres!$A$1:$I$88,3,0)*VLOOKUP('Données projet'!$B$11,Paramètres!$A$1:$I$88,5,0)</f>
        <v>160.43040000000013</v>
      </c>
      <c r="BF57" s="14">
        <f t="shared" si="37"/>
        <v>40.939578144953074</v>
      </c>
      <c r="BG57" s="22">
        <f t="shared" si="7"/>
        <v>350.71937860246021</v>
      </c>
      <c r="BH57" s="62">
        <f t="shared" si="8"/>
        <v>631.58257570269552</v>
      </c>
      <c r="BI57" s="62">
        <f ca="1">AVERAGE(OFFSET($BH$3,0,0,'Données projet'!$E$11+1,1))-AVERAGE(OFFSET($H$3,0,0,'Données projet'!$E$11+1,1))</f>
        <v>364.96458059055169</v>
      </c>
      <c r="BJ57" s="62">
        <f t="shared" si="38"/>
        <v>246.27159120786257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projet'!$B$11,Paramètres!$A$1:$I$88,7,0))</f>
        <v>0</v>
      </c>
      <c r="BN57" s="17">
        <f>IF(ISNA(VLOOKUP(A57,'Données projet'!$A$87:$I$107,6,0)),0%,VLOOKUP(A57,'Données projet'!$A$87:$I$107,6,0)*VLOOKUP('Données projet'!$B$11,Paramètres!$A$1:$I$88,7,0))</f>
        <v>0</v>
      </c>
      <c r="BO57" s="17">
        <f>IF(ISNA(VLOOKUP(A57,'Données projet'!$A$87:$I$107,7,0)),0%,VLOOKUP(A57,'Données projet'!$A$87:$I$107,7,0))</f>
        <v>0</v>
      </c>
      <c r="BP57" s="23">
        <f>EXP(-LN(2)/35)*BP56+(1-EXP(-LN(2)/35))/(LN(2)/35)*BL57*BM57*VLOOKUP('Données projet'!$B$11,Paramètres!$A$1:$I$88,3,0)*0.475*44/12</f>
        <v>14.862785803245023</v>
      </c>
      <c r="BQ57" s="23">
        <f>EXP(-LN(2)/25)*BQ56+(1-EXP(-LN(2)/25))/(LN(2)/25)*Calculateur!BL57*Calculateur!BN57*VLOOKUP('Données projet'!$B$11,Paramètres!$A$1:$I$88,3,0)*0.475*44/12</f>
        <v>13.895178121568856</v>
      </c>
      <c r="BR57" s="23">
        <f>EXP(-LN(2)/2)*BR56+(1-EXP(-LN(2)/2))/(LN(2)/2)*BL57*BO57*VLOOKUP('Données projet'!$B$11,Paramètres!$A$1:$I$88,3,0)*0.475*44/12</f>
        <v>0</v>
      </c>
      <c r="BS57" s="24">
        <f t="shared" si="9"/>
        <v>28.757963924813879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66.599053754609656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4.1666667007873768</v>
      </c>
      <c r="BY57" s="13">
        <f>IF('Données projet'!$A$114&gt;35,BY56+BX57-CG56,IF(A57&lt;'Données projet'!$A$114,$BV$205^A57,IF(A57='Données projet'!$A$114,'Données projet'!$B$114,BY56+BX57-CG56)))</f>
        <v>225.00000184251823</v>
      </c>
      <c r="BZ57" s="14">
        <f>BY57*VLOOKUP('Données projet'!$B$12,Paramètres!$A$1:$I$88,3,0)*VLOOKUP('Données projet'!$B$12,Paramètres!$A$1:$I$88,5,0)</f>
        <v>228.15000186831352</v>
      </c>
      <c r="CA57" s="14">
        <f t="shared" si="39"/>
        <v>55.88248086120069</v>
      </c>
      <c r="CB57" s="22">
        <f t="shared" si="10"/>
        <v>494.68990742057048</v>
      </c>
      <c r="CC57" s="62">
        <f t="shared" si="11"/>
        <v>775.55310452080585</v>
      </c>
      <c r="CD57" s="62">
        <f ca="1">AVERAGE(OFFSET($CC$3,0,0,'Données projet'!$E$12+1,1))-AVERAGE(OFFSET($H$3,0,0,'Données projet'!$E$12+1,1))</f>
        <v>310.53598044763282</v>
      </c>
      <c r="CE57" s="62">
        <f t="shared" si="40"/>
        <v>322.01096634040596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projet'!$B$12,Paramètres!$A$1:$I$88,7,0))</f>
        <v>0</v>
      </c>
      <c r="CI57" s="17">
        <f>IF(ISNA(VLOOKUP(A57,'Données projet'!$A$113:$I$133,6,0)),0%,VLOOKUP(A57,'Données projet'!$A$113:$I$133,6,0)*VLOOKUP('Données projet'!$B$12,Paramètres!$A$1:$I$88,7,0))</f>
        <v>0</v>
      </c>
      <c r="CJ57" s="17">
        <f>IF(ISNA(VLOOKUP(A57,'Données projet'!$A$113:$I$133,7,0)),0%,VLOOKUP(A57,'Données projet'!$A$113:$I$133,7,0))</f>
        <v>0</v>
      </c>
      <c r="CK57" s="23">
        <f>EXP(-LN(2)/35)*CK56+(1-EXP(-LN(2)/35))/(LN(2)/35)*CG57*CH57*VLOOKUP('Données projet'!$B$12,Paramètres!$A$1:$I$88,3,0)*0.475*44/12</f>
        <v>0</v>
      </c>
      <c r="CL57" s="23">
        <f>EXP(-LN(2)/25)*CL56+(1-EXP(-LN(2)/25))/(LN(2)/25)*Calculateur!CG57*Calculateur!CI57*VLOOKUP('Données projet'!$B$12,Paramètres!$A$1:$I$88,3,0)*0.475*44/12</f>
        <v>0</v>
      </c>
      <c r="CM57" s="23">
        <f>EXP(-LN(2)/2)*CM56+(1-EXP(-LN(2)/2))/(LN(2)/2)*CG57*CJ57*VLOOKUP('Données projet'!$B$12,Paramètres!$A$1:$I$88,3,0)*0.475*44/12</f>
        <v>0</v>
      </c>
      <c r="CN57" s="24">
        <f t="shared" si="12"/>
        <v>0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66.599053754609656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projet'!$B$13,Paramètres!$A$1:$I$88,3,0)*VLOOKUP('Données projet'!$B$13,Paramètres!$A$1:$I$88,5,0)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projet'!$B$13,Paramètres!$A$1:$I$88,7,0))</f>
        <v>0</v>
      </c>
      <c r="DD57" s="17">
        <f>IF(ISNA(VLOOKUP(A57,'Données projet'!$A$139:$I$159,6,0)),0%,VLOOKUP(A57,'Données projet'!$A$139:$I$159,6,0)*VLOOKUP('Données projet'!$B$13,Paramètres!$A$1:$I$88,7,0))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projet'!$B$13,Paramètres!$A$1:$I$88,3,0)*0.475*44/12</f>
        <v>#N/A</v>
      </c>
      <c r="DG57" s="23" t="e">
        <f>EXP(-LN(2)/25)*DG56+(1-EXP(-LN(2)/25))/(LN(2)/25)*Calculateur!DB57*Calculateur!DD57*VLOOKUP('Données projet'!$B$13,Paramètres!$A$1:$I$88,3,0)*0.475*44/12</f>
        <v>#N/A</v>
      </c>
      <c r="DH57" s="23" t="e">
        <f>EXP(-LN(2)/2)*DH56+(1-EXP(-LN(2)/2))/(LN(2)/2)*DB57*DE57*VLOOKUP('Données projet'!$B$13,Paramètres!$A$1:$I$88,3,0)*0.475*44/12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66.599053754609656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projet'!$B$14,Paramètres!$A$1:$I$88,3,0)*VLOOKUP('Données projet'!$B$14,Paramètres!$A$1:$I$88,5,0)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projet'!$B$14,Paramètres!$A$1:$I$88,7,0))</f>
        <v>0</v>
      </c>
      <c r="DY57" s="17">
        <f>IF(ISNA(VLOOKUP(A57,'Données projet'!$A$165:$I$185,6,0)),0%,VLOOKUP(A57,'Données projet'!$A$165:$I$185,6,0)*VLOOKUP('Données projet'!$B$14,Paramètres!$A$1:$I$88,7,0))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projet'!$B$14,Paramètres!$A$1:$I$88,3,0)*0.475*44/12</f>
        <v>#N/A</v>
      </c>
      <c r="EB57" s="23" t="e">
        <f>EXP(-LN(2)/25)*EB56+(1-EXP(-LN(2)/25))/(LN(2)/25)*Calculateur!DW57*Calculateur!DY57*VLOOKUP('Données projet'!$B$14,Paramètres!$A$1:$I$88,3,0)*0.475*44/12</f>
        <v>#N/A</v>
      </c>
      <c r="EC57" s="23" t="e">
        <f>EXP(-LN(2)/2)*EC56+(1-EXP(-LN(2)/2))/(LN(2)/2)*DW57*DZ57*VLOOKUP('Données projet'!$B$14,Paramètres!$A$1:$I$88,3,0)*0.475*44/12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66.599053754609656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projet'!$B$15,Paramètres!$A$1:$I$88,3,0)*VLOOKUP('Données projet'!$B$15,Paramètres!$A$1:$I$88,5,0)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projet'!$B$15,Paramètres!$A$1:$I$88,7,0))</f>
        <v>0</v>
      </c>
      <c r="ET57" s="17">
        <f>IF(ISNA(VLOOKUP(A57,'Données projet'!$A$191:$I$211,6,0)),0%,VLOOKUP(A57,'Données projet'!$A$191:$I$211,6,0)*VLOOKUP('Données projet'!$B$15,Paramètres!$A$1:$I$88,7,0))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projet'!$B$15,Paramètres!$A$1:$I$88,3,0)*0.475*44/12</f>
        <v>#N/A</v>
      </c>
      <c r="EW57" s="23" t="e">
        <f>EXP(-LN(2)/25)*EW56+(1-EXP(-LN(2)/25))/(LN(2)/25)*Calculateur!ER57*Calculateur!ET57*VLOOKUP('Données projet'!$B$15,Paramètres!$A$1:$I$88,3,0)*0.475*44/12</f>
        <v>#N/A</v>
      </c>
      <c r="EX57" s="23" t="e">
        <f>EXP(-LN(2)/2)*EX56+(1-EXP(-LN(2)/2))/(LN(2)/2)*ER57*EU57*VLOOKUP('Données projet'!$B$15,Paramètres!$A$1:$I$88,3,0)*0.475*44/12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66.599053754609656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projet'!$B$16,Paramètres!$A$1:$I$88,3,0)*VLOOKUP('Données projet'!$B$16,Paramètres!$A$1:$I$88,5,0)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projet'!$B$16,Paramètres!$A$1:$I$88,7,0))</f>
        <v>0</v>
      </c>
      <c r="FO57" s="17">
        <f>IF(ISNA(VLOOKUP(A57,'Données projet'!$A$217:$I$237,6,0)),0%,VLOOKUP(A57,'Données projet'!$A$217:$I$237,6,0)*VLOOKUP('Données projet'!$B$16,Paramètres!$A$1:$I$88,7,0))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projet'!$B$16,Paramètres!$A$1:$I$88,3,0)*0.475*44/12</f>
        <v>#N/A</v>
      </c>
      <c r="FR57" s="23" t="e">
        <f>EXP(-LN(2)/25)*FR56+(1-EXP(-LN(2)/25))/(LN(2)/25)*Calculateur!FM57*Calculateur!FO57*VLOOKUP('Données projet'!$B$16,Paramètres!$A$1:$I$88,3,0)*0.475*44/12</f>
        <v>#N/A</v>
      </c>
      <c r="FS57" s="23" t="e">
        <f>EXP(-LN(2)/2)*FS56+(1-EXP(-LN(2)/2))/(LN(2)/2)*FM57*FP57*VLOOKUP('Données projet'!$B$16,Paramètres!$A$1:$I$88,3,0)*0.475*44/12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66.599053754609656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projet'!$B$17,Paramètres!$A$1:$I$88,3,0)*VLOOKUP('Données projet'!$B$17,Paramètres!$A$1:$I$88,5,0)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projet'!$B$17,Paramètres!$A$1:$I$88,7,0))</f>
        <v>0</v>
      </c>
      <c r="GJ57" s="17">
        <f>IF(ISNA(VLOOKUP(A57,'Données projet'!$A$243:$I$263,6,0)),0%,VLOOKUP(A57,'Données projet'!$A$243:$I$263,6,0)*VLOOKUP('Données projet'!$B$17,Paramètres!$A$1:$I$88,7,0))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projet'!$B$17,Paramètres!$A$1:$I$88,3,0)*0.475*44/12</f>
        <v>#N/A</v>
      </c>
      <c r="GM57" s="23" t="e">
        <f>EXP(-LN(2)/25)*GM56+(1-EXP(-LN(2)/25))/(LN(2)/25)*Calculateur!GH57*Calculateur!GJ57*VLOOKUP('Données projet'!$B$17,Paramètres!$A$1:$I$88,3,0)*0.475*44/12</f>
        <v>#N/A</v>
      </c>
      <c r="GN57" s="23" t="e">
        <f>EXP(-LN(2)/2)*GN56+(1-EXP(-LN(2)/2))/(LN(2)/2)*GH57*GK57*VLOOKUP('Données projet'!$B$17,Paramètres!$A$1:$I$88,3,0)*0.475*44/12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66.599053754609656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projet'!$B$18,Paramètres!$A$1:$I$88,3,0)*VLOOKUP('Données projet'!$B$18,Paramètres!$A$1:$I$88,5,0)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projet'!$B$18,Paramètres!$A$1:$I$88,7,0))</f>
        <v>0</v>
      </c>
      <c r="HE57" s="17">
        <f>IF(ISNA(VLOOKUP(A57,'Données projet'!$A$269:$I$289,6,0)),0%,VLOOKUP(A57,'Données projet'!$A$269:$I$289,6,0)*VLOOKUP('Données projet'!$B$18,Paramètres!$A$1:$I$88,7,0))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projet'!$B$18,Paramètres!$A$1:$I$88,3,0)*0.475*44/12</f>
        <v>#N/A</v>
      </c>
      <c r="HH57" s="23" t="e">
        <f>EXP(-LN(2)/25)*HH56+(1-EXP(-LN(2)/25))/(LN(2)/25)*Calculateur!HC57*Calculateur!HE57*VLOOKUP('Données projet'!$B$18,Paramètres!$A$1:$I$88,3,0)*0.475*44/12</f>
        <v>#N/A</v>
      </c>
      <c r="HI57" s="23" t="e">
        <f>EXP(-LN(2)/2)*HI56+(1-EXP(-LN(2)/2))/(LN(2)/2)*HC57*HF57*VLOOKUP('Données projet'!$B$18,Paramètres!$A$1:$I$88,3,0)*0.475*44/12</f>
        <v>#N/A</v>
      </c>
      <c r="HJ57" s="24" t="e">
        <f t="shared" si="30"/>
        <v>#N/A</v>
      </c>
    </row>
    <row r="58" spans="1:218" s="5" customFormat="1" x14ac:dyDescent="0.35">
      <c r="A58" s="11">
        <f t="shared" si="31"/>
        <v>55</v>
      </c>
      <c r="B58" s="77">
        <f>'Scénario référence'!$B$16*5+'Scénario référence'!$B$17*0+'Scénario référence'!$B$18*5</f>
        <v>1.75</v>
      </c>
      <c r="C58" s="20">
        <f>Calculateur!C57+'Scénario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58" s="12">
        <f t="shared" si="3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6.416666666666667</v>
      </c>
      <c r="H58" s="70">
        <f t="shared" si="1"/>
        <v>231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66.658052568590449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16.428571428571427</v>
      </c>
      <c r="N58" s="14">
        <f>IF('Données projet'!$A$36&gt;35,N57+M58-V57,IF(A58&lt;'Données projet'!$A$36,$K$205^A58,IF(A58='Données projet'!$A$36,'Données projet'!$B$36,N57+M58-V57)))</f>
        <v>434.85714285714306</v>
      </c>
      <c r="O58" s="14">
        <f>N58*VLOOKUP('Données projet'!$B$9,Paramètres!$A$1:$I$88,3,0)*VLOOKUP('Données projet'!$B$9,Paramètres!$A$1:$I$88,5,0)</f>
        <v>243.08514285714296</v>
      </c>
      <c r="P58" s="14">
        <f t="shared" si="33"/>
        <v>59.102819748715035</v>
      </c>
      <c r="Q58" s="22">
        <f t="shared" si="53"/>
        <v>526.31070153853602</v>
      </c>
      <c r="R58" s="62">
        <f t="shared" si="0"/>
        <v>807.39022762336776</v>
      </c>
      <c r="S58" s="62">
        <f ca="1">AVERAGE(OFFSET($R$3,0,0,'Données projet'!$E$9+1,1))-AVERAGE(OFFSET($H$3,0,0,'Données projet'!$E$9+1,1))</f>
        <v>341.05096821796769</v>
      </c>
      <c r="T58" s="62">
        <f t="shared" si="34"/>
        <v>400.72519822215168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projet'!$B$9,Paramètres!$A$1:$I$88,7,0))</f>
        <v>0</v>
      </c>
      <c r="X58" s="17">
        <f>IF(ISNA(VLOOKUP(A58,'Données projet'!$A$35:$I$55,6,0)),0%,VLOOKUP(A58,'Données projet'!$A$35:$I$55,6,0)*VLOOKUP('Données projet'!$B$9,Paramètres!$A$1:$I$88,7,0))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projet'!$B$9,Paramètres!$A$1:$I$88,3,0)*0.475*44/12</f>
        <v>45.345637583238386</v>
      </c>
      <c r="AA58" s="23">
        <f>EXP(-LN(2)/25)*AA57+(1-EXP(-LN(2)/25))/(LN(2)/25)*Calculateur!V58*Calculateur!X58*VLOOKUP('Données projet'!$B$9,Paramètres!$A$1:$I$88,3,0)*0.475*44/12</f>
        <v>50.089803123451127</v>
      </c>
      <c r="AB58" s="23">
        <f>EXP(-LN(2)/2)*AB57+(1-EXP(-LN(2)/2))/(LN(2)/2)*V58*Y58*VLOOKUP('Données projet'!$B$9,Paramètres!$A$1:$I$88,3,0)*0.475*44/12</f>
        <v>0</v>
      </c>
      <c r="AC58" s="24">
        <f t="shared" si="3"/>
        <v>95.435440706689519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66.658052568590449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2.1750000000000007</v>
      </c>
      <c r="AI58" s="14">
        <f>IF('Données projet'!$A$62&gt;35,AI57+AH58-AQ57,IF(A58&lt;'Données projet'!$A$62,$AF$205^A58,IF(A58='Données projet'!$A$62,'Données projet'!$B$62,AI57+AH58-AQ57)))</f>
        <v>226.47499999999999</v>
      </c>
      <c r="AJ58" s="14">
        <f>AI58*VLOOKUP('Données projet'!$B$10,Paramètres!$A$1:$I$88,3,0)*VLOOKUP('Données projet'!$B$10,Paramètres!$A$1:$I$88,5,0)</f>
        <v>135.43205</v>
      </c>
      <c r="AK58" s="14">
        <f t="shared" si="35"/>
        <v>35.248540566756915</v>
      </c>
      <c r="AL58" s="22">
        <f t="shared" si="4"/>
        <v>297.26869523710161</v>
      </c>
      <c r="AM58" s="62">
        <f t="shared" si="5"/>
        <v>578.34822132193335</v>
      </c>
      <c r="AN58" s="62">
        <f ca="1">AVERAGE(OFFSET($AM$3,0,0,'Données projet'!$E$10+1,1))-AVERAGE(OFFSET($H$3,0,0,'Données projet'!$E$10+1,1))</f>
        <v>231.96474801342879</v>
      </c>
      <c r="AO58" s="62">
        <f t="shared" si="36"/>
        <v>237.75726086383668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projet'!$B$10,Paramètres!$A$1:$I$88,7,0))</f>
        <v>0</v>
      </c>
      <c r="AS58" s="17">
        <f>IF(ISNA(VLOOKUP(A58,'Données projet'!$A$61:$I$81,6,0)),0%,VLOOKUP(A58,'Données projet'!$A$61:$I$81,6,0)*VLOOKUP('Données projet'!$B$10,Paramètres!$A$1:$I$88,7,0))</f>
        <v>0</v>
      </c>
      <c r="AT58" s="17">
        <f>IF(ISNA(VLOOKUP(A58,'Données projet'!$A$61:$I$81,7,0)),0%,VLOOKUP(A58,'Données projet'!$A$61:$I$81,7,0))</f>
        <v>0</v>
      </c>
      <c r="AU58" s="23">
        <f>EXP(-LN(2)/35)*AU57+(1-EXP(-LN(2)/35))/(LN(2)/35)*AQ58*AR58*VLOOKUP('Données projet'!$B$10,Paramètres!$A$1:$I$88,3,0)*0.475*44/12</f>
        <v>13.820839908700151</v>
      </c>
      <c r="AV58" s="23">
        <f>EXP(-LN(2)/25)*AV57+(1-EXP(-LN(2)/25))/(LN(2)/25)*Calculateur!AQ58*Calculateur!AS58*VLOOKUP('Données projet'!$B$10,Paramètres!$A$1:$I$88,3,0)*0.475*44/12</f>
        <v>20.849828739043765</v>
      </c>
      <c r="AW58" s="23">
        <f>EXP(-LN(2)/2)*AW57+(1-EXP(-LN(2)/2))/(LN(2)/2)*AQ58*AT58*VLOOKUP('Données projet'!$B$10,Paramètres!$A$1:$I$88,3,0)*0.475*44/12</f>
        <v>0</v>
      </c>
      <c r="AX58" s="23">
        <f t="shared" si="6"/>
        <v>34.670668647743916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66.658052568590449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18.100000000000001</v>
      </c>
      <c r="BD58" s="13">
        <f>IF('Données projet'!$A$88&gt;35,BD57+BC58-BL57,IF(A58&lt;'Données projet'!$A$88,$BA$205^A58,IF(A58='Données projet'!$A$88,'Données projet'!$B$88,BD57+BC58-BL57)))</f>
        <v>360.90000000000032</v>
      </c>
      <c r="BE58" s="14">
        <f>BD58*VLOOKUP('Données projet'!$B$11,Paramètres!$A$1:$I$88,3,0)*VLOOKUP('Données projet'!$B$11,Paramètres!$A$1:$I$88,5,0)</f>
        <v>168.90120000000016</v>
      </c>
      <c r="BF58" s="14">
        <f t="shared" si="37"/>
        <v>42.843836138922327</v>
      </c>
      <c r="BG58" s="22">
        <f t="shared" si="7"/>
        <v>368.78927127528999</v>
      </c>
      <c r="BH58" s="62">
        <f t="shared" si="8"/>
        <v>649.86879736012168</v>
      </c>
      <c r="BI58" s="62">
        <f ca="1">AVERAGE(OFFSET($BH$3,0,0,'Données projet'!$E$11+1,1))-AVERAGE(OFFSET($H$3,0,0,'Données projet'!$E$11+1,1))</f>
        <v>364.96458059055169</v>
      </c>
      <c r="BJ58" s="62">
        <f t="shared" si="38"/>
        <v>246.27159120786257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projet'!$B$11,Paramètres!$A$1:$I$88,7,0))</f>
        <v>0</v>
      </c>
      <c r="BN58" s="17">
        <f>IF(ISNA(VLOOKUP(A58,'Données projet'!$A$87:$I$107,6,0)),0%,VLOOKUP(A58,'Données projet'!$A$87:$I$107,6,0)*VLOOKUP('Données projet'!$B$11,Paramètres!$A$1:$I$88,7,0))</f>
        <v>0</v>
      </c>
      <c r="BO58" s="17">
        <f>IF(ISNA(VLOOKUP(A58,'Données projet'!$A$87:$I$107,7,0)),0%,VLOOKUP(A58,'Données projet'!$A$87:$I$107,7,0))</f>
        <v>0</v>
      </c>
      <c r="BP58" s="23">
        <f>EXP(-LN(2)/35)*BP57+(1-EXP(-LN(2)/35))/(LN(2)/35)*BL58*BM58*VLOOKUP('Données projet'!$B$11,Paramètres!$A$1:$I$88,3,0)*0.475*44/12</f>
        <v>14.571335639047593</v>
      </c>
      <c r="BQ58" s="23">
        <f>EXP(-LN(2)/25)*BQ57+(1-EXP(-LN(2)/25))/(LN(2)/25)*Calculateur!BL58*Calculateur!BN58*VLOOKUP('Données projet'!$B$11,Paramètres!$A$1:$I$88,3,0)*0.475*44/12</f>
        <v>13.515213745118896</v>
      </c>
      <c r="BR58" s="23">
        <f>EXP(-LN(2)/2)*BR57+(1-EXP(-LN(2)/2))/(LN(2)/2)*BL58*BO58*VLOOKUP('Données projet'!$B$11,Paramètres!$A$1:$I$88,3,0)*0.475*44/12</f>
        <v>0</v>
      </c>
      <c r="BS58" s="24">
        <f t="shared" si="9"/>
        <v>28.086549384166489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66.658052568590449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4.1666667007873768</v>
      </c>
      <c r="BY58" s="13">
        <f>IF('Données projet'!$A$114&gt;35,BY57+BX58-CG57,IF(A58&lt;'Données projet'!$A$114,$BV$205^A58,IF(A58='Données projet'!$A$114,'Données projet'!$B$114,BY57+BX58-CG57)))</f>
        <v>229.1666685433056</v>
      </c>
      <c r="BZ58" s="14">
        <f>BY58*VLOOKUP('Données projet'!$B$12,Paramètres!$A$1:$I$88,3,0)*VLOOKUP('Données projet'!$B$12,Paramètres!$A$1:$I$88,5,0)</f>
        <v>232.37500190291192</v>
      </c>
      <c r="CA58" s="14">
        <f t="shared" si="39"/>
        <v>56.795905028422411</v>
      </c>
      <c r="CB58" s="22">
        <f t="shared" si="10"/>
        <v>503.63932957207402</v>
      </c>
      <c r="CC58" s="62">
        <f t="shared" si="11"/>
        <v>784.7188556569057</v>
      </c>
      <c r="CD58" s="62">
        <f ca="1">AVERAGE(OFFSET($CC$3,0,0,'Données projet'!$E$12+1,1))-AVERAGE(OFFSET($H$3,0,0,'Données projet'!$E$12+1,1))</f>
        <v>310.53598044763282</v>
      </c>
      <c r="CE58" s="62">
        <f t="shared" si="40"/>
        <v>322.01096634040596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projet'!$B$12,Paramètres!$A$1:$I$88,7,0))</f>
        <v>0</v>
      </c>
      <c r="CI58" s="17">
        <f>IF(ISNA(VLOOKUP(A58,'Données projet'!$A$113:$I$133,6,0)),0%,VLOOKUP(A58,'Données projet'!$A$113:$I$133,6,0)*VLOOKUP('Données projet'!$B$12,Paramètres!$A$1:$I$88,7,0))</f>
        <v>0</v>
      </c>
      <c r="CJ58" s="17">
        <f>IF(ISNA(VLOOKUP(A58,'Données projet'!$A$113:$I$133,7,0)),0%,VLOOKUP(A58,'Données projet'!$A$113:$I$133,7,0))</f>
        <v>0</v>
      </c>
      <c r="CK58" s="23">
        <f>EXP(-LN(2)/35)*CK57+(1-EXP(-LN(2)/35))/(LN(2)/35)*CG58*CH58*VLOOKUP('Données projet'!$B$12,Paramètres!$A$1:$I$88,3,0)*0.475*44/12</f>
        <v>0</v>
      </c>
      <c r="CL58" s="23">
        <f>EXP(-LN(2)/25)*CL57+(1-EXP(-LN(2)/25))/(LN(2)/25)*Calculateur!CG58*Calculateur!CI58*VLOOKUP('Données projet'!$B$12,Paramètres!$A$1:$I$88,3,0)*0.475*44/12</f>
        <v>0</v>
      </c>
      <c r="CM58" s="23">
        <f>EXP(-LN(2)/2)*CM57+(1-EXP(-LN(2)/2))/(LN(2)/2)*CG58*CJ58*VLOOKUP('Données projet'!$B$12,Paramètres!$A$1:$I$88,3,0)*0.475*44/12</f>
        <v>0</v>
      </c>
      <c r="CN58" s="24">
        <f t="shared" si="12"/>
        <v>0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66.658052568590449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projet'!$B$13,Paramètres!$A$1:$I$88,3,0)*VLOOKUP('Données projet'!$B$13,Paramètres!$A$1:$I$88,5,0)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projet'!$B$13,Paramètres!$A$1:$I$88,7,0))</f>
        <v>0</v>
      </c>
      <c r="DD58" s="17">
        <f>IF(ISNA(VLOOKUP(A58,'Données projet'!$A$139:$I$159,6,0)),0%,VLOOKUP(A58,'Données projet'!$A$139:$I$159,6,0)*VLOOKUP('Données projet'!$B$13,Paramètres!$A$1:$I$88,7,0))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projet'!$B$13,Paramètres!$A$1:$I$88,3,0)*0.475*44/12</f>
        <v>#N/A</v>
      </c>
      <c r="DG58" s="23" t="e">
        <f>EXP(-LN(2)/25)*DG57+(1-EXP(-LN(2)/25))/(LN(2)/25)*Calculateur!DB58*Calculateur!DD58*VLOOKUP('Données projet'!$B$13,Paramètres!$A$1:$I$88,3,0)*0.475*44/12</f>
        <v>#N/A</v>
      </c>
      <c r="DH58" s="23" t="e">
        <f>EXP(-LN(2)/2)*DH57+(1-EXP(-LN(2)/2))/(LN(2)/2)*DB58*DE58*VLOOKUP('Données projet'!$B$13,Paramètres!$A$1:$I$88,3,0)*0.475*44/12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66.658052568590449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projet'!$B$14,Paramètres!$A$1:$I$88,3,0)*VLOOKUP('Données projet'!$B$14,Paramètres!$A$1:$I$88,5,0)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projet'!$B$14,Paramètres!$A$1:$I$88,7,0))</f>
        <v>0</v>
      </c>
      <c r="DY58" s="17">
        <f>IF(ISNA(VLOOKUP(A58,'Données projet'!$A$165:$I$185,6,0)),0%,VLOOKUP(A58,'Données projet'!$A$165:$I$185,6,0)*VLOOKUP('Données projet'!$B$14,Paramètres!$A$1:$I$88,7,0))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projet'!$B$14,Paramètres!$A$1:$I$88,3,0)*0.475*44/12</f>
        <v>#N/A</v>
      </c>
      <c r="EB58" s="23" t="e">
        <f>EXP(-LN(2)/25)*EB57+(1-EXP(-LN(2)/25))/(LN(2)/25)*Calculateur!DW58*Calculateur!DY58*VLOOKUP('Données projet'!$B$14,Paramètres!$A$1:$I$88,3,0)*0.475*44/12</f>
        <v>#N/A</v>
      </c>
      <c r="EC58" s="23" t="e">
        <f>EXP(-LN(2)/2)*EC57+(1-EXP(-LN(2)/2))/(LN(2)/2)*DW58*DZ58*VLOOKUP('Données projet'!$B$14,Paramètres!$A$1:$I$88,3,0)*0.475*44/12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66.658052568590449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projet'!$B$15,Paramètres!$A$1:$I$88,3,0)*VLOOKUP('Données projet'!$B$15,Paramètres!$A$1:$I$88,5,0)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projet'!$B$15,Paramètres!$A$1:$I$88,7,0))</f>
        <v>0</v>
      </c>
      <c r="ET58" s="17">
        <f>IF(ISNA(VLOOKUP(A58,'Données projet'!$A$191:$I$211,6,0)),0%,VLOOKUP(A58,'Données projet'!$A$191:$I$211,6,0)*VLOOKUP('Données projet'!$B$15,Paramètres!$A$1:$I$88,7,0))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projet'!$B$15,Paramètres!$A$1:$I$88,3,0)*0.475*44/12</f>
        <v>#N/A</v>
      </c>
      <c r="EW58" s="23" t="e">
        <f>EXP(-LN(2)/25)*EW57+(1-EXP(-LN(2)/25))/(LN(2)/25)*Calculateur!ER58*Calculateur!ET58*VLOOKUP('Données projet'!$B$15,Paramètres!$A$1:$I$88,3,0)*0.475*44/12</f>
        <v>#N/A</v>
      </c>
      <c r="EX58" s="23" t="e">
        <f>EXP(-LN(2)/2)*EX57+(1-EXP(-LN(2)/2))/(LN(2)/2)*ER58*EU58*VLOOKUP('Données projet'!$B$15,Paramètres!$A$1:$I$88,3,0)*0.475*44/12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66.658052568590449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projet'!$B$16,Paramètres!$A$1:$I$88,3,0)*VLOOKUP('Données projet'!$B$16,Paramètres!$A$1:$I$88,5,0)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projet'!$B$16,Paramètres!$A$1:$I$88,7,0))</f>
        <v>0</v>
      </c>
      <c r="FO58" s="17">
        <f>IF(ISNA(VLOOKUP(A58,'Données projet'!$A$217:$I$237,6,0)),0%,VLOOKUP(A58,'Données projet'!$A$217:$I$237,6,0)*VLOOKUP('Données projet'!$B$16,Paramètres!$A$1:$I$88,7,0))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projet'!$B$16,Paramètres!$A$1:$I$88,3,0)*0.475*44/12</f>
        <v>#N/A</v>
      </c>
      <c r="FR58" s="23" t="e">
        <f>EXP(-LN(2)/25)*FR57+(1-EXP(-LN(2)/25))/(LN(2)/25)*Calculateur!FM58*Calculateur!FO58*VLOOKUP('Données projet'!$B$16,Paramètres!$A$1:$I$88,3,0)*0.475*44/12</f>
        <v>#N/A</v>
      </c>
      <c r="FS58" s="23" t="e">
        <f>EXP(-LN(2)/2)*FS57+(1-EXP(-LN(2)/2))/(LN(2)/2)*FM58*FP58*VLOOKUP('Données projet'!$B$16,Paramètres!$A$1:$I$88,3,0)*0.475*44/12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66.658052568590449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projet'!$B$17,Paramètres!$A$1:$I$88,3,0)*VLOOKUP('Données projet'!$B$17,Paramètres!$A$1:$I$88,5,0)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projet'!$B$17,Paramètres!$A$1:$I$88,7,0))</f>
        <v>0</v>
      </c>
      <c r="GJ58" s="17">
        <f>IF(ISNA(VLOOKUP(A58,'Données projet'!$A$243:$I$263,6,0)),0%,VLOOKUP(A58,'Données projet'!$A$243:$I$263,6,0)*VLOOKUP('Données projet'!$B$17,Paramètres!$A$1:$I$88,7,0))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projet'!$B$17,Paramètres!$A$1:$I$88,3,0)*0.475*44/12</f>
        <v>#N/A</v>
      </c>
      <c r="GM58" s="23" t="e">
        <f>EXP(-LN(2)/25)*GM57+(1-EXP(-LN(2)/25))/(LN(2)/25)*Calculateur!GH58*Calculateur!GJ58*VLOOKUP('Données projet'!$B$17,Paramètres!$A$1:$I$88,3,0)*0.475*44/12</f>
        <v>#N/A</v>
      </c>
      <c r="GN58" s="23" t="e">
        <f>EXP(-LN(2)/2)*GN57+(1-EXP(-LN(2)/2))/(LN(2)/2)*GH58*GK58*VLOOKUP('Données projet'!$B$17,Paramètres!$A$1:$I$88,3,0)*0.475*44/12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66.658052568590449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projet'!$B$18,Paramètres!$A$1:$I$88,3,0)*VLOOKUP('Données projet'!$B$18,Paramètres!$A$1:$I$88,5,0)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projet'!$B$18,Paramètres!$A$1:$I$88,7,0))</f>
        <v>0</v>
      </c>
      <c r="HE58" s="17">
        <f>IF(ISNA(VLOOKUP(A58,'Données projet'!$A$269:$I$289,6,0)),0%,VLOOKUP(A58,'Données projet'!$A$269:$I$289,6,0)*VLOOKUP('Données projet'!$B$18,Paramètres!$A$1:$I$88,7,0))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projet'!$B$18,Paramètres!$A$1:$I$88,3,0)*0.475*44/12</f>
        <v>#N/A</v>
      </c>
      <c r="HH58" s="23" t="e">
        <f>EXP(-LN(2)/25)*HH57+(1-EXP(-LN(2)/25))/(LN(2)/25)*Calculateur!HC58*Calculateur!HE58*VLOOKUP('Données projet'!$B$18,Paramètres!$A$1:$I$88,3,0)*0.475*44/12</f>
        <v>#N/A</v>
      </c>
      <c r="HI58" s="23" t="e">
        <f>EXP(-LN(2)/2)*HI57+(1-EXP(-LN(2)/2))/(LN(2)/2)*HC58*HF58*VLOOKUP('Données projet'!$B$18,Paramètres!$A$1:$I$88,3,0)*0.475*44/12</f>
        <v>#N/A</v>
      </c>
      <c r="HJ58" s="24" t="e">
        <f t="shared" si="30"/>
        <v>#N/A</v>
      </c>
    </row>
    <row r="59" spans="1:218" s="5" customFormat="1" x14ac:dyDescent="0.35">
      <c r="A59" s="11">
        <f t="shared" si="31"/>
        <v>56</v>
      </c>
      <c r="B59" s="77">
        <f>'Scénario référence'!$B$16*5+'Scénario référence'!$B$17*0+'Scénario référence'!$B$18*5</f>
        <v>1.75</v>
      </c>
      <c r="C59" s="20">
        <f>Calculateur!C58+'Scénario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59" s="12">
        <f t="shared" si="3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6.416666666666667</v>
      </c>
      <c r="H59" s="70">
        <f t="shared" si="1"/>
        <v>231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66.716027885050252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16.428571428571427</v>
      </c>
      <c r="N59" s="14">
        <f>IF('Données projet'!$A$36&gt;35,N58+M59-V58,IF(A59&lt;'Données projet'!$A$36,$K$205^A59,IF(A59='Données projet'!$A$36,'Données projet'!$B$36,N58+M59-V58)))</f>
        <v>451.2857142857145</v>
      </c>
      <c r="O59" s="14">
        <f>N59*VLOOKUP('Données projet'!$B$9,Paramètres!$A$1:$I$88,3,0)*VLOOKUP('Données projet'!$B$9,Paramètres!$A$1:$I$88,5,0)</f>
        <v>252.2687142857144</v>
      </c>
      <c r="P59" s="14">
        <f t="shared" si="33"/>
        <v>61.071496149027759</v>
      </c>
      <c r="Q59" s="22">
        <f t="shared" si="53"/>
        <v>545.73419984050929</v>
      </c>
      <c r="R59" s="62">
        <f t="shared" si="0"/>
        <v>827.02630208569349</v>
      </c>
      <c r="S59" s="62">
        <f ca="1">AVERAGE(OFFSET($R$3,0,0,'Données projet'!$E$9+1,1))-AVERAGE(OFFSET($H$3,0,0,'Données projet'!$E$9+1,1))</f>
        <v>341.05096821796769</v>
      </c>
      <c r="T59" s="62">
        <f t="shared" si="34"/>
        <v>400.72519822215168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projet'!$B$9,Paramètres!$A$1:$I$88,7,0))</f>
        <v>0</v>
      </c>
      <c r="X59" s="17">
        <f>IF(ISNA(VLOOKUP(A59,'Données projet'!$A$35:$I$55,6,0)),0%,VLOOKUP(A59,'Données projet'!$A$35:$I$55,6,0)*VLOOKUP('Données projet'!$B$9,Paramètres!$A$1:$I$88,7,0))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projet'!$B$9,Paramètres!$A$1:$I$88,3,0)*0.475*44/12</f>
        <v>44.456437288338996</v>
      </c>
      <c r="AA59" s="23">
        <f>EXP(-LN(2)/25)*AA58+(1-EXP(-LN(2)/25))/(LN(2)/25)*Calculateur!V59*Calculateur!X59*VLOOKUP('Données projet'!$B$9,Paramètres!$A$1:$I$88,3,0)*0.475*44/12</f>
        <v>48.72009482293209</v>
      </c>
      <c r="AB59" s="23">
        <f>EXP(-LN(2)/2)*AB58+(1-EXP(-LN(2)/2))/(LN(2)/2)*V59*Y59*VLOOKUP('Données projet'!$B$9,Paramètres!$A$1:$I$88,3,0)*0.475*44/12</f>
        <v>0</v>
      </c>
      <c r="AC59" s="24">
        <f t="shared" si="3"/>
        <v>93.176532111271086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66.716027885050252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2.1750000000000007</v>
      </c>
      <c r="AI59" s="14">
        <f>IF('Données projet'!$A$62&gt;35,AI58+AH59-AQ58,IF(A59&lt;'Données projet'!$A$62,$AF$205^A59,IF(A59='Données projet'!$A$62,'Données projet'!$B$62,AI58+AH59-AQ58)))</f>
        <v>228.65</v>
      </c>
      <c r="AJ59" s="14">
        <f>AI59*VLOOKUP('Données projet'!$B$10,Paramètres!$A$1:$I$88,3,0)*VLOOKUP('Données projet'!$B$10,Paramètres!$A$1:$I$88,5,0)</f>
        <v>136.73269999999999</v>
      </c>
      <c r="AK59" s="14">
        <f t="shared" si="35"/>
        <v>35.547487355959831</v>
      </c>
      <c r="AL59" s="22">
        <f t="shared" si="4"/>
        <v>300.05465964496335</v>
      </c>
      <c r="AM59" s="62">
        <f t="shared" si="5"/>
        <v>581.3467618901476</v>
      </c>
      <c r="AN59" s="62">
        <f ca="1">AVERAGE(OFFSET($AM$3,0,0,'Données projet'!$E$10+1,1))-AVERAGE(OFFSET($H$3,0,0,'Données projet'!$E$10+1,1))</f>
        <v>231.96474801342879</v>
      </c>
      <c r="AO59" s="62">
        <f t="shared" si="36"/>
        <v>237.75726086383668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projet'!$B$10,Paramètres!$A$1:$I$88,7,0))</f>
        <v>0</v>
      </c>
      <c r="AS59" s="17">
        <f>IF(ISNA(VLOOKUP(A59,'Données projet'!$A$61:$I$81,6,0)),0%,VLOOKUP(A59,'Données projet'!$A$61:$I$81,6,0)*VLOOKUP('Données projet'!$B$10,Paramètres!$A$1:$I$88,7,0))</f>
        <v>0</v>
      </c>
      <c r="AT59" s="17">
        <f>IF(ISNA(VLOOKUP(A59,'Données projet'!$A$61:$I$81,7,0)),0%,VLOOKUP(A59,'Données projet'!$A$61:$I$81,7,0))</f>
        <v>0</v>
      </c>
      <c r="AU59" s="23">
        <f>EXP(-LN(2)/35)*AU58+(1-EXP(-LN(2)/35))/(LN(2)/35)*AQ59*AR59*VLOOKUP('Données projet'!$B$10,Paramètres!$A$1:$I$88,3,0)*0.475*44/12</f>
        <v>13.549821667970503</v>
      </c>
      <c r="AV59" s="23">
        <f>EXP(-LN(2)/25)*AV58+(1-EXP(-LN(2)/25))/(LN(2)/25)*Calculateur!AQ59*Calculateur!AS59*VLOOKUP('Données projet'!$B$10,Paramètres!$A$1:$I$88,3,0)*0.475*44/12</f>
        <v>20.279689075729774</v>
      </c>
      <c r="AW59" s="23">
        <f>EXP(-LN(2)/2)*AW58+(1-EXP(-LN(2)/2))/(LN(2)/2)*AQ59*AT59*VLOOKUP('Données projet'!$B$10,Paramètres!$A$1:$I$88,3,0)*0.475*44/12</f>
        <v>0</v>
      </c>
      <c r="AX59" s="23">
        <f t="shared" si="6"/>
        <v>33.829510743700276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66.716027885050252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>
        <f>VLOOKUP(A59,'Données projet'!$A$87:$I$107,2,0)</f>
        <v>379</v>
      </c>
      <c r="BB59" s="13">
        <f>VLOOKUP(A59,'Données projet'!$A$87:$I$107,9,0)</f>
        <v>18.100000000000001</v>
      </c>
      <c r="BC59" s="13">
        <f t="array" ref="BC59">INDEX(BB:BB,MIN(IF(ISNUMBER(BB59:BB255),ROW(BB59:BB255),"")))</f>
        <v>18.100000000000001</v>
      </c>
      <c r="BD59" s="13">
        <f>IF('Données projet'!$A$88&gt;35,BD58+BC59-BL58,IF(A59&lt;'Données projet'!$A$88,$BA$205^A59,IF(A59='Données projet'!$A$88,'Données projet'!$B$88,BD58+BC59-BL58)))</f>
        <v>379.00000000000034</v>
      </c>
      <c r="BE59" s="14">
        <f>BD59*VLOOKUP('Données projet'!$B$11,Paramètres!$A$1:$I$88,3,0)*VLOOKUP('Données projet'!$B$11,Paramètres!$A$1:$I$88,5,0)</f>
        <v>177.37200000000016</v>
      </c>
      <c r="BF59" s="14">
        <f t="shared" si="37"/>
        <v>44.737005048641883</v>
      </c>
      <c r="BG59" s="22">
        <f t="shared" si="7"/>
        <v>386.83985045971821</v>
      </c>
      <c r="BH59" s="62">
        <f t="shared" si="8"/>
        <v>668.13195270490246</v>
      </c>
      <c r="BI59" s="62">
        <f ca="1">AVERAGE(OFFSET($BH$3,0,0,'Données projet'!$E$11+1,1))-AVERAGE(OFFSET($H$3,0,0,'Données projet'!$E$11+1,1))</f>
        <v>364.96458059055169</v>
      </c>
      <c r="BJ59" s="62">
        <f t="shared" si="38"/>
        <v>246.27159120786257</v>
      </c>
      <c r="BK59" s="16">
        <f>IF(ISNA(VLOOKUP(A59,'Données projet'!$A$87:$I$107,3,0)),0,VLOOKUP(A59,'Données projet'!$A$87:$I$107,3,0))</f>
        <v>2</v>
      </c>
      <c r="BL59" s="16">
        <f>IF(ISNA(VLOOKUP(A59,'Données projet'!$A$87:$I$107,4,0)),0,VLOOKUP(A59,'Données projet'!$A$87:$I$107,4,0))</f>
        <v>91</v>
      </c>
      <c r="BM59" s="17">
        <f>IF(ISNA(VLOOKUP(A59,'Données projet'!$A$87:$I$107,5,0)),0%,VLOOKUP(A59,'Données projet'!$A$87:$I$107,5,0)*VLOOKUP('Données projet'!$B$11,Paramètres!$A$1:$I$88,7,0))</f>
        <v>0.38500000000000001</v>
      </c>
      <c r="BN59" s="17">
        <f>IF(ISNA(VLOOKUP(A59,'Données projet'!$A$87:$I$107,6,0)),0%,VLOOKUP(A59,'Données projet'!$A$87:$I$107,6,0)*VLOOKUP('Données projet'!$B$11,Paramètres!$A$1:$I$88,7,0))</f>
        <v>0.16500000000000001</v>
      </c>
      <c r="BO59" s="17">
        <f>IF(ISNA(VLOOKUP(A59,'Données projet'!$A$87:$I$107,7,0)),0%,VLOOKUP(A59,'Données projet'!$A$87:$I$107,7,0))</f>
        <v>0</v>
      </c>
      <c r="BP59" s="23">
        <f>EXP(-LN(2)/35)*BP58+(1-EXP(-LN(2)/35))/(LN(2)/35)*BL59*BM59*VLOOKUP('Données projet'!$B$11,Paramètres!$A$1:$I$88,3,0)*0.475*44/12</f>
        <v>36.036455540682795</v>
      </c>
      <c r="BQ59" s="23">
        <f>EXP(-LN(2)/25)*BQ58+(1-EXP(-LN(2)/25))/(LN(2)/25)*Calculateur!BL59*Calculateur!BN59*VLOOKUP('Données projet'!$B$11,Paramètres!$A$1:$I$88,3,0)*0.475*44/12</f>
        <v>22.430731015548641</v>
      </c>
      <c r="BR59" s="23">
        <f>EXP(-LN(2)/2)*BR58+(1-EXP(-LN(2)/2))/(LN(2)/2)*BL59*BO59*VLOOKUP('Données projet'!$B$11,Paramètres!$A$1:$I$88,3,0)*0.475*44/12</f>
        <v>0</v>
      </c>
      <c r="BS59" s="24">
        <f t="shared" si="9"/>
        <v>58.467186556231439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66.716027885050252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4.1666667007873768</v>
      </c>
      <c r="BY59" s="13">
        <f>IF('Données projet'!$A$114&gt;35,BY58+BX59-CG58,IF(A59&lt;'Données projet'!$A$114,$BV$205^A59,IF(A59='Données projet'!$A$114,'Données projet'!$B$114,BY58+BX59-CG58)))</f>
        <v>233.33333524409298</v>
      </c>
      <c r="BZ59" s="14">
        <f>BY59*VLOOKUP('Données projet'!$B$12,Paramètres!$A$1:$I$88,3,0)*VLOOKUP('Données projet'!$B$12,Paramètres!$A$1:$I$88,5,0)</f>
        <v>236.60000193751029</v>
      </c>
      <c r="CA59" s="14">
        <f t="shared" si="39"/>
        <v>57.707397989635773</v>
      </c>
      <c r="CB59" s="22">
        <f t="shared" si="10"/>
        <v>512.58538820644605</v>
      </c>
      <c r="CC59" s="62">
        <f t="shared" si="11"/>
        <v>793.87749045163036</v>
      </c>
      <c r="CD59" s="62">
        <f ca="1">AVERAGE(OFFSET($CC$3,0,0,'Données projet'!$E$12+1,1))-AVERAGE(OFFSET($H$3,0,0,'Données projet'!$E$12+1,1))</f>
        <v>310.53598044763282</v>
      </c>
      <c r="CE59" s="62">
        <f t="shared" si="40"/>
        <v>322.01096634040596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projet'!$B$12,Paramètres!$A$1:$I$88,7,0))</f>
        <v>0</v>
      </c>
      <c r="CI59" s="17">
        <f>IF(ISNA(VLOOKUP(A59,'Données projet'!$A$113:$I$133,6,0)),0%,VLOOKUP(A59,'Données projet'!$A$113:$I$133,6,0)*VLOOKUP('Données projet'!$B$12,Paramètres!$A$1:$I$88,7,0))</f>
        <v>0</v>
      </c>
      <c r="CJ59" s="17">
        <f>IF(ISNA(VLOOKUP(A59,'Données projet'!$A$113:$I$133,7,0)),0%,VLOOKUP(A59,'Données projet'!$A$113:$I$133,7,0))</f>
        <v>0</v>
      </c>
      <c r="CK59" s="23">
        <f>EXP(-LN(2)/35)*CK58+(1-EXP(-LN(2)/35))/(LN(2)/35)*CG59*CH59*VLOOKUP('Données projet'!$B$12,Paramètres!$A$1:$I$88,3,0)*0.475*44/12</f>
        <v>0</v>
      </c>
      <c r="CL59" s="23">
        <f>EXP(-LN(2)/25)*CL58+(1-EXP(-LN(2)/25))/(LN(2)/25)*Calculateur!CG59*Calculateur!CI59*VLOOKUP('Données projet'!$B$12,Paramètres!$A$1:$I$88,3,0)*0.475*44/12</f>
        <v>0</v>
      </c>
      <c r="CM59" s="23">
        <f>EXP(-LN(2)/2)*CM58+(1-EXP(-LN(2)/2))/(LN(2)/2)*CG59*CJ59*VLOOKUP('Données projet'!$B$12,Paramètres!$A$1:$I$88,3,0)*0.475*44/12</f>
        <v>0</v>
      </c>
      <c r="CN59" s="24">
        <f t="shared" si="12"/>
        <v>0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66.716027885050252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projet'!$B$13,Paramètres!$A$1:$I$88,3,0)*VLOOKUP('Données projet'!$B$13,Paramètres!$A$1:$I$88,5,0)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projet'!$B$13,Paramètres!$A$1:$I$88,7,0))</f>
        <v>0</v>
      </c>
      <c r="DD59" s="17">
        <f>IF(ISNA(VLOOKUP(A59,'Données projet'!$A$139:$I$159,6,0)),0%,VLOOKUP(A59,'Données projet'!$A$139:$I$159,6,0)*VLOOKUP('Données projet'!$B$13,Paramètres!$A$1:$I$88,7,0))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projet'!$B$13,Paramètres!$A$1:$I$88,3,0)*0.475*44/12</f>
        <v>#N/A</v>
      </c>
      <c r="DG59" s="23" t="e">
        <f>EXP(-LN(2)/25)*DG58+(1-EXP(-LN(2)/25))/(LN(2)/25)*Calculateur!DB59*Calculateur!DD59*VLOOKUP('Données projet'!$B$13,Paramètres!$A$1:$I$88,3,0)*0.475*44/12</f>
        <v>#N/A</v>
      </c>
      <c r="DH59" s="23" t="e">
        <f>EXP(-LN(2)/2)*DH58+(1-EXP(-LN(2)/2))/(LN(2)/2)*DB59*DE59*VLOOKUP('Données projet'!$B$13,Paramètres!$A$1:$I$88,3,0)*0.475*44/12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66.716027885050252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projet'!$B$14,Paramètres!$A$1:$I$88,3,0)*VLOOKUP('Données projet'!$B$14,Paramètres!$A$1:$I$88,5,0)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projet'!$B$14,Paramètres!$A$1:$I$88,7,0))</f>
        <v>0</v>
      </c>
      <c r="DY59" s="17">
        <f>IF(ISNA(VLOOKUP(A59,'Données projet'!$A$165:$I$185,6,0)),0%,VLOOKUP(A59,'Données projet'!$A$165:$I$185,6,0)*VLOOKUP('Données projet'!$B$14,Paramètres!$A$1:$I$88,7,0))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projet'!$B$14,Paramètres!$A$1:$I$88,3,0)*0.475*44/12</f>
        <v>#N/A</v>
      </c>
      <c r="EB59" s="23" t="e">
        <f>EXP(-LN(2)/25)*EB58+(1-EXP(-LN(2)/25))/(LN(2)/25)*Calculateur!DW59*Calculateur!DY59*VLOOKUP('Données projet'!$B$14,Paramètres!$A$1:$I$88,3,0)*0.475*44/12</f>
        <v>#N/A</v>
      </c>
      <c r="EC59" s="23" t="e">
        <f>EXP(-LN(2)/2)*EC58+(1-EXP(-LN(2)/2))/(LN(2)/2)*DW59*DZ59*VLOOKUP('Données projet'!$B$14,Paramètres!$A$1:$I$88,3,0)*0.475*44/12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66.716027885050252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projet'!$B$15,Paramètres!$A$1:$I$88,3,0)*VLOOKUP('Données projet'!$B$15,Paramètres!$A$1:$I$88,5,0)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projet'!$B$15,Paramètres!$A$1:$I$88,7,0))</f>
        <v>0</v>
      </c>
      <c r="ET59" s="17">
        <f>IF(ISNA(VLOOKUP(A59,'Données projet'!$A$191:$I$211,6,0)),0%,VLOOKUP(A59,'Données projet'!$A$191:$I$211,6,0)*VLOOKUP('Données projet'!$B$15,Paramètres!$A$1:$I$88,7,0))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projet'!$B$15,Paramètres!$A$1:$I$88,3,0)*0.475*44/12</f>
        <v>#N/A</v>
      </c>
      <c r="EW59" s="23" t="e">
        <f>EXP(-LN(2)/25)*EW58+(1-EXP(-LN(2)/25))/(LN(2)/25)*Calculateur!ER59*Calculateur!ET59*VLOOKUP('Données projet'!$B$15,Paramètres!$A$1:$I$88,3,0)*0.475*44/12</f>
        <v>#N/A</v>
      </c>
      <c r="EX59" s="23" t="e">
        <f>EXP(-LN(2)/2)*EX58+(1-EXP(-LN(2)/2))/(LN(2)/2)*ER59*EU59*VLOOKUP('Données projet'!$B$15,Paramètres!$A$1:$I$88,3,0)*0.475*44/12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66.716027885050252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projet'!$B$16,Paramètres!$A$1:$I$88,3,0)*VLOOKUP('Données projet'!$B$16,Paramètres!$A$1:$I$88,5,0)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projet'!$B$16,Paramètres!$A$1:$I$88,7,0))</f>
        <v>0</v>
      </c>
      <c r="FO59" s="17">
        <f>IF(ISNA(VLOOKUP(A59,'Données projet'!$A$217:$I$237,6,0)),0%,VLOOKUP(A59,'Données projet'!$A$217:$I$237,6,0)*VLOOKUP('Données projet'!$B$16,Paramètres!$A$1:$I$88,7,0))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projet'!$B$16,Paramètres!$A$1:$I$88,3,0)*0.475*44/12</f>
        <v>#N/A</v>
      </c>
      <c r="FR59" s="23" t="e">
        <f>EXP(-LN(2)/25)*FR58+(1-EXP(-LN(2)/25))/(LN(2)/25)*Calculateur!FM59*Calculateur!FO59*VLOOKUP('Données projet'!$B$16,Paramètres!$A$1:$I$88,3,0)*0.475*44/12</f>
        <v>#N/A</v>
      </c>
      <c r="FS59" s="23" t="e">
        <f>EXP(-LN(2)/2)*FS58+(1-EXP(-LN(2)/2))/(LN(2)/2)*FM59*FP59*VLOOKUP('Données projet'!$B$16,Paramètres!$A$1:$I$88,3,0)*0.475*44/12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66.716027885050252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projet'!$B$17,Paramètres!$A$1:$I$88,3,0)*VLOOKUP('Données projet'!$B$17,Paramètres!$A$1:$I$88,5,0)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projet'!$B$17,Paramètres!$A$1:$I$88,7,0))</f>
        <v>0</v>
      </c>
      <c r="GJ59" s="17">
        <f>IF(ISNA(VLOOKUP(A59,'Données projet'!$A$243:$I$263,6,0)),0%,VLOOKUP(A59,'Données projet'!$A$243:$I$263,6,0)*VLOOKUP('Données projet'!$B$17,Paramètres!$A$1:$I$88,7,0))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projet'!$B$17,Paramètres!$A$1:$I$88,3,0)*0.475*44/12</f>
        <v>#N/A</v>
      </c>
      <c r="GM59" s="23" t="e">
        <f>EXP(-LN(2)/25)*GM58+(1-EXP(-LN(2)/25))/(LN(2)/25)*Calculateur!GH59*Calculateur!GJ59*VLOOKUP('Données projet'!$B$17,Paramètres!$A$1:$I$88,3,0)*0.475*44/12</f>
        <v>#N/A</v>
      </c>
      <c r="GN59" s="23" t="e">
        <f>EXP(-LN(2)/2)*GN58+(1-EXP(-LN(2)/2))/(LN(2)/2)*GH59*GK59*VLOOKUP('Données projet'!$B$17,Paramètres!$A$1:$I$88,3,0)*0.475*44/12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66.716027885050252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projet'!$B$18,Paramètres!$A$1:$I$88,3,0)*VLOOKUP('Données projet'!$B$18,Paramètres!$A$1:$I$88,5,0)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projet'!$B$18,Paramètres!$A$1:$I$88,7,0))</f>
        <v>0</v>
      </c>
      <c r="HE59" s="17">
        <f>IF(ISNA(VLOOKUP(A59,'Données projet'!$A$269:$I$289,6,0)),0%,VLOOKUP(A59,'Données projet'!$A$269:$I$289,6,0)*VLOOKUP('Données projet'!$B$18,Paramètres!$A$1:$I$88,7,0))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projet'!$B$18,Paramètres!$A$1:$I$88,3,0)*0.475*44/12</f>
        <v>#N/A</v>
      </c>
      <c r="HH59" s="23" t="e">
        <f>EXP(-LN(2)/25)*HH58+(1-EXP(-LN(2)/25))/(LN(2)/25)*Calculateur!HC59*Calculateur!HE59*VLOOKUP('Données projet'!$B$18,Paramètres!$A$1:$I$88,3,0)*0.475*44/12</f>
        <v>#N/A</v>
      </c>
      <c r="HI59" s="23" t="e">
        <f>EXP(-LN(2)/2)*HI58+(1-EXP(-LN(2)/2))/(LN(2)/2)*HC59*HF59*VLOOKUP('Données projet'!$B$18,Paramètres!$A$1:$I$88,3,0)*0.475*44/12</f>
        <v>#N/A</v>
      </c>
      <c r="HJ59" s="24" t="e">
        <f t="shared" si="30"/>
        <v>#N/A</v>
      </c>
    </row>
    <row r="60" spans="1:218" s="5" customFormat="1" x14ac:dyDescent="0.35">
      <c r="A60" s="11">
        <f t="shared" si="31"/>
        <v>57</v>
      </c>
      <c r="B60" s="77">
        <f>'Scénario référence'!$B$16*5+'Scénario référence'!$B$17*0+'Scénario référence'!$B$18*5</f>
        <v>1.75</v>
      </c>
      <c r="C60" s="20">
        <f>Calculateur!C59+'Scénario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60" s="12">
        <f t="shared" si="3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6.416666666666667</v>
      </c>
      <c r="H60" s="70">
        <f t="shared" si="1"/>
        <v>231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66.772997459382879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16.428571428571427</v>
      </c>
      <c r="N60" s="14">
        <f>IF('Données projet'!$A$36&gt;35,N59+M60-V59,IF(A60&lt;'Données projet'!$A$36,$K$205^A60,IF(A60='Données projet'!$A$36,'Données projet'!$B$36,N59+M60-V59)))</f>
        <v>467.71428571428595</v>
      </c>
      <c r="O60" s="14">
        <f>N60*VLOOKUP('Données projet'!$B$9,Paramètres!$A$1:$I$88,3,0)*VLOOKUP('Données projet'!$B$9,Paramètres!$A$1:$I$88,5,0)</f>
        <v>261.45228571428589</v>
      </c>
      <c r="P60" s="14">
        <f t="shared" si="33"/>
        <v>63.031846153602828</v>
      </c>
      <c r="Q60" s="22">
        <f t="shared" si="53"/>
        <v>565.14319633657283</v>
      </c>
      <c r="R60" s="62">
        <f t="shared" si="0"/>
        <v>846.64418702097669</v>
      </c>
      <c r="S60" s="62">
        <f ca="1">AVERAGE(OFFSET($R$3,0,0,'Données projet'!$E$9+1,1))-AVERAGE(OFFSET($H$3,0,0,'Données projet'!$E$9+1,1))</f>
        <v>341.05096821796769</v>
      </c>
      <c r="T60" s="62">
        <f t="shared" si="34"/>
        <v>400.72519822215168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projet'!$B$9,Paramètres!$A$1:$I$88,7,0))</f>
        <v>0</v>
      </c>
      <c r="X60" s="17">
        <f>IF(ISNA(VLOOKUP(A60,'Données projet'!$A$35:$I$55,6,0)),0%,VLOOKUP(A60,'Données projet'!$A$35:$I$55,6,0)*VLOOKUP('Données projet'!$B$9,Paramètres!$A$1:$I$88,7,0))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projet'!$B$9,Paramètres!$A$1:$I$88,3,0)*0.475*44/12</f>
        <v>43.584673668863957</v>
      </c>
      <c r="AA60" s="23">
        <f>EXP(-LN(2)/25)*AA59+(1-EXP(-LN(2)/25))/(LN(2)/25)*Calculateur!V60*Calculateur!X60*VLOOKUP('Données projet'!$B$9,Paramètres!$A$1:$I$88,3,0)*0.475*44/12</f>
        <v>47.387841267920578</v>
      </c>
      <c r="AB60" s="23">
        <f>EXP(-LN(2)/2)*AB59+(1-EXP(-LN(2)/2))/(LN(2)/2)*V60*Y60*VLOOKUP('Données projet'!$B$9,Paramètres!$A$1:$I$88,3,0)*0.475*44/12</f>
        <v>0</v>
      </c>
      <c r="AC60" s="24">
        <f t="shared" si="3"/>
        <v>90.972514936784535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66.772997459382879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2.1750000000000007</v>
      </c>
      <c r="AI60" s="14">
        <f>IF('Données projet'!$A$62&gt;35,AI59+AH60-AQ59,IF(A60&lt;'Données projet'!$A$62,$AF$205^A60,IF(A60='Données projet'!$A$62,'Données projet'!$B$62,AI59+AH60-AQ59)))</f>
        <v>230.82500000000002</v>
      </c>
      <c r="AJ60" s="14">
        <f>AI60*VLOOKUP('Données projet'!$B$10,Paramètres!$A$1:$I$88,3,0)*VLOOKUP('Données projet'!$B$10,Paramètres!$A$1:$I$88,5,0)</f>
        <v>138.03335000000004</v>
      </c>
      <c r="AK60" s="14">
        <f t="shared" si="35"/>
        <v>35.84610331778341</v>
      </c>
      <c r="AL60" s="22">
        <f t="shared" si="4"/>
        <v>302.84004786180617</v>
      </c>
      <c r="AM60" s="62">
        <f t="shared" si="5"/>
        <v>584.34103854621003</v>
      </c>
      <c r="AN60" s="62">
        <f ca="1">AVERAGE(OFFSET($AM$3,0,0,'Données projet'!$E$10+1,1))-AVERAGE(OFFSET($H$3,0,0,'Données projet'!$E$10+1,1))</f>
        <v>231.96474801342879</v>
      </c>
      <c r="AO60" s="62">
        <f t="shared" si="36"/>
        <v>237.75726086383668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projet'!$B$10,Paramètres!$A$1:$I$88,7,0))</f>
        <v>0</v>
      </c>
      <c r="AS60" s="17">
        <f>IF(ISNA(VLOOKUP(A60,'Données projet'!$A$61:$I$81,6,0)),0%,VLOOKUP(A60,'Données projet'!$A$61:$I$81,6,0)*VLOOKUP('Données projet'!$B$10,Paramètres!$A$1:$I$88,7,0))</f>
        <v>0</v>
      </c>
      <c r="AT60" s="17">
        <f>IF(ISNA(VLOOKUP(A60,'Données projet'!$A$61:$I$81,7,0)),0%,VLOOKUP(A60,'Données projet'!$A$61:$I$81,7,0))</f>
        <v>0</v>
      </c>
      <c r="AU60" s="23">
        <f>EXP(-LN(2)/35)*AU59+(1-EXP(-LN(2)/35))/(LN(2)/35)*AQ60*AR60*VLOOKUP('Données projet'!$B$10,Paramètres!$A$1:$I$88,3,0)*0.475*44/12</f>
        <v>13.284117929636761</v>
      </c>
      <c r="AV60" s="23">
        <f>EXP(-LN(2)/25)*AV59+(1-EXP(-LN(2)/25))/(LN(2)/25)*Calculateur!AQ60*Calculateur!AS60*VLOOKUP('Données projet'!$B$10,Paramètres!$A$1:$I$88,3,0)*0.475*44/12</f>
        <v>19.725139911491446</v>
      </c>
      <c r="AW60" s="23">
        <f>EXP(-LN(2)/2)*AW59+(1-EXP(-LN(2)/2))/(LN(2)/2)*AQ60*AT60*VLOOKUP('Données projet'!$B$10,Paramètres!$A$1:$I$88,3,0)*0.475*44/12</f>
        <v>0</v>
      </c>
      <c r="AX60" s="23">
        <f t="shared" si="6"/>
        <v>33.009257841128203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66.772997459382879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17.7</v>
      </c>
      <c r="BD60" s="13">
        <f>IF('Données projet'!$A$88&gt;35,BD59+BC60-BL59,IF(A60&lt;'Données projet'!$A$88,$BA$205^A60,IF(A60='Données projet'!$A$88,'Données projet'!$B$88,BD59+BC60-BL59)))</f>
        <v>305.70000000000033</v>
      </c>
      <c r="BE60" s="14">
        <f>BD60*VLOOKUP('Données projet'!$B$11,Paramètres!$A$1:$I$88,3,0)*VLOOKUP('Données projet'!$B$11,Paramètres!$A$1:$I$88,5,0)</f>
        <v>143.06760000000017</v>
      </c>
      <c r="BF60" s="14">
        <f t="shared" si="37"/>
        <v>36.99886063115131</v>
      </c>
      <c r="BG60" s="22">
        <f t="shared" si="7"/>
        <v>313.61575226592214</v>
      </c>
      <c r="BH60" s="62">
        <f t="shared" si="8"/>
        <v>595.11674295032606</v>
      </c>
      <c r="BI60" s="62">
        <f ca="1">AVERAGE(OFFSET($BH$3,0,0,'Données projet'!$E$11+1,1))-AVERAGE(OFFSET($H$3,0,0,'Données projet'!$E$11+1,1))</f>
        <v>364.96458059055169</v>
      </c>
      <c r="BJ60" s="62">
        <f t="shared" si="38"/>
        <v>246.27159120786257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projet'!$B$11,Paramètres!$A$1:$I$88,7,0))</f>
        <v>0</v>
      </c>
      <c r="BN60" s="17">
        <f>IF(ISNA(VLOOKUP(A60,'Données projet'!$A$87:$I$107,6,0)),0%,VLOOKUP(A60,'Données projet'!$A$87:$I$107,6,0)*VLOOKUP('Données projet'!$B$11,Paramètres!$A$1:$I$88,7,0))</f>
        <v>0</v>
      </c>
      <c r="BO60" s="17">
        <f>IF(ISNA(VLOOKUP(A60,'Données projet'!$A$87:$I$107,7,0)),0%,VLOOKUP(A60,'Données projet'!$A$87:$I$107,7,0))</f>
        <v>0</v>
      </c>
      <c r="BP60" s="23">
        <f>EXP(-LN(2)/35)*BP59+(1-EXP(-LN(2)/35))/(LN(2)/35)*BL60*BM60*VLOOKUP('Données projet'!$B$11,Paramètres!$A$1:$I$88,3,0)*0.475*44/12</f>
        <v>35.32980262759753</v>
      </c>
      <c r="BQ60" s="23">
        <f>EXP(-LN(2)/25)*BQ59+(1-EXP(-LN(2)/25))/(LN(2)/25)*Calculateur!BL60*Calculateur!BN60*VLOOKUP('Données projet'!$B$11,Paramètres!$A$1:$I$88,3,0)*0.475*44/12</f>
        <v>21.817361496347587</v>
      </c>
      <c r="BR60" s="23">
        <f>EXP(-LN(2)/2)*BR59+(1-EXP(-LN(2)/2))/(LN(2)/2)*BL60*BO60*VLOOKUP('Données projet'!$B$11,Paramètres!$A$1:$I$88,3,0)*0.475*44/12</f>
        <v>0</v>
      </c>
      <c r="BS60" s="24">
        <f t="shared" si="9"/>
        <v>57.147164123945117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66.772997459382879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4.1666667007873768</v>
      </c>
      <c r="BY60" s="13">
        <f>IF('Données projet'!$A$114&gt;35,BY59+BX60-CG59,IF(A60&lt;'Données projet'!$A$114,$BV$205^A60,IF(A60='Données projet'!$A$114,'Données projet'!$B$114,BY59+BX60-CG59)))</f>
        <v>237.50000194488035</v>
      </c>
      <c r="BZ60" s="14">
        <f>BY60*VLOOKUP('Données projet'!$B$12,Paramètres!$A$1:$I$88,3,0)*VLOOKUP('Données projet'!$B$12,Paramètres!$A$1:$I$88,5,0)</f>
        <v>240.82500197210868</v>
      </c>
      <c r="CA60" s="14">
        <f t="shared" si="39"/>
        <v>58.616998208948942</v>
      </c>
      <c r="CB60" s="22">
        <f t="shared" si="10"/>
        <v>521.52815031534203</v>
      </c>
      <c r="CC60" s="62">
        <f t="shared" si="11"/>
        <v>803.02914099974601</v>
      </c>
      <c r="CD60" s="62">
        <f ca="1">AVERAGE(OFFSET($CC$3,0,0,'Données projet'!$E$12+1,1))-AVERAGE(OFFSET($H$3,0,0,'Données projet'!$E$12+1,1))</f>
        <v>310.53598044763282</v>
      </c>
      <c r="CE60" s="62">
        <f t="shared" si="40"/>
        <v>322.01096634040596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projet'!$B$12,Paramètres!$A$1:$I$88,7,0))</f>
        <v>0</v>
      </c>
      <c r="CI60" s="17">
        <f>IF(ISNA(VLOOKUP(A60,'Données projet'!$A$113:$I$133,6,0)),0%,VLOOKUP(A60,'Données projet'!$A$113:$I$133,6,0)*VLOOKUP('Données projet'!$B$12,Paramètres!$A$1:$I$88,7,0))</f>
        <v>0</v>
      </c>
      <c r="CJ60" s="17">
        <f>IF(ISNA(VLOOKUP(A60,'Données projet'!$A$113:$I$133,7,0)),0%,VLOOKUP(A60,'Données projet'!$A$113:$I$133,7,0))</f>
        <v>0</v>
      </c>
      <c r="CK60" s="23">
        <f>EXP(-LN(2)/35)*CK59+(1-EXP(-LN(2)/35))/(LN(2)/35)*CG60*CH60*VLOOKUP('Données projet'!$B$12,Paramètres!$A$1:$I$88,3,0)*0.475*44/12</f>
        <v>0</v>
      </c>
      <c r="CL60" s="23">
        <f>EXP(-LN(2)/25)*CL59+(1-EXP(-LN(2)/25))/(LN(2)/25)*Calculateur!CG60*Calculateur!CI60*VLOOKUP('Données projet'!$B$12,Paramètres!$A$1:$I$88,3,0)*0.475*44/12</f>
        <v>0</v>
      </c>
      <c r="CM60" s="23">
        <f>EXP(-LN(2)/2)*CM59+(1-EXP(-LN(2)/2))/(LN(2)/2)*CG60*CJ60*VLOOKUP('Données projet'!$B$12,Paramètres!$A$1:$I$88,3,0)*0.475*44/12</f>
        <v>0</v>
      </c>
      <c r="CN60" s="24">
        <f t="shared" si="12"/>
        <v>0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66.772997459382879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projet'!$B$13,Paramètres!$A$1:$I$88,3,0)*VLOOKUP('Données projet'!$B$13,Paramètres!$A$1:$I$88,5,0)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projet'!$B$13,Paramètres!$A$1:$I$88,7,0))</f>
        <v>0</v>
      </c>
      <c r="DD60" s="17">
        <f>IF(ISNA(VLOOKUP(A60,'Données projet'!$A$139:$I$159,6,0)),0%,VLOOKUP(A60,'Données projet'!$A$139:$I$159,6,0)*VLOOKUP('Données projet'!$B$13,Paramètres!$A$1:$I$88,7,0))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projet'!$B$13,Paramètres!$A$1:$I$88,3,0)*0.475*44/12</f>
        <v>#N/A</v>
      </c>
      <c r="DG60" s="23" t="e">
        <f>EXP(-LN(2)/25)*DG59+(1-EXP(-LN(2)/25))/(LN(2)/25)*Calculateur!DB60*Calculateur!DD60*VLOOKUP('Données projet'!$B$13,Paramètres!$A$1:$I$88,3,0)*0.475*44/12</f>
        <v>#N/A</v>
      </c>
      <c r="DH60" s="23" t="e">
        <f>EXP(-LN(2)/2)*DH59+(1-EXP(-LN(2)/2))/(LN(2)/2)*DB60*DE60*VLOOKUP('Données projet'!$B$13,Paramètres!$A$1:$I$88,3,0)*0.475*44/12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66.772997459382879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projet'!$B$14,Paramètres!$A$1:$I$88,3,0)*VLOOKUP('Données projet'!$B$14,Paramètres!$A$1:$I$88,5,0)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projet'!$B$14,Paramètres!$A$1:$I$88,7,0))</f>
        <v>0</v>
      </c>
      <c r="DY60" s="17">
        <f>IF(ISNA(VLOOKUP(A60,'Données projet'!$A$165:$I$185,6,0)),0%,VLOOKUP(A60,'Données projet'!$A$165:$I$185,6,0)*VLOOKUP('Données projet'!$B$14,Paramètres!$A$1:$I$88,7,0))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projet'!$B$14,Paramètres!$A$1:$I$88,3,0)*0.475*44/12</f>
        <v>#N/A</v>
      </c>
      <c r="EB60" s="23" t="e">
        <f>EXP(-LN(2)/25)*EB59+(1-EXP(-LN(2)/25))/(LN(2)/25)*Calculateur!DW60*Calculateur!DY60*VLOOKUP('Données projet'!$B$14,Paramètres!$A$1:$I$88,3,0)*0.475*44/12</f>
        <v>#N/A</v>
      </c>
      <c r="EC60" s="23" t="e">
        <f>EXP(-LN(2)/2)*EC59+(1-EXP(-LN(2)/2))/(LN(2)/2)*DW60*DZ60*VLOOKUP('Données projet'!$B$14,Paramètres!$A$1:$I$88,3,0)*0.475*44/12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66.772997459382879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projet'!$B$15,Paramètres!$A$1:$I$88,3,0)*VLOOKUP('Données projet'!$B$15,Paramètres!$A$1:$I$88,5,0)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projet'!$B$15,Paramètres!$A$1:$I$88,7,0))</f>
        <v>0</v>
      </c>
      <c r="ET60" s="17">
        <f>IF(ISNA(VLOOKUP(A60,'Données projet'!$A$191:$I$211,6,0)),0%,VLOOKUP(A60,'Données projet'!$A$191:$I$211,6,0)*VLOOKUP('Données projet'!$B$15,Paramètres!$A$1:$I$88,7,0))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projet'!$B$15,Paramètres!$A$1:$I$88,3,0)*0.475*44/12</f>
        <v>#N/A</v>
      </c>
      <c r="EW60" s="23" t="e">
        <f>EXP(-LN(2)/25)*EW59+(1-EXP(-LN(2)/25))/(LN(2)/25)*Calculateur!ER60*Calculateur!ET60*VLOOKUP('Données projet'!$B$15,Paramètres!$A$1:$I$88,3,0)*0.475*44/12</f>
        <v>#N/A</v>
      </c>
      <c r="EX60" s="23" t="e">
        <f>EXP(-LN(2)/2)*EX59+(1-EXP(-LN(2)/2))/(LN(2)/2)*ER60*EU60*VLOOKUP('Données projet'!$B$15,Paramètres!$A$1:$I$88,3,0)*0.475*44/12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66.772997459382879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projet'!$B$16,Paramètres!$A$1:$I$88,3,0)*VLOOKUP('Données projet'!$B$16,Paramètres!$A$1:$I$88,5,0)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projet'!$B$16,Paramètres!$A$1:$I$88,7,0))</f>
        <v>0</v>
      </c>
      <c r="FO60" s="17">
        <f>IF(ISNA(VLOOKUP(A60,'Données projet'!$A$217:$I$237,6,0)),0%,VLOOKUP(A60,'Données projet'!$A$217:$I$237,6,0)*VLOOKUP('Données projet'!$B$16,Paramètres!$A$1:$I$88,7,0))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projet'!$B$16,Paramètres!$A$1:$I$88,3,0)*0.475*44/12</f>
        <v>#N/A</v>
      </c>
      <c r="FR60" s="23" t="e">
        <f>EXP(-LN(2)/25)*FR59+(1-EXP(-LN(2)/25))/(LN(2)/25)*Calculateur!FM60*Calculateur!FO60*VLOOKUP('Données projet'!$B$16,Paramètres!$A$1:$I$88,3,0)*0.475*44/12</f>
        <v>#N/A</v>
      </c>
      <c r="FS60" s="23" t="e">
        <f>EXP(-LN(2)/2)*FS59+(1-EXP(-LN(2)/2))/(LN(2)/2)*FM60*FP60*VLOOKUP('Données projet'!$B$16,Paramètres!$A$1:$I$88,3,0)*0.475*44/12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66.772997459382879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projet'!$B$17,Paramètres!$A$1:$I$88,3,0)*VLOOKUP('Données projet'!$B$17,Paramètres!$A$1:$I$88,5,0)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projet'!$B$17,Paramètres!$A$1:$I$88,7,0))</f>
        <v>0</v>
      </c>
      <c r="GJ60" s="17">
        <f>IF(ISNA(VLOOKUP(A60,'Données projet'!$A$243:$I$263,6,0)),0%,VLOOKUP(A60,'Données projet'!$A$243:$I$263,6,0)*VLOOKUP('Données projet'!$B$17,Paramètres!$A$1:$I$88,7,0))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projet'!$B$17,Paramètres!$A$1:$I$88,3,0)*0.475*44/12</f>
        <v>#N/A</v>
      </c>
      <c r="GM60" s="23" t="e">
        <f>EXP(-LN(2)/25)*GM59+(1-EXP(-LN(2)/25))/(LN(2)/25)*Calculateur!GH60*Calculateur!GJ60*VLOOKUP('Données projet'!$B$17,Paramètres!$A$1:$I$88,3,0)*0.475*44/12</f>
        <v>#N/A</v>
      </c>
      <c r="GN60" s="23" t="e">
        <f>EXP(-LN(2)/2)*GN59+(1-EXP(-LN(2)/2))/(LN(2)/2)*GH60*GK60*VLOOKUP('Données projet'!$B$17,Paramètres!$A$1:$I$88,3,0)*0.475*44/12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66.772997459382879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projet'!$B$18,Paramètres!$A$1:$I$88,3,0)*VLOOKUP('Données projet'!$B$18,Paramètres!$A$1:$I$88,5,0)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projet'!$B$18,Paramètres!$A$1:$I$88,7,0))</f>
        <v>0</v>
      </c>
      <c r="HE60" s="17">
        <f>IF(ISNA(VLOOKUP(A60,'Données projet'!$A$269:$I$289,6,0)),0%,VLOOKUP(A60,'Données projet'!$A$269:$I$289,6,0)*VLOOKUP('Données projet'!$B$18,Paramètres!$A$1:$I$88,7,0))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projet'!$B$18,Paramètres!$A$1:$I$88,3,0)*0.475*44/12</f>
        <v>#N/A</v>
      </c>
      <c r="HH60" s="23" t="e">
        <f>EXP(-LN(2)/25)*HH59+(1-EXP(-LN(2)/25))/(LN(2)/25)*Calculateur!HC60*Calculateur!HE60*VLOOKUP('Données projet'!$B$18,Paramètres!$A$1:$I$88,3,0)*0.475*44/12</f>
        <v>#N/A</v>
      </c>
      <c r="HI60" s="23" t="e">
        <f>EXP(-LN(2)/2)*HI59+(1-EXP(-LN(2)/2))/(LN(2)/2)*HC60*HF60*VLOOKUP('Données projet'!$B$18,Paramètres!$A$1:$I$88,3,0)*0.475*44/12</f>
        <v>#N/A</v>
      </c>
      <c r="HJ60" s="24" t="e">
        <f t="shared" si="30"/>
        <v>#N/A</v>
      </c>
    </row>
    <row r="61" spans="1:218" s="5" customFormat="1" x14ac:dyDescent="0.35">
      <c r="A61" s="11">
        <f t="shared" si="31"/>
        <v>58</v>
      </c>
      <c r="B61" s="77">
        <f>'Scénario référence'!$B$16*5+'Scénario référence'!$B$17*0+'Scénario référence'!$B$18*5</f>
        <v>1.75</v>
      </c>
      <c r="C61" s="20">
        <f>Calculateur!C60+'Scénario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61" s="12">
        <f t="shared" si="3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6.416666666666667</v>
      </c>
      <c r="H61" s="70">
        <f t="shared" si="1"/>
        <v>231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66.828978738965702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16.428571428571427</v>
      </c>
      <c r="N61" s="14">
        <f>IF('Données projet'!$A$36&gt;35,N60+M61-V60,IF(A61&lt;'Données projet'!$A$36,$K$205^A61,IF(A61='Données projet'!$A$36,'Données projet'!$B$36,N60+M61-V60)))</f>
        <v>484.14285714285739</v>
      </c>
      <c r="O61" s="14">
        <f>N61*VLOOKUP('Données projet'!$B$9,Paramètres!$A$1:$I$88,3,0)*VLOOKUP('Données projet'!$B$9,Paramètres!$A$1:$I$88,5,0)</f>
        <v>270.63585714285728</v>
      </c>
      <c r="P61" s="14">
        <f t="shared" si="33"/>
        <v>64.98419574180447</v>
      </c>
      <c r="Q61" s="22">
        <f t="shared" si="53"/>
        <v>584.53825877411907</v>
      </c>
      <c r="R61" s="62">
        <f t="shared" si="0"/>
        <v>866.24451415032672</v>
      </c>
      <c r="S61" s="62">
        <f ca="1">AVERAGE(OFFSET($R$3,0,0,'Données projet'!$E$9+1,1))-AVERAGE(OFFSET($H$3,0,0,'Données projet'!$E$9+1,1))</f>
        <v>341.05096821796769</v>
      </c>
      <c r="T61" s="62">
        <f t="shared" si="34"/>
        <v>400.72519822215168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projet'!$B$9,Paramètres!$A$1:$I$88,7,0))</f>
        <v>0</v>
      </c>
      <c r="X61" s="17">
        <f>IF(ISNA(VLOOKUP(A61,'Données projet'!$A$35:$I$55,6,0)),0%,VLOOKUP(A61,'Données projet'!$A$35:$I$55,6,0)*VLOOKUP('Données projet'!$B$9,Paramètres!$A$1:$I$88,7,0))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projet'!$B$9,Paramètres!$A$1:$I$88,3,0)*0.475*44/12</f>
        <v>42.730004802243521</v>
      </c>
      <c r="AA61" s="23">
        <f>EXP(-LN(2)/25)*AA60+(1-EXP(-LN(2)/25))/(LN(2)/25)*Calculateur!V61*Calculateur!X61*VLOOKUP('Données projet'!$B$9,Paramètres!$A$1:$I$88,3,0)*0.475*44/12</f>
        <v>46.092018256431025</v>
      </c>
      <c r="AB61" s="23">
        <f>EXP(-LN(2)/2)*AB60+(1-EXP(-LN(2)/2))/(LN(2)/2)*V61*Y61*VLOOKUP('Données projet'!$B$9,Paramètres!$A$1:$I$88,3,0)*0.475*44/12</f>
        <v>0</v>
      </c>
      <c r="AC61" s="24">
        <f t="shared" si="3"/>
        <v>88.822023058674546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66.828978738965702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2.1750000000000007</v>
      </c>
      <c r="AI61" s="14">
        <f>IF('Données projet'!$A$62&gt;35,AI60+AH61-AQ60,IF(A61&lt;'Données projet'!$A$62,$AF$205^A61,IF(A61='Données projet'!$A$62,'Données projet'!$B$62,AI60+AH61-AQ60)))</f>
        <v>233.00000000000003</v>
      </c>
      <c r="AJ61" s="14">
        <f>AI61*VLOOKUP('Données projet'!$B$10,Paramètres!$A$1:$I$88,3,0)*VLOOKUP('Données projet'!$B$10,Paramètres!$A$1:$I$88,5,0)</f>
        <v>139.33400000000003</v>
      </c>
      <c r="AK61" s="14">
        <f t="shared" si="35"/>
        <v>36.144391930570897</v>
      </c>
      <c r="AL61" s="22">
        <f t="shared" si="4"/>
        <v>305.62486594574438</v>
      </c>
      <c r="AM61" s="62">
        <f t="shared" si="5"/>
        <v>587.33112132195197</v>
      </c>
      <c r="AN61" s="62">
        <f ca="1">AVERAGE(OFFSET($AM$3,0,0,'Données projet'!$E$10+1,1))-AVERAGE(OFFSET($H$3,0,0,'Données projet'!$E$10+1,1))</f>
        <v>231.96474801342879</v>
      </c>
      <c r="AO61" s="62">
        <f t="shared" si="36"/>
        <v>237.75726086383668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projet'!$B$10,Paramètres!$A$1:$I$88,7,0))</f>
        <v>0</v>
      </c>
      <c r="AS61" s="17">
        <f>IF(ISNA(VLOOKUP(A61,'Données projet'!$A$61:$I$81,6,0)),0%,VLOOKUP(A61,'Données projet'!$A$61:$I$81,6,0)*VLOOKUP('Données projet'!$B$10,Paramètres!$A$1:$I$88,7,0))</f>
        <v>0</v>
      </c>
      <c r="AT61" s="17">
        <f>IF(ISNA(VLOOKUP(A61,'Données projet'!$A$61:$I$81,7,0)),0%,VLOOKUP(A61,'Données projet'!$A$61:$I$81,7,0))</f>
        <v>0</v>
      </c>
      <c r="AU61" s="23">
        <f>EXP(-LN(2)/35)*AU60+(1-EXP(-LN(2)/35))/(LN(2)/35)*AQ61*AR61*VLOOKUP('Données projet'!$B$10,Paramètres!$A$1:$I$88,3,0)*0.475*44/12</f>
        <v>13.023624479548465</v>
      </c>
      <c r="AV61" s="23">
        <f>EXP(-LN(2)/25)*AV60+(1-EXP(-LN(2)/25))/(LN(2)/25)*Calculateur!AQ61*Calculateur!AS61*VLOOKUP('Données projet'!$B$10,Paramètres!$A$1:$I$88,3,0)*0.475*44/12</f>
        <v>19.185754923311688</v>
      </c>
      <c r="AW61" s="23">
        <f>EXP(-LN(2)/2)*AW60+(1-EXP(-LN(2)/2))/(LN(2)/2)*AQ61*AT61*VLOOKUP('Données projet'!$B$10,Paramètres!$A$1:$I$88,3,0)*0.475*44/12</f>
        <v>0</v>
      </c>
      <c r="AX61" s="23">
        <f t="shared" si="6"/>
        <v>32.209379402860151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66.828978738965702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17.7</v>
      </c>
      <c r="BD61" s="13">
        <f>IF('Données projet'!$A$88&gt;35,BD60+BC61-BL60,IF(A61&lt;'Données projet'!$A$88,$BA$205^A61,IF(A61='Données projet'!$A$88,'Données projet'!$B$88,BD60+BC61-BL60)))</f>
        <v>323.40000000000032</v>
      </c>
      <c r="BE61" s="14">
        <f>BD61*VLOOKUP('Données projet'!$B$11,Paramètres!$A$1:$I$88,3,0)*VLOOKUP('Données projet'!$B$11,Paramètres!$A$1:$I$88,5,0)</f>
        <v>151.35120000000015</v>
      </c>
      <c r="BF61" s="14">
        <f t="shared" si="37"/>
        <v>38.885490222897111</v>
      </c>
      <c r="BG61" s="22">
        <f t="shared" si="7"/>
        <v>331.3289021382127</v>
      </c>
      <c r="BH61" s="62">
        <f t="shared" si="8"/>
        <v>613.03515751442023</v>
      </c>
      <c r="BI61" s="62">
        <f ca="1">AVERAGE(OFFSET($BH$3,0,0,'Données projet'!$E$11+1,1))-AVERAGE(OFFSET($H$3,0,0,'Données projet'!$E$11+1,1))</f>
        <v>364.96458059055169</v>
      </c>
      <c r="BJ61" s="62">
        <f t="shared" si="38"/>
        <v>246.27159120786257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projet'!$B$11,Paramètres!$A$1:$I$88,7,0))</f>
        <v>0</v>
      </c>
      <c r="BN61" s="17">
        <f>IF(ISNA(VLOOKUP(A61,'Données projet'!$A$87:$I$107,6,0)),0%,VLOOKUP(A61,'Données projet'!$A$87:$I$107,6,0)*VLOOKUP('Données projet'!$B$11,Paramètres!$A$1:$I$88,7,0))</f>
        <v>0</v>
      </c>
      <c r="BO61" s="17">
        <f>IF(ISNA(VLOOKUP(A61,'Données projet'!$A$87:$I$107,7,0)),0%,VLOOKUP(A61,'Données projet'!$A$87:$I$107,7,0))</f>
        <v>0</v>
      </c>
      <c r="BP61" s="23">
        <f>EXP(-LN(2)/35)*BP60+(1-EXP(-LN(2)/35))/(LN(2)/35)*BL61*BM61*VLOOKUP('Données projet'!$B$11,Paramètres!$A$1:$I$88,3,0)*0.475*44/12</f>
        <v>34.63700674712215</v>
      </c>
      <c r="BQ61" s="23">
        <f>EXP(-LN(2)/25)*BQ60+(1-EXP(-LN(2)/25))/(LN(2)/25)*Calculateur!BL61*Calculateur!BN61*VLOOKUP('Données projet'!$B$11,Paramètres!$A$1:$I$88,3,0)*0.475*44/12</f>
        <v>21.220764598904786</v>
      </c>
      <c r="BR61" s="23">
        <f>EXP(-LN(2)/2)*BR60+(1-EXP(-LN(2)/2))/(LN(2)/2)*BL61*BO61*VLOOKUP('Données projet'!$B$11,Paramètres!$A$1:$I$88,3,0)*0.475*44/12</f>
        <v>0</v>
      </c>
      <c r="BS61" s="24">
        <f t="shared" si="9"/>
        <v>55.857771346026936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66.828978738965702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4.1666667007873768</v>
      </c>
      <c r="BY61" s="13">
        <f>IF('Données projet'!$A$114&gt;35,BY60+BX61-CG60,IF(A61&lt;'Données projet'!$A$114,$BV$205^A61,IF(A61='Données projet'!$A$114,'Données projet'!$B$114,BY60+BX61-CG60)))</f>
        <v>241.66666864566773</v>
      </c>
      <c r="BZ61" s="14">
        <f>BY61*VLOOKUP('Données projet'!$B$12,Paramètres!$A$1:$I$88,3,0)*VLOOKUP('Données projet'!$B$12,Paramètres!$A$1:$I$88,5,0)</f>
        <v>245.05000200670707</v>
      </c>
      <c r="CA61" s="14">
        <f t="shared" si="39"/>
        <v>59.524742723542531</v>
      </c>
      <c r="CB61" s="22">
        <f t="shared" si="10"/>
        <v>530.46768040518475</v>
      </c>
      <c r="CC61" s="62">
        <f t="shared" si="11"/>
        <v>812.1739357813924</v>
      </c>
      <c r="CD61" s="62">
        <f ca="1">AVERAGE(OFFSET($CC$3,0,0,'Données projet'!$E$12+1,1))-AVERAGE(OFFSET($H$3,0,0,'Données projet'!$E$12+1,1))</f>
        <v>310.53598044763282</v>
      </c>
      <c r="CE61" s="62">
        <f t="shared" si="40"/>
        <v>322.01096634040596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projet'!$B$12,Paramètres!$A$1:$I$88,7,0))</f>
        <v>0</v>
      </c>
      <c r="CI61" s="17">
        <f>IF(ISNA(VLOOKUP(A61,'Données projet'!$A$113:$I$133,6,0)),0%,VLOOKUP(A61,'Données projet'!$A$113:$I$133,6,0)*VLOOKUP('Données projet'!$B$12,Paramètres!$A$1:$I$88,7,0))</f>
        <v>0</v>
      </c>
      <c r="CJ61" s="17">
        <f>IF(ISNA(VLOOKUP(A61,'Données projet'!$A$113:$I$133,7,0)),0%,VLOOKUP(A61,'Données projet'!$A$113:$I$133,7,0))</f>
        <v>0</v>
      </c>
      <c r="CK61" s="23">
        <f>EXP(-LN(2)/35)*CK60+(1-EXP(-LN(2)/35))/(LN(2)/35)*CG61*CH61*VLOOKUP('Données projet'!$B$12,Paramètres!$A$1:$I$88,3,0)*0.475*44/12</f>
        <v>0</v>
      </c>
      <c r="CL61" s="23">
        <f>EXP(-LN(2)/25)*CL60+(1-EXP(-LN(2)/25))/(LN(2)/25)*Calculateur!CG61*Calculateur!CI61*VLOOKUP('Données projet'!$B$12,Paramètres!$A$1:$I$88,3,0)*0.475*44/12</f>
        <v>0</v>
      </c>
      <c r="CM61" s="23">
        <f>EXP(-LN(2)/2)*CM60+(1-EXP(-LN(2)/2))/(LN(2)/2)*CG61*CJ61*VLOOKUP('Données projet'!$B$12,Paramètres!$A$1:$I$88,3,0)*0.475*44/12</f>
        <v>0</v>
      </c>
      <c r="CN61" s="24">
        <f t="shared" si="12"/>
        <v>0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66.828978738965702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projet'!$B$13,Paramètres!$A$1:$I$88,3,0)*VLOOKUP('Données projet'!$B$13,Paramètres!$A$1:$I$88,5,0)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projet'!$B$13,Paramètres!$A$1:$I$88,7,0))</f>
        <v>0</v>
      </c>
      <c r="DD61" s="17">
        <f>IF(ISNA(VLOOKUP(A61,'Données projet'!$A$139:$I$159,6,0)),0%,VLOOKUP(A61,'Données projet'!$A$139:$I$159,6,0)*VLOOKUP('Données projet'!$B$13,Paramètres!$A$1:$I$88,7,0))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projet'!$B$13,Paramètres!$A$1:$I$88,3,0)*0.475*44/12</f>
        <v>#N/A</v>
      </c>
      <c r="DG61" s="23" t="e">
        <f>EXP(-LN(2)/25)*DG60+(1-EXP(-LN(2)/25))/(LN(2)/25)*Calculateur!DB61*Calculateur!DD61*VLOOKUP('Données projet'!$B$13,Paramètres!$A$1:$I$88,3,0)*0.475*44/12</f>
        <v>#N/A</v>
      </c>
      <c r="DH61" s="23" t="e">
        <f>EXP(-LN(2)/2)*DH60+(1-EXP(-LN(2)/2))/(LN(2)/2)*DB61*DE61*VLOOKUP('Données projet'!$B$13,Paramètres!$A$1:$I$88,3,0)*0.475*44/12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66.828978738965702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projet'!$B$14,Paramètres!$A$1:$I$88,3,0)*VLOOKUP('Données projet'!$B$14,Paramètres!$A$1:$I$88,5,0)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projet'!$B$14,Paramètres!$A$1:$I$88,7,0))</f>
        <v>0</v>
      </c>
      <c r="DY61" s="17">
        <f>IF(ISNA(VLOOKUP(A61,'Données projet'!$A$165:$I$185,6,0)),0%,VLOOKUP(A61,'Données projet'!$A$165:$I$185,6,0)*VLOOKUP('Données projet'!$B$14,Paramètres!$A$1:$I$88,7,0))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projet'!$B$14,Paramètres!$A$1:$I$88,3,0)*0.475*44/12</f>
        <v>#N/A</v>
      </c>
      <c r="EB61" s="23" t="e">
        <f>EXP(-LN(2)/25)*EB60+(1-EXP(-LN(2)/25))/(LN(2)/25)*Calculateur!DW61*Calculateur!DY61*VLOOKUP('Données projet'!$B$14,Paramètres!$A$1:$I$88,3,0)*0.475*44/12</f>
        <v>#N/A</v>
      </c>
      <c r="EC61" s="23" t="e">
        <f>EXP(-LN(2)/2)*EC60+(1-EXP(-LN(2)/2))/(LN(2)/2)*DW61*DZ61*VLOOKUP('Données projet'!$B$14,Paramètres!$A$1:$I$88,3,0)*0.475*44/12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66.828978738965702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projet'!$B$15,Paramètres!$A$1:$I$88,3,0)*VLOOKUP('Données projet'!$B$15,Paramètres!$A$1:$I$88,5,0)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projet'!$B$15,Paramètres!$A$1:$I$88,7,0))</f>
        <v>0</v>
      </c>
      <c r="ET61" s="17">
        <f>IF(ISNA(VLOOKUP(A61,'Données projet'!$A$191:$I$211,6,0)),0%,VLOOKUP(A61,'Données projet'!$A$191:$I$211,6,0)*VLOOKUP('Données projet'!$B$15,Paramètres!$A$1:$I$88,7,0))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projet'!$B$15,Paramètres!$A$1:$I$88,3,0)*0.475*44/12</f>
        <v>#N/A</v>
      </c>
      <c r="EW61" s="23" t="e">
        <f>EXP(-LN(2)/25)*EW60+(1-EXP(-LN(2)/25))/(LN(2)/25)*Calculateur!ER61*Calculateur!ET61*VLOOKUP('Données projet'!$B$15,Paramètres!$A$1:$I$88,3,0)*0.475*44/12</f>
        <v>#N/A</v>
      </c>
      <c r="EX61" s="23" t="e">
        <f>EXP(-LN(2)/2)*EX60+(1-EXP(-LN(2)/2))/(LN(2)/2)*ER61*EU61*VLOOKUP('Données projet'!$B$15,Paramètres!$A$1:$I$88,3,0)*0.475*44/12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66.828978738965702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projet'!$B$16,Paramètres!$A$1:$I$88,3,0)*VLOOKUP('Données projet'!$B$16,Paramètres!$A$1:$I$88,5,0)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projet'!$B$16,Paramètres!$A$1:$I$88,7,0))</f>
        <v>0</v>
      </c>
      <c r="FO61" s="17">
        <f>IF(ISNA(VLOOKUP(A61,'Données projet'!$A$217:$I$237,6,0)),0%,VLOOKUP(A61,'Données projet'!$A$217:$I$237,6,0)*VLOOKUP('Données projet'!$B$16,Paramètres!$A$1:$I$88,7,0))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projet'!$B$16,Paramètres!$A$1:$I$88,3,0)*0.475*44/12</f>
        <v>#N/A</v>
      </c>
      <c r="FR61" s="23" t="e">
        <f>EXP(-LN(2)/25)*FR60+(1-EXP(-LN(2)/25))/(LN(2)/25)*Calculateur!FM61*Calculateur!FO61*VLOOKUP('Données projet'!$B$16,Paramètres!$A$1:$I$88,3,0)*0.475*44/12</f>
        <v>#N/A</v>
      </c>
      <c r="FS61" s="23" t="e">
        <f>EXP(-LN(2)/2)*FS60+(1-EXP(-LN(2)/2))/(LN(2)/2)*FM61*FP61*VLOOKUP('Données projet'!$B$16,Paramètres!$A$1:$I$88,3,0)*0.475*44/12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66.828978738965702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projet'!$B$17,Paramètres!$A$1:$I$88,3,0)*VLOOKUP('Données projet'!$B$17,Paramètres!$A$1:$I$88,5,0)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projet'!$B$17,Paramètres!$A$1:$I$88,7,0))</f>
        <v>0</v>
      </c>
      <c r="GJ61" s="17">
        <f>IF(ISNA(VLOOKUP(A61,'Données projet'!$A$243:$I$263,6,0)),0%,VLOOKUP(A61,'Données projet'!$A$243:$I$263,6,0)*VLOOKUP('Données projet'!$B$17,Paramètres!$A$1:$I$88,7,0))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projet'!$B$17,Paramètres!$A$1:$I$88,3,0)*0.475*44/12</f>
        <v>#N/A</v>
      </c>
      <c r="GM61" s="23" t="e">
        <f>EXP(-LN(2)/25)*GM60+(1-EXP(-LN(2)/25))/(LN(2)/25)*Calculateur!GH61*Calculateur!GJ61*VLOOKUP('Données projet'!$B$17,Paramètres!$A$1:$I$88,3,0)*0.475*44/12</f>
        <v>#N/A</v>
      </c>
      <c r="GN61" s="23" t="e">
        <f>EXP(-LN(2)/2)*GN60+(1-EXP(-LN(2)/2))/(LN(2)/2)*GH61*GK61*VLOOKUP('Données projet'!$B$17,Paramètres!$A$1:$I$88,3,0)*0.475*44/12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66.828978738965702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projet'!$B$18,Paramètres!$A$1:$I$88,3,0)*VLOOKUP('Données projet'!$B$18,Paramètres!$A$1:$I$88,5,0)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projet'!$B$18,Paramètres!$A$1:$I$88,7,0))</f>
        <v>0</v>
      </c>
      <c r="HE61" s="17">
        <f>IF(ISNA(VLOOKUP(A61,'Données projet'!$A$269:$I$289,6,0)),0%,VLOOKUP(A61,'Données projet'!$A$269:$I$289,6,0)*VLOOKUP('Données projet'!$B$18,Paramètres!$A$1:$I$88,7,0))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projet'!$B$18,Paramètres!$A$1:$I$88,3,0)*0.475*44/12</f>
        <v>#N/A</v>
      </c>
      <c r="HH61" s="23" t="e">
        <f>EXP(-LN(2)/25)*HH60+(1-EXP(-LN(2)/25))/(LN(2)/25)*Calculateur!HC61*Calculateur!HE61*VLOOKUP('Données projet'!$B$18,Paramètres!$A$1:$I$88,3,0)*0.475*44/12</f>
        <v>#N/A</v>
      </c>
      <c r="HI61" s="23" t="e">
        <f>EXP(-LN(2)/2)*HI60+(1-EXP(-LN(2)/2))/(LN(2)/2)*HC61*HF61*VLOOKUP('Données projet'!$B$18,Paramètres!$A$1:$I$88,3,0)*0.475*44/12</f>
        <v>#N/A</v>
      </c>
      <c r="HJ61" s="24" t="e">
        <f t="shared" si="30"/>
        <v>#N/A</v>
      </c>
    </row>
    <row r="62" spans="1:218" s="5" customFormat="1" x14ac:dyDescent="0.35">
      <c r="A62" s="11">
        <f t="shared" si="31"/>
        <v>59</v>
      </c>
      <c r="B62" s="77">
        <f>'Scénario référence'!$B$16*5+'Scénario référence'!$B$17*0+'Scénario référence'!$B$18*5</f>
        <v>1.75</v>
      </c>
      <c r="C62" s="20">
        <f>Calculateur!C61+'Scénario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62" s="12">
        <f t="shared" si="3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6.416666666666667</v>
      </c>
      <c r="H62" s="70">
        <f t="shared" si="1"/>
        <v>231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66.883988868503167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16.428571428571427</v>
      </c>
      <c r="N62" s="14">
        <f>IF('Données projet'!$A$36&gt;35,N61+M62-V61,IF(A62&lt;'Données projet'!$A$36,$K$205^A62,IF(A62='Données projet'!$A$36,'Données projet'!$B$36,N61+M62-V61)))</f>
        <v>500.57142857142884</v>
      </c>
      <c r="O62" s="14">
        <f>N62*VLOOKUP('Données projet'!$B$9,Paramètres!$A$1:$I$88,3,0)*VLOOKUP('Données projet'!$B$9,Paramètres!$A$1:$I$88,5,0)</f>
        <v>279.81942857142872</v>
      </c>
      <c r="P62" s="14">
        <f t="shared" si="33"/>
        <v>66.928847514833734</v>
      </c>
      <c r="Q62" s="22">
        <f t="shared" si="53"/>
        <v>603.91991418357372</v>
      </c>
      <c r="R62" s="62">
        <f t="shared" si="0"/>
        <v>885.82787336808542</v>
      </c>
      <c r="S62" s="62">
        <f ca="1">AVERAGE(OFFSET($R$3,0,0,'Données projet'!$E$9+1,1))-AVERAGE(OFFSET($H$3,0,0,'Données projet'!$E$9+1,1))</f>
        <v>341.05096821796769</v>
      </c>
      <c r="T62" s="62">
        <f t="shared" si="34"/>
        <v>400.72519822215168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projet'!$B$9,Paramètres!$A$1:$I$88,7,0))</f>
        <v>0</v>
      </c>
      <c r="X62" s="17">
        <f>IF(ISNA(VLOOKUP(A62,'Données projet'!$A$35:$I$55,6,0)),0%,VLOOKUP(A62,'Données projet'!$A$35:$I$55,6,0)*VLOOKUP('Données projet'!$B$9,Paramètres!$A$1:$I$88,7,0))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projet'!$B$9,Paramètres!$A$1:$I$88,3,0)*0.475*44/12</f>
        <v>41.892095470800975</v>
      </c>
      <c r="AA62" s="23">
        <f>EXP(-LN(2)/25)*AA61+(1-EXP(-LN(2)/25))/(LN(2)/25)*Calculateur!V62*Calculateur!X62*VLOOKUP('Données projet'!$B$9,Paramètres!$A$1:$I$88,3,0)*0.475*44/12</f>
        <v>44.831629593335023</v>
      </c>
      <c r="AB62" s="23">
        <f>EXP(-LN(2)/2)*AB61+(1-EXP(-LN(2)/2))/(LN(2)/2)*V62*Y62*VLOOKUP('Données projet'!$B$9,Paramètres!$A$1:$I$88,3,0)*0.475*44/12</f>
        <v>0</v>
      </c>
      <c r="AC62" s="24">
        <f t="shared" si="3"/>
        <v>86.723725064136005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66.883988868503167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2.1750000000000007</v>
      </c>
      <c r="AI62" s="14">
        <f>IF('Données projet'!$A$62&gt;35,AI61+AH62-AQ61,IF(A62&lt;'Données projet'!$A$62,$AF$205^A62,IF(A62='Données projet'!$A$62,'Données projet'!$B$62,AI61+AH62-AQ61)))</f>
        <v>235.17500000000004</v>
      </c>
      <c r="AJ62" s="14">
        <f>AI62*VLOOKUP('Données projet'!$B$10,Paramètres!$A$1:$I$88,3,0)*VLOOKUP('Données projet'!$B$10,Paramètres!$A$1:$I$88,5,0)</f>
        <v>140.63465000000002</v>
      </c>
      <c r="AK62" s="14">
        <f t="shared" si="35"/>
        <v>36.442356603981622</v>
      </c>
      <c r="AL62" s="22">
        <f t="shared" si="4"/>
        <v>308.40911983526803</v>
      </c>
      <c r="AM62" s="62">
        <f t="shared" si="5"/>
        <v>590.31707901977961</v>
      </c>
      <c r="AN62" s="62">
        <f ca="1">AVERAGE(OFFSET($AM$3,0,0,'Données projet'!$E$10+1,1))-AVERAGE(OFFSET($H$3,0,0,'Données projet'!$E$10+1,1))</f>
        <v>231.96474801342879</v>
      </c>
      <c r="AO62" s="62">
        <f t="shared" si="36"/>
        <v>237.75726086383668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projet'!$B$10,Paramètres!$A$1:$I$88,7,0))</f>
        <v>0</v>
      </c>
      <c r="AS62" s="17">
        <f>IF(ISNA(VLOOKUP(A62,'Données projet'!$A$61:$I$81,6,0)),0%,VLOOKUP(A62,'Données projet'!$A$61:$I$81,6,0)*VLOOKUP('Données projet'!$B$10,Paramètres!$A$1:$I$88,7,0))</f>
        <v>0</v>
      </c>
      <c r="AT62" s="17">
        <f>IF(ISNA(VLOOKUP(A62,'Données projet'!$A$61:$I$81,7,0)),0%,VLOOKUP(A62,'Données projet'!$A$61:$I$81,7,0))</f>
        <v>0</v>
      </c>
      <c r="AU62" s="23">
        <f>EXP(-LN(2)/35)*AU61+(1-EXP(-LN(2)/35))/(LN(2)/35)*AQ62*AR62*VLOOKUP('Données projet'!$B$10,Paramètres!$A$1:$I$88,3,0)*0.475*44/12</f>
        <v>12.768239147131084</v>
      </c>
      <c r="AV62" s="23">
        <f>EXP(-LN(2)/25)*AV61+(1-EXP(-LN(2)/25))/(LN(2)/25)*Calculateur!AQ62*Calculateur!AS62*VLOOKUP('Données projet'!$B$10,Paramètres!$A$1:$I$88,3,0)*0.475*44/12</f>
        <v>18.661119445998729</v>
      </c>
      <c r="AW62" s="23">
        <f>EXP(-LN(2)/2)*AW61+(1-EXP(-LN(2)/2))/(LN(2)/2)*AQ62*AT62*VLOOKUP('Données projet'!$B$10,Paramètres!$A$1:$I$88,3,0)*0.475*44/12</f>
        <v>0</v>
      </c>
      <c r="AX62" s="23">
        <f t="shared" si="6"/>
        <v>31.429358593129813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66.883988868503167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17.7</v>
      </c>
      <c r="BD62" s="13">
        <f>IF('Données projet'!$A$88&gt;35,BD61+BC62-BL61,IF(A62&lt;'Données projet'!$A$88,$BA$205^A62,IF(A62='Données projet'!$A$88,'Données projet'!$B$88,BD61+BC62-BL61)))</f>
        <v>341.10000000000031</v>
      </c>
      <c r="BE62" s="14">
        <f>BD62*VLOOKUP('Données projet'!$B$11,Paramètres!$A$1:$I$88,3,0)*VLOOKUP('Données projet'!$B$11,Paramètres!$A$1:$I$88,5,0)</f>
        <v>159.63480000000015</v>
      </c>
      <c r="BF62" s="14">
        <f t="shared" si="37"/>
        <v>40.760132575591193</v>
      </c>
      <c r="BG62" s="22">
        <f t="shared" si="7"/>
        <v>349.02117423582155</v>
      </c>
      <c r="BH62" s="62">
        <f t="shared" si="8"/>
        <v>630.92913342033319</v>
      </c>
      <c r="BI62" s="62">
        <f ca="1">AVERAGE(OFFSET($BH$3,0,0,'Données projet'!$E$11+1,1))-AVERAGE(OFFSET($H$3,0,0,'Données projet'!$E$11+1,1))</f>
        <v>364.96458059055169</v>
      </c>
      <c r="BJ62" s="62">
        <f t="shared" si="38"/>
        <v>246.27159120786257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projet'!$B$11,Paramètres!$A$1:$I$88,7,0))</f>
        <v>0</v>
      </c>
      <c r="BN62" s="17">
        <f>IF(ISNA(VLOOKUP(A62,'Données projet'!$A$87:$I$107,6,0)),0%,VLOOKUP(A62,'Données projet'!$A$87:$I$107,6,0)*VLOOKUP('Données projet'!$B$11,Paramètres!$A$1:$I$88,7,0))</f>
        <v>0</v>
      </c>
      <c r="BO62" s="17">
        <f>IF(ISNA(VLOOKUP(A62,'Données projet'!$A$87:$I$107,7,0)),0%,VLOOKUP(A62,'Données projet'!$A$87:$I$107,7,0))</f>
        <v>0</v>
      </c>
      <c r="BP62" s="23">
        <f>EXP(-LN(2)/35)*BP61+(1-EXP(-LN(2)/35))/(LN(2)/35)*BL62*BM62*VLOOKUP('Données projet'!$B$11,Paramètres!$A$1:$I$88,3,0)*0.475*44/12</f>
        <v>33.957796171299137</v>
      </c>
      <c r="BQ62" s="23">
        <f>EXP(-LN(2)/25)*BQ61+(1-EXP(-LN(2)/25))/(LN(2)/25)*Calculateur!BL62*Calculateur!BN62*VLOOKUP('Données projet'!$B$11,Paramètres!$A$1:$I$88,3,0)*0.475*44/12</f>
        <v>20.640481674996224</v>
      </c>
      <c r="BR62" s="23">
        <f>EXP(-LN(2)/2)*BR61+(1-EXP(-LN(2)/2))/(LN(2)/2)*BL62*BO62*VLOOKUP('Données projet'!$B$11,Paramètres!$A$1:$I$88,3,0)*0.475*44/12</f>
        <v>0</v>
      </c>
      <c r="BS62" s="24">
        <f t="shared" si="9"/>
        <v>54.59827784629536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66.883988868503167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4.1666667007873768</v>
      </c>
      <c r="BY62" s="13">
        <f>IF('Données projet'!$A$114&gt;35,BY61+BX62-CG61,IF(A62&lt;'Données projet'!$A$114,$BV$205^A62,IF(A62='Données projet'!$A$114,'Données projet'!$B$114,BY61+BX62-CG61)))</f>
        <v>245.8333353464551</v>
      </c>
      <c r="BZ62" s="14">
        <f>BY62*VLOOKUP('Données projet'!$B$12,Paramètres!$A$1:$I$88,3,0)*VLOOKUP('Données projet'!$B$12,Paramètres!$A$1:$I$88,5,0)</f>
        <v>249.2750020413055</v>
      </c>
      <c r="CA62" s="14">
        <f t="shared" si="39"/>
        <v>60.430667220278515</v>
      </c>
      <c r="CB62" s="22">
        <f t="shared" si="10"/>
        <v>539.40404063059214</v>
      </c>
      <c r="CC62" s="62">
        <f t="shared" si="11"/>
        <v>821.31199981510372</v>
      </c>
      <c r="CD62" s="62">
        <f ca="1">AVERAGE(OFFSET($CC$3,0,0,'Données projet'!$E$12+1,1))-AVERAGE(OFFSET($H$3,0,0,'Données projet'!$E$12+1,1))</f>
        <v>310.53598044763282</v>
      </c>
      <c r="CE62" s="62">
        <f t="shared" si="40"/>
        <v>322.01096634040596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projet'!$B$12,Paramètres!$A$1:$I$88,7,0))</f>
        <v>0</v>
      </c>
      <c r="CI62" s="17">
        <f>IF(ISNA(VLOOKUP(A62,'Données projet'!$A$113:$I$133,6,0)),0%,VLOOKUP(A62,'Données projet'!$A$113:$I$133,6,0)*VLOOKUP('Données projet'!$B$12,Paramètres!$A$1:$I$88,7,0))</f>
        <v>0</v>
      </c>
      <c r="CJ62" s="17">
        <f>IF(ISNA(VLOOKUP(A62,'Données projet'!$A$113:$I$133,7,0)),0%,VLOOKUP(A62,'Données projet'!$A$113:$I$133,7,0))</f>
        <v>0</v>
      </c>
      <c r="CK62" s="23">
        <f>EXP(-LN(2)/35)*CK61+(1-EXP(-LN(2)/35))/(LN(2)/35)*CG62*CH62*VLOOKUP('Données projet'!$B$12,Paramètres!$A$1:$I$88,3,0)*0.475*44/12</f>
        <v>0</v>
      </c>
      <c r="CL62" s="23">
        <f>EXP(-LN(2)/25)*CL61+(1-EXP(-LN(2)/25))/(LN(2)/25)*Calculateur!CG62*Calculateur!CI62*VLOOKUP('Données projet'!$B$12,Paramètres!$A$1:$I$88,3,0)*0.475*44/12</f>
        <v>0</v>
      </c>
      <c r="CM62" s="23">
        <f>EXP(-LN(2)/2)*CM61+(1-EXP(-LN(2)/2))/(LN(2)/2)*CG62*CJ62*VLOOKUP('Données projet'!$B$12,Paramètres!$A$1:$I$88,3,0)*0.475*44/12</f>
        <v>0</v>
      </c>
      <c r="CN62" s="24">
        <f t="shared" si="12"/>
        <v>0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66.883988868503167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projet'!$B$13,Paramètres!$A$1:$I$88,3,0)*VLOOKUP('Données projet'!$B$13,Paramètres!$A$1:$I$88,5,0)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projet'!$B$13,Paramètres!$A$1:$I$88,7,0))</f>
        <v>0</v>
      </c>
      <c r="DD62" s="17">
        <f>IF(ISNA(VLOOKUP(A62,'Données projet'!$A$139:$I$159,6,0)),0%,VLOOKUP(A62,'Données projet'!$A$139:$I$159,6,0)*VLOOKUP('Données projet'!$B$13,Paramètres!$A$1:$I$88,7,0))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projet'!$B$13,Paramètres!$A$1:$I$88,3,0)*0.475*44/12</f>
        <v>#N/A</v>
      </c>
      <c r="DG62" s="23" t="e">
        <f>EXP(-LN(2)/25)*DG61+(1-EXP(-LN(2)/25))/(LN(2)/25)*Calculateur!DB62*Calculateur!DD62*VLOOKUP('Données projet'!$B$13,Paramètres!$A$1:$I$88,3,0)*0.475*44/12</f>
        <v>#N/A</v>
      </c>
      <c r="DH62" s="23" t="e">
        <f>EXP(-LN(2)/2)*DH61+(1-EXP(-LN(2)/2))/(LN(2)/2)*DB62*DE62*VLOOKUP('Données projet'!$B$13,Paramètres!$A$1:$I$88,3,0)*0.475*44/12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66.883988868503167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projet'!$B$14,Paramètres!$A$1:$I$88,3,0)*VLOOKUP('Données projet'!$B$14,Paramètres!$A$1:$I$88,5,0)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projet'!$B$14,Paramètres!$A$1:$I$88,7,0))</f>
        <v>0</v>
      </c>
      <c r="DY62" s="17">
        <f>IF(ISNA(VLOOKUP(A62,'Données projet'!$A$165:$I$185,6,0)),0%,VLOOKUP(A62,'Données projet'!$A$165:$I$185,6,0)*VLOOKUP('Données projet'!$B$14,Paramètres!$A$1:$I$88,7,0))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projet'!$B$14,Paramètres!$A$1:$I$88,3,0)*0.475*44/12</f>
        <v>#N/A</v>
      </c>
      <c r="EB62" s="23" t="e">
        <f>EXP(-LN(2)/25)*EB61+(1-EXP(-LN(2)/25))/(LN(2)/25)*Calculateur!DW62*Calculateur!DY62*VLOOKUP('Données projet'!$B$14,Paramètres!$A$1:$I$88,3,0)*0.475*44/12</f>
        <v>#N/A</v>
      </c>
      <c r="EC62" s="23" t="e">
        <f>EXP(-LN(2)/2)*EC61+(1-EXP(-LN(2)/2))/(LN(2)/2)*DW62*DZ62*VLOOKUP('Données projet'!$B$14,Paramètres!$A$1:$I$88,3,0)*0.475*44/12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66.883988868503167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projet'!$B$15,Paramètres!$A$1:$I$88,3,0)*VLOOKUP('Données projet'!$B$15,Paramètres!$A$1:$I$88,5,0)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projet'!$B$15,Paramètres!$A$1:$I$88,7,0))</f>
        <v>0</v>
      </c>
      <c r="ET62" s="17">
        <f>IF(ISNA(VLOOKUP(A62,'Données projet'!$A$191:$I$211,6,0)),0%,VLOOKUP(A62,'Données projet'!$A$191:$I$211,6,0)*VLOOKUP('Données projet'!$B$15,Paramètres!$A$1:$I$88,7,0))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projet'!$B$15,Paramètres!$A$1:$I$88,3,0)*0.475*44/12</f>
        <v>#N/A</v>
      </c>
      <c r="EW62" s="23" t="e">
        <f>EXP(-LN(2)/25)*EW61+(1-EXP(-LN(2)/25))/(LN(2)/25)*Calculateur!ER62*Calculateur!ET62*VLOOKUP('Données projet'!$B$15,Paramètres!$A$1:$I$88,3,0)*0.475*44/12</f>
        <v>#N/A</v>
      </c>
      <c r="EX62" s="23" t="e">
        <f>EXP(-LN(2)/2)*EX61+(1-EXP(-LN(2)/2))/(LN(2)/2)*ER62*EU62*VLOOKUP('Données projet'!$B$15,Paramètres!$A$1:$I$88,3,0)*0.475*44/12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66.883988868503167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projet'!$B$16,Paramètres!$A$1:$I$88,3,0)*VLOOKUP('Données projet'!$B$16,Paramètres!$A$1:$I$88,5,0)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projet'!$B$16,Paramètres!$A$1:$I$88,7,0))</f>
        <v>0</v>
      </c>
      <c r="FO62" s="17">
        <f>IF(ISNA(VLOOKUP(A62,'Données projet'!$A$217:$I$237,6,0)),0%,VLOOKUP(A62,'Données projet'!$A$217:$I$237,6,0)*VLOOKUP('Données projet'!$B$16,Paramètres!$A$1:$I$88,7,0))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projet'!$B$16,Paramètres!$A$1:$I$88,3,0)*0.475*44/12</f>
        <v>#N/A</v>
      </c>
      <c r="FR62" s="23" t="e">
        <f>EXP(-LN(2)/25)*FR61+(1-EXP(-LN(2)/25))/(LN(2)/25)*Calculateur!FM62*Calculateur!FO62*VLOOKUP('Données projet'!$B$16,Paramètres!$A$1:$I$88,3,0)*0.475*44/12</f>
        <v>#N/A</v>
      </c>
      <c r="FS62" s="23" t="e">
        <f>EXP(-LN(2)/2)*FS61+(1-EXP(-LN(2)/2))/(LN(2)/2)*FM62*FP62*VLOOKUP('Données projet'!$B$16,Paramètres!$A$1:$I$88,3,0)*0.475*44/12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66.883988868503167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projet'!$B$17,Paramètres!$A$1:$I$88,3,0)*VLOOKUP('Données projet'!$B$17,Paramètres!$A$1:$I$88,5,0)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projet'!$B$17,Paramètres!$A$1:$I$88,7,0))</f>
        <v>0</v>
      </c>
      <c r="GJ62" s="17">
        <f>IF(ISNA(VLOOKUP(A62,'Données projet'!$A$243:$I$263,6,0)),0%,VLOOKUP(A62,'Données projet'!$A$243:$I$263,6,0)*VLOOKUP('Données projet'!$B$17,Paramètres!$A$1:$I$88,7,0))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projet'!$B$17,Paramètres!$A$1:$I$88,3,0)*0.475*44/12</f>
        <v>#N/A</v>
      </c>
      <c r="GM62" s="23" t="e">
        <f>EXP(-LN(2)/25)*GM61+(1-EXP(-LN(2)/25))/(LN(2)/25)*Calculateur!GH62*Calculateur!GJ62*VLOOKUP('Données projet'!$B$17,Paramètres!$A$1:$I$88,3,0)*0.475*44/12</f>
        <v>#N/A</v>
      </c>
      <c r="GN62" s="23" t="e">
        <f>EXP(-LN(2)/2)*GN61+(1-EXP(-LN(2)/2))/(LN(2)/2)*GH62*GK62*VLOOKUP('Données projet'!$B$17,Paramètres!$A$1:$I$88,3,0)*0.475*44/12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66.883988868503167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projet'!$B$18,Paramètres!$A$1:$I$88,3,0)*VLOOKUP('Données projet'!$B$18,Paramètres!$A$1:$I$88,5,0)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projet'!$B$18,Paramètres!$A$1:$I$88,7,0))</f>
        <v>0</v>
      </c>
      <c r="HE62" s="17">
        <f>IF(ISNA(VLOOKUP(A62,'Données projet'!$A$269:$I$289,6,0)),0%,VLOOKUP(A62,'Données projet'!$A$269:$I$289,6,0)*VLOOKUP('Données projet'!$B$18,Paramètres!$A$1:$I$88,7,0))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projet'!$B$18,Paramètres!$A$1:$I$88,3,0)*0.475*44/12</f>
        <v>#N/A</v>
      </c>
      <c r="HH62" s="23" t="e">
        <f>EXP(-LN(2)/25)*HH61+(1-EXP(-LN(2)/25))/(LN(2)/25)*Calculateur!HC62*Calculateur!HE62*VLOOKUP('Données projet'!$B$18,Paramètres!$A$1:$I$88,3,0)*0.475*44/12</f>
        <v>#N/A</v>
      </c>
      <c r="HI62" s="23" t="e">
        <f>EXP(-LN(2)/2)*HI61+(1-EXP(-LN(2)/2))/(LN(2)/2)*HC62*HF62*VLOOKUP('Données projet'!$B$18,Paramètres!$A$1:$I$88,3,0)*0.475*44/12</f>
        <v>#N/A</v>
      </c>
      <c r="HJ62" s="24" t="e">
        <f t="shared" si="30"/>
        <v>#N/A</v>
      </c>
    </row>
    <row r="63" spans="1:218" s="5" customFormat="1" x14ac:dyDescent="0.35">
      <c r="A63" s="11">
        <f t="shared" si="31"/>
        <v>60</v>
      </c>
      <c r="B63" s="77">
        <f>'Scénario référence'!$B$16*5+'Scénario référence'!$B$17*0+'Scénario référence'!$B$18*5</f>
        <v>1.75</v>
      </c>
      <c r="C63" s="20">
        <f>Calculateur!C62+'Scénario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63" s="12">
        <f t="shared" si="3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6.416666666666667</v>
      </c>
      <c r="H63" s="70">
        <f t="shared" si="1"/>
        <v>231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66.938044695277398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>
        <f>VLOOKUP(A63,'Données projet'!$A$35:$I$55,2,0)</f>
        <v>517</v>
      </c>
      <c r="L63" s="13">
        <f>VLOOKUP(A63,'Données projet'!$A$35:$I$55,9,0)</f>
        <v>16.428571428571427</v>
      </c>
      <c r="M63" s="13">
        <f t="array" ref="M63">INDEX(L:L,MIN(IF(ISNUMBER(L63:L259),ROW(L63:L259),"")))</f>
        <v>16.428571428571427</v>
      </c>
      <c r="N63" s="14">
        <f>IF('Données projet'!$A$36&gt;35,N62+M63-V62,IF(A63&lt;'Données projet'!$A$36,$K$205^A63,IF(A63='Données projet'!$A$36,'Données projet'!$B$36,N62+M63-V62)))</f>
        <v>517.00000000000023</v>
      </c>
      <c r="O63" s="14">
        <f>N63*VLOOKUP('Données projet'!$B$9,Paramètres!$A$1:$I$88,3,0)*VLOOKUP('Données projet'!$B$9,Paramètres!$A$1:$I$88,5,0)</f>
        <v>289.0030000000001</v>
      </c>
      <c r="P63" s="14">
        <f t="shared" si="33"/>
        <v>68.866083084015429</v>
      </c>
      <c r="Q63" s="22">
        <f t="shared" si="53"/>
        <v>623.28865303799364</v>
      </c>
      <c r="R63" s="62">
        <f t="shared" si="0"/>
        <v>905.39481692067739</v>
      </c>
      <c r="S63" s="62">
        <f ca="1">AVERAGE(OFFSET($R$3,0,0,'Données projet'!$E$9+1,1))-AVERAGE(OFFSET($H$3,0,0,'Données projet'!$E$9+1,1))</f>
        <v>341.05096821796769</v>
      </c>
      <c r="T63" s="62">
        <f t="shared" si="34"/>
        <v>400.72519822215168</v>
      </c>
      <c r="U63" s="16">
        <f>IF(ISNA(VLOOKUP(A63,'Données projet'!$A$35:$I$55,3,0)),0,VLOOKUP(A63,'Données projet'!$A$35:$I$55,3,0))</f>
        <v>6</v>
      </c>
      <c r="V63" s="16">
        <f>IF(ISNA(VLOOKUP(A63,'Données projet'!$A$35:$I$55,4,0)),0,VLOOKUP(A63,'Données projet'!$A$35:$I$55,4,0))</f>
        <v>97</v>
      </c>
      <c r="W63" s="17">
        <f>IF(ISNA(VLOOKUP(A63,'Données projet'!$A$35:$I$55,5,0)),0%,VLOOKUP(A63,'Données projet'!$A$35:$I$55,5,0)*VLOOKUP('Données projet'!$B$9,Paramètres!$A$1:$I$88,7,0))</f>
        <v>0.38500000000000001</v>
      </c>
      <c r="X63" s="17">
        <f>IF(ISNA(VLOOKUP(A63,'Données projet'!$A$35:$I$55,6,0)),0%,VLOOKUP(A63,'Données projet'!$A$35:$I$55,6,0)*VLOOKUP('Données projet'!$B$9,Paramètres!$A$1:$I$88,7,0))</f>
        <v>0.16500000000000001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projet'!$B$9,Paramètres!$A$1:$I$88,3,0)*0.475*44/12</f>
        <v>68.763784250183591</v>
      </c>
      <c r="AA63" s="23">
        <f>EXP(-LN(2)/25)*AA62+(1-EXP(-LN(2)/25))/(LN(2)/25)*Calculateur!V63*Calculateur!X63*VLOOKUP('Données projet'!$B$9,Paramètres!$A$1:$I$88,3,0)*0.475*44/12</f>
        <v>55.427475753929933</v>
      </c>
      <c r="AB63" s="23">
        <f>EXP(-LN(2)/2)*AB62+(1-EXP(-LN(2)/2))/(LN(2)/2)*V63*Y63*VLOOKUP('Données projet'!$B$9,Paramètres!$A$1:$I$88,3,0)*0.475*44/12</f>
        <v>0</v>
      </c>
      <c r="AC63" s="24">
        <f t="shared" si="3"/>
        <v>124.19126000411353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66.938044695277398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2.1750000000000007</v>
      </c>
      <c r="AI63" s="14">
        <f>IF('Données projet'!$A$62&gt;35,AI62+AH63-AQ62,IF(A63&lt;'Données projet'!$A$62,$AF$205^A63,IF(A63='Données projet'!$A$62,'Données projet'!$B$62,AI62+AH63-AQ62)))</f>
        <v>237.35000000000005</v>
      </c>
      <c r="AJ63" s="14">
        <f>AI63*VLOOKUP('Données projet'!$B$10,Paramètres!$A$1:$I$88,3,0)*VLOOKUP('Données projet'!$B$10,Paramètres!$A$1:$I$88,5,0)</f>
        <v>141.93530000000004</v>
      </c>
      <c r="AK63" s="14">
        <f t="shared" si="35"/>
        <v>36.740000680969324</v>
      </c>
      <c r="AL63" s="22">
        <f t="shared" si="4"/>
        <v>311.19281535268834</v>
      </c>
      <c r="AM63" s="62">
        <f t="shared" si="5"/>
        <v>593.29897923537214</v>
      </c>
      <c r="AN63" s="62">
        <f ca="1">AVERAGE(OFFSET($AM$3,0,0,'Données projet'!$E$10+1,1))-AVERAGE(OFFSET($H$3,0,0,'Données projet'!$E$10+1,1))</f>
        <v>231.96474801342879</v>
      </c>
      <c r="AO63" s="62">
        <f t="shared" si="36"/>
        <v>237.75726086383668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projet'!$B$10,Paramètres!$A$1:$I$88,7,0))</f>
        <v>0</v>
      </c>
      <c r="AS63" s="17">
        <f>IF(ISNA(VLOOKUP(A63,'Données projet'!$A$61:$I$81,6,0)),0%,VLOOKUP(A63,'Données projet'!$A$61:$I$81,6,0)*VLOOKUP('Données projet'!$B$10,Paramètres!$A$1:$I$88,7,0))</f>
        <v>0</v>
      </c>
      <c r="AT63" s="17">
        <f>IF(ISNA(VLOOKUP(A63,'Données projet'!$A$61:$I$81,7,0)),0%,VLOOKUP(A63,'Données projet'!$A$61:$I$81,7,0))</f>
        <v>0</v>
      </c>
      <c r="AU63" s="23">
        <f>EXP(-LN(2)/35)*AU62+(1-EXP(-LN(2)/35))/(LN(2)/35)*AQ63*AR63*VLOOKUP('Données projet'!$B$10,Paramètres!$A$1:$I$88,3,0)*0.475*44/12</f>
        <v>12.517861765312736</v>
      </c>
      <c r="AV63" s="23">
        <f>EXP(-LN(2)/25)*AV62+(1-EXP(-LN(2)/25))/(LN(2)/25)*Calculateur!AQ63*Calculateur!AS63*VLOOKUP('Données projet'!$B$10,Paramètres!$A$1:$I$88,3,0)*0.475*44/12</f>
        <v>18.150830153402271</v>
      </c>
      <c r="AW63" s="23">
        <f>EXP(-LN(2)/2)*AW62+(1-EXP(-LN(2)/2))/(LN(2)/2)*AQ63*AT63*VLOOKUP('Données projet'!$B$10,Paramètres!$A$1:$I$88,3,0)*0.475*44/12</f>
        <v>0</v>
      </c>
      <c r="AX63" s="23">
        <f t="shared" si="6"/>
        <v>30.668691918715005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66.938044695277398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17.7</v>
      </c>
      <c r="BD63" s="13">
        <f>IF('Données projet'!$A$88&gt;35,BD62+BC63-BL62,IF(A63&lt;'Données projet'!$A$88,$BA$205^A63,IF(A63='Données projet'!$A$88,'Données projet'!$B$88,BD62+BC63-BL62)))</f>
        <v>358.8000000000003</v>
      </c>
      <c r="BE63" s="14">
        <f>BD63*VLOOKUP('Données projet'!$B$11,Paramètres!$A$1:$I$88,3,0)*VLOOKUP('Données projet'!$B$11,Paramètres!$A$1:$I$88,5,0)</f>
        <v>167.91840000000013</v>
      </c>
      <c r="BF63" s="14">
        <f t="shared" si="37"/>
        <v>42.623480667123907</v>
      </c>
      <c r="BG63" s="22">
        <f t="shared" si="7"/>
        <v>366.69377549524103</v>
      </c>
      <c r="BH63" s="62">
        <f t="shared" si="8"/>
        <v>648.79993937792483</v>
      </c>
      <c r="BI63" s="62">
        <f ca="1">AVERAGE(OFFSET($BH$3,0,0,'Données projet'!$E$11+1,1))-AVERAGE(OFFSET($H$3,0,0,'Données projet'!$E$11+1,1))</f>
        <v>364.96458059055169</v>
      </c>
      <c r="BJ63" s="62">
        <f t="shared" si="38"/>
        <v>246.27159120786257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projet'!$B$11,Paramètres!$A$1:$I$88,7,0))</f>
        <v>0</v>
      </c>
      <c r="BN63" s="17">
        <f>IF(ISNA(VLOOKUP(A63,'Données projet'!$A$87:$I$107,6,0)),0%,VLOOKUP(A63,'Données projet'!$A$87:$I$107,6,0)*VLOOKUP('Données projet'!$B$11,Paramètres!$A$1:$I$88,7,0))</f>
        <v>0</v>
      </c>
      <c r="BO63" s="17">
        <f>IF(ISNA(VLOOKUP(A63,'Données projet'!$A$87:$I$107,7,0)),0%,VLOOKUP(A63,'Données projet'!$A$87:$I$107,7,0))</f>
        <v>0</v>
      </c>
      <c r="BP63" s="23">
        <f>EXP(-LN(2)/35)*BP62+(1-EXP(-LN(2)/35))/(LN(2)/35)*BL63*BM63*VLOOKUP('Données projet'!$B$11,Paramètres!$A$1:$I$88,3,0)*0.475*44/12</f>
        <v>33.291904500590462</v>
      </c>
      <c r="BQ63" s="23">
        <f>EXP(-LN(2)/25)*BQ62+(1-EXP(-LN(2)/25))/(LN(2)/25)*Calculateur!BL63*Calculateur!BN63*VLOOKUP('Données projet'!$B$11,Paramètres!$A$1:$I$88,3,0)*0.475*44/12</f>
        <v>20.076066618157697</v>
      </c>
      <c r="BR63" s="23">
        <f>EXP(-LN(2)/2)*BR62+(1-EXP(-LN(2)/2))/(LN(2)/2)*BL63*BO63*VLOOKUP('Données projet'!$B$11,Paramètres!$A$1:$I$88,3,0)*0.475*44/12</f>
        <v>0</v>
      </c>
      <c r="BS63" s="24">
        <f t="shared" si="9"/>
        <v>53.367971118748159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66.938044695277398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>
        <f>VLOOKUP(A63,'Données projet'!$A$113:$I$133,2,0)</f>
        <v>250.00000204724259</v>
      </c>
      <c r="BW63" s="13">
        <f>VLOOKUP(A63,'Données projet'!$A$113:$I$133,9,0)</f>
        <v>4.1666667007873768</v>
      </c>
      <c r="BX63" s="13">
        <f t="array" ref="BX63">INDEX(BW:BW,MIN(IF(ISNUMBER(BW63:BW259),ROW(BW63:BW259),"")))</f>
        <v>4.1666667007873768</v>
      </c>
      <c r="BY63" s="13">
        <f>IF('Données projet'!$A$114&gt;35,BY62+BX63-CG62,IF(A63&lt;'Données projet'!$A$114,$BV$205^A63,IF(A63='Données projet'!$A$114,'Données projet'!$B$114,BY62+BX63-CG62)))</f>
        <v>250.00000204724248</v>
      </c>
      <c r="BZ63" s="14">
        <f>BY63*VLOOKUP('Données projet'!$B$12,Paramètres!$A$1:$I$88,3,0)*VLOOKUP('Données projet'!$B$12,Paramètres!$A$1:$I$88,5,0)</f>
        <v>253.50000207590389</v>
      </c>
      <c r="CA63" s="14">
        <f t="shared" si="39"/>
        <v>61.334806106967335</v>
      </c>
      <c r="CB63" s="22">
        <f t="shared" si="10"/>
        <v>548.3372909185008</v>
      </c>
      <c r="CC63" s="62">
        <f t="shared" si="11"/>
        <v>830.44345480118454</v>
      </c>
      <c r="CD63" s="62">
        <f ca="1">AVERAGE(OFFSET($CC$3,0,0,'Données projet'!$E$12+1,1))-AVERAGE(OFFSET($H$3,0,0,'Données projet'!$E$12+1,1))</f>
        <v>310.53598044763282</v>
      </c>
      <c r="CE63" s="62">
        <f t="shared" si="40"/>
        <v>322.01096634040596</v>
      </c>
      <c r="CF63" s="16">
        <f>IF(ISNA(VLOOKUP(A63,'Données projet'!$A$113:$I$133,3,0)),0,VLOOKUP(A63,'Données projet'!$A$113:$I$133,3,0))</f>
        <v>1</v>
      </c>
      <c r="CG63" s="16">
        <f>IF(ISNA(VLOOKUP(A63,'Données projet'!$A$113:$I$133,4,0)),0,VLOOKUP(A63,'Données projet'!$A$113:$I$133,4,0))</f>
        <v>250.00000204724259</v>
      </c>
      <c r="CH63" s="17">
        <f>IF(ISNA(VLOOKUP(A63,'Données projet'!$A$113:$I$133,5,0)),0%,VLOOKUP(A63,'Données projet'!$A$113:$I$133,5,0)*VLOOKUP('Données projet'!$B$12,Paramètres!$A$1:$I$88,7,0))</f>
        <v>0.25800000000000001</v>
      </c>
      <c r="CI63" s="17">
        <f>IF(ISNA(VLOOKUP(A63,'Données projet'!$A$113:$I$133,6,0)),0%,VLOOKUP(A63,'Données projet'!$A$113:$I$133,6,0)*VLOOKUP('Données projet'!$B$12,Paramètres!$A$1:$I$88,7,0))</f>
        <v>0</v>
      </c>
      <c r="CJ63" s="17">
        <f>IF(ISNA(VLOOKUP(A63,'Données projet'!$A$113:$I$133,7,0)),0%,VLOOKUP(A63,'Données projet'!$A$113:$I$133,7,0))</f>
        <v>0</v>
      </c>
      <c r="CK63" s="23">
        <f>EXP(-LN(2)/35)*CK62+(1-EXP(-LN(2)/35))/(LN(2)/35)*CG63*CH63*VLOOKUP('Données projet'!$B$12,Paramètres!$A$1:$I$88,3,0)*0.475*44/12</f>
        <v>72.301079824664939</v>
      </c>
      <c r="CL63" s="23">
        <f>EXP(-LN(2)/25)*CL62+(1-EXP(-LN(2)/25))/(LN(2)/25)*Calculateur!CG63*Calculateur!CI63*VLOOKUP('Données projet'!$B$12,Paramètres!$A$1:$I$88,3,0)*0.475*44/12</f>
        <v>0</v>
      </c>
      <c r="CM63" s="23">
        <f>EXP(-LN(2)/2)*CM62+(1-EXP(-LN(2)/2))/(LN(2)/2)*CG63*CJ63*VLOOKUP('Données projet'!$B$12,Paramètres!$A$1:$I$88,3,0)*0.475*44/12</f>
        <v>0</v>
      </c>
      <c r="CN63" s="24">
        <f t="shared" si="12"/>
        <v>72.301079824664939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66.938044695277398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projet'!$B$13,Paramètres!$A$1:$I$88,3,0)*VLOOKUP('Données projet'!$B$13,Paramètres!$A$1:$I$88,5,0)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projet'!$B$13,Paramètres!$A$1:$I$88,7,0))</f>
        <v>0</v>
      </c>
      <c r="DD63" s="17">
        <f>IF(ISNA(VLOOKUP(A63,'Données projet'!$A$139:$I$159,6,0)),0%,VLOOKUP(A63,'Données projet'!$A$139:$I$159,6,0)*VLOOKUP('Données projet'!$B$13,Paramètres!$A$1:$I$88,7,0))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projet'!$B$13,Paramètres!$A$1:$I$88,3,0)*0.475*44/12</f>
        <v>#N/A</v>
      </c>
      <c r="DG63" s="23" t="e">
        <f>EXP(-LN(2)/25)*DG62+(1-EXP(-LN(2)/25))/(LN(2)/25)*Calculateur!DB63*Calculateur!DD63*VLOOKUP('Données projet'!$B$13,Paramètres!$A$1:$I$88,3,0)*0.475*44/12</f>
        <v>#N/A</v>
      </c>
      <c r="DH63" s="23" t="e">
        <f>EXP(-LN(2)/2)*DH62+(1-EXP(-LN(2)/2))/(LN(2)/2)*DB63*DE63*VLOOKUP('Données projet'!$B$13,Paramètres!$A$1:$I$88,3,0)*0.475*44/12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66.938044695277398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projet'!$B$14,Paramètres!$A$1:$I$88,3,0)*VLOOKUP('Données projet'!$B$14,Paramètres!$A$1:$I$88,5,0)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projet'!$B$14,Paramètres!$A$1:$I$88,7,0))</f>
        <v>0</v>
      </c>
      <c r="DY63" s="17">
        <f>IF(ISNA(VLOOKUP(A63,'Données projet'!$A$165:$I$185,6,0)),0%,VLOOKUP(A63,'Données projet'!$A$165:$I$185,6,0)*VLOOKUP('Données projet'!$B$14,Paramètres!$A$1:$I$88,7,0))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projet'!$B$14,Paramètres!$A$1:$I$88,3,0)*0.475*44/12</f>
        <v>#N/A</v>
      </c>
      <c r="EB63" s="23" t="e">
        <f>EXP(-LN(2)/25)*EB62+(1-EXP(-LN(2)/25))/(LN(2)/25)*Calculateur!DW63*Calculateur!DY63*VLOOKUP('Données projet'!$B$14,Paramètres!$A$1:$I$88,3,0)*0.475*44/12</f>
        <v>#N/A</v>
      </c>
      <c r="EC63" s="23" t="e">
        <f>EXP(-LN(2)/2)*EC62+(1-EXP(-LN(2)/2))/(LN(2)/2)*DW63*DZ63*VLOOKUP('Données projet'!$B$14,Paramètres!$A$1:$I$88,3,0)*0.475*44/12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66.938044695277398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projet'!$B$15,Paramètres!$A$1:$I$88,3,0)*VLOOKUP('Données projet'!$B$15,Paramètres!$A$1:$I$88,5,0)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projet'!$B$15,Paramètres!$A$1:$I$88,7,0))</f>
        <v>0</v>
      </c>
      <c r="ET63" s="17">
        <f>IF(ISNA(VLOOKUP(A63,'Données projet'!$A$191:$I$211,6,0)),0%,VLOOKUP(A63,'Données projet'!$A$191:$I$211,6,0)*VLOOKUP('Données projet'!$B$15,Paramètres!$A$1:$I$88,7,0))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projet'!$B$15,Paramètres!$A$1:$I$88,3,0)*0.475*44/12</f>
        <v>#N/A</v>
      </c>
      <c r="EW63" s="23" t="e">
        <f>EXP(-LN(2)/25)*EW62+(1-EXP(-LN(2)/25))/(LN(2)/25)*Calculateur!ER63*Calculateur!ET63*VLOOKUP('Données projet'!$B$15,Paramètres!$A$1:$I$88,3,0)*0.475*44/12</f>
        <v>#N/A</v>
      </c>
      <c r="EX63" s="23" t="e">
        <f>EXP(-LN(2)/2)*EX62+(1-EXP(-LN(2)/2))/(LN(2)/2)*ER63*EU63*VLOOKUP('Données projet'!$B$15,Paramètres!$A$1:$I$88,3,0)*0.475*44/12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66.938044695277398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projet'!$B$16,Paramètres!$A$1:$I$88,3,0)*VLOOKUP('Données projet'!$B$16,Paramètres!$A$1:$I$88,5,0)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projet'!$B$16,Paramètres!$A$1:$I$88,7,0))</f>
        <v>0</v>
      </c>
      <c r="FO63" s="17">
        <f>IF(ISNA(VLOOKUP(A63,'Données projet'!$A$217:$I$237,6,0)),0%,VLOOKUP(A63,'Données projet'!$A$217:$I$237,6,0)*VLOOKUP('Données projet'!$B$16,Paramètres!$A$1:$I$88,7,0))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projet'!$B$16,Paramètres!$A$1:$I$88,3,0)*0.475*44/12</f>
        <v>#N/A</v>
      </c>
      <c r="FR63" s="23" t="e">
        <f>EXP(-LN(2)/25)*FR62+(1-EXP(-LN(2)/25))/(LN(2)/25)*Calculateur!FM63*Calculateur!FO63*VLOOKUP('Données projet'!$B$16,Paramètres!$A$1:$I$88,3,0)*0.475*44/12</f>
        <v>#N/A</v>
      </c>
      <c r="FS63" s="23" t="e">
        <f>EXP(-LN(2)/2)*FS62+(1-EXP(-LN(2)/2))/(LN(2)/2)*FM63*FP63*VLOOKUP('Données projet'!$B$16,Paramètres!$A$1:$I$88,3,0)*0.475*44/12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66.938044695277398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projet'!$B$17,Paramètres!$A$1:$I$88,3,0)*VLOOKUP('Données projet'!$B$17,Paramètres!$A$1:$I$88,5,0)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projet'!$B$17,Paramètres!$A$1:$I$88,7,0))</f>
        <v>0</v>
      </c>
      <c r="GJ63" s="17">
        <f>IF(ISNA(VLOOKUP(A63,'Données projet'!$A$243:$I$263,6,0)),0%,VLOOKUP(A63,'Données projet'!$A$243:$I$263,6,0)*VLOOKUP('Données projet'!$B$17,Paramètres!$A$1:$I$88,7,0))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projet'!$B$17,Paramètres!$A$1:$I$88,3,0)*0.475*44/12</f>
        <v>#N/A</v>
      </c>
      <c r="GM63" s="23" t="e">
        <f>EXP(-LN(2)/25)*GM62+(1-EXP(-LN(2)/25))/(LN(2)/25)*Calculateur!GH63*Calculateur!GJ63*VLOOKUP('Données projet'!$B$17,Paramètres!$A$1:$I$88,3,0)*0.475*44/12</f>
        <v>#N/A</v>
      </c>
      <c r="GN63" s="23" t="e">
        <f>EXP(-LN(2)/2)*GN62+(1-EXP(-LN(2)/2))/(LN(2)/2)*GH63*GK63*VLOOKUP('Données projet'!$B$17,Paramètres!$A$1:$I$88,3,0)*0.475*44/12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66.938044695277398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projet'!$B$18,Paramètres!$A$1:$I$88,3,0)*VLOOKUP('Données projet'!$B$18,Paramètres!$A$1:$I$88,5,0)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projet'!$B$18,Paramètres!$A$1:$I$88,7,0))</f>
        <v>0</v>
      </c>
      <c r="HE63" s="17">
        <f>IF(ISNA(VLOOKUP(A63,'Données projet'!$A$269:$I$289,6,0)),0%,VLOOKUP(A63,'Données projet'!$A$269:$I$289,6,0)*VLOOKUP('Données projet'!$B$18,Paramètres!$A$1:$I$88,7,0))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projet'!$B$18,Paramètres!$A$1:$I$88,3,0)*0.475*44/12</f>
        <v>#N/A</v>
      </c>
      <c r="HH63" s="23" t="e">
        <f>EXP(-LN(2)/25)*HH62+(1-EXP(-LN(2)/25))/(LN(2)/25)*Calculateur!HC63*Calculateur!HE63*VLOOKUP('Données projet'!$B$18,Paramètres!$A$1:$I$88,3,0)*0.475*44/12</f>
        <v>#N/A</v>
      </c>
      <c r="HI63" s="23" t="e">
        <f>EXP(-LN(2)/2)*HI62+(1-EXP(-LN(2)/2))/(LN(2)/2)*HC63*HF63*VLOOKUP('Données projet'!$B$18,Paramètres!$A$1:$I$88,3,0)*0.475*44/12</f>
        <v>#N/A</v>
      </c>
      <c r="HJ63" s="24" t="e">
        <f t="shared" si="30"/>
        <v>#N/A</v>
      </c>
    </row>
    <row r="64" spans="1:218" s="5" customFormat="1" x14ac:dyDescent="0.35">
      <c r="A64" s="11">
        <f t="shared" si="31"/>
        <v>61</v>
      </c>
      <c r="B64" s="77">
        <f>'Scénario référence'!$B$16*5+'Scénario référence'!$B$17*0+'Scénario référence'!$B$18*5</f>
        <v>1.75</v>
      </c>
      <c r="C64" s="20">
        <f>Calculateur!C63+'Scénario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64" s="12">
        <f t="shared" si="3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6.416666666666667</v>
      </c>
      <c r="H64" s="70">
        <f t="shared" si="1"/>
        <v>231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66.991162774307796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14.428571428571429</v>
      </c>
      <c r="N64" s="14">
        <f>IF('Données projet'!$A$36&gt;35,N63+M64-V63,IF(A64&lt;'Données projet'!$A$36,$K$205^A64,IF(A64='Données projet'!$A$36,'Données projet'!$B$36,N63+M64-V63)))</f>
        <v>434.42857142857167</v>
      </c>
      <c r="O64" s="14">
        <f>N64*VLOOKUP('Données projet'!$B$9,Paramètres!$A$1:$I$88,3,0)*VLOOKUP('Données projet'!$B$9,Paramètres!$A$1:$I$88,5,0)</f>
        <v>242.84557142857156</v>
      </c>
      <c r="P64" s="14">
        <f t="shared" si="33"/>
        <v>59.051348413541952</v>
      </c>
      <c r="Q64" s="22">
        <f t="shared" si="53"/>
        <v>525.80380205834774</v>
      </c>
      <c r="R64" s="62">
        <f t="shared" si="0"/>
        <v>808.10473223080965</v>
      </c>
      <c r="S64" s="62">
        <f ca="1">AVERAGE(OFFSET($R$3,0,0,'Données projet'!$E$9+1,1))-AVERAGE(OFFSET($H$3,0,0,'Données projet'!$E$9+1,1))</f>
        <v>341.05096821796769</v>
      </c>
      <c r="T64" s="62">
        <f t="shared" si="34"/>
        <v>400.72519822215168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projet'!$B$9,Paramètres!$A$1:$I$88,7,0))</f>
        <v>0</v>
      </c>
      <c r="X64" s="17">
        <f>IF(ISNA(VLOOKUP(A64,'Données projet'!$A$35:$I$55,6,0)),0%,VLOOKUP(A64,'Données projet'!$A$35:$I$55,6,0)*VLOOKUP('Données projet'!$B$9,Paramètres!$A$1:$I$88,7,0))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projet'!$B$9,Paramètres!$A$1:$I$88,3,0)*0.475*44/12</f>
        <v>67.415368382804473</v>
      </c>
      <c r="AA64" s="23">
        <f>EXP(-LN(2)/25)*AA63+(1-EXP(-LN(2)/25))/(LN(2)/25)*Calculateur!V64*Calculateur!X64*VLOOKUP('Données projet'!$B$9,Paramètres!$A$1:$I$88,3,0)*0.475*44/12</f>
        <v>53.911808514634451</v>
      </c>
      <c r="AB64" s="23">
        <f>EXP(-LN(2)/2)*AB63+(1-EXP(-LN(2)/2))/(LN(2)/2)*V64*Y64*VLOOKUP('Données projet'!$B$9,Paramètres!$A$1:$I$88,3,0)*0.475*44/12</f>
        <v>0</v>
      </c>
      <c r="AC64" s="24">
        <f t="shared" si="3"/>
        <v>121.32717689743893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66.991162774307796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2.1750000000000007</v>
      </c>
      <c r="AI64" s="14">
        <f>IF('Données projet'!$A$62&gt;35,AI63+AH64-AQ63,IF(A64&lt;'Données projet'!$A$62,$AF$205^A64,IF(A64='Données projet'!$A$62,'Données projet'!$B$62,AI63+AH64-AQ63)))</f>
        <v>239.52500000000006</v>
      </c>
      <c r="AJ64" s="14">
        <f>AI64*VLOOKUP('Données projet'!$B$10,Paramètres!$A$1:$I$88,3,0)*VLOOKUP('Données projet'!$B$10,Paramètres!$A$1:$I$88,5,0)</f>
        <v>143.23595000000003</v>
      </c>
      <c r="AK64" s="14">
        <f t="shared" si="35"/>
        <v>37.037327439686365</v>
      </c>
      <c r="AL64" s="22">
        <f t="shared" si="4"/>
        <v>313.9759582074538</v>
      </c>
      <c r="AM64" s="62">
        <f t="shared" si="5"/>
        <v>596.2768883799157</v>
      </c>
      <c r="AN64" s="62">
        <f ca="1">AVERAGE(OFFSET($AM$3,0,0,'Données projet'!$E$10+1,1))-AVERAGE(OFFSET($H$3,0,0,'Données projet'!$E$10+1,1))</f>
        <v>231.96474801342879</v>
      </c>
      <c r="AO64" s="62">
        <f t="shared" si="36"/>
        <v>237.75726086383668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projet'!$B$10,Paramètres!$A$1:$I$88,7,0))</f>
        <v>0</v>
      </c>
      <c r="AS64" s="17">
        <f>IF(ISNA(VLOOKUP(A64,'Données projet'!$A$61:$I$81,6,0)),0%,VLOOKUP(A64,'Données projet'!$A$61:$I$81,6,0)*VLOOKUP('Données projet'!$B$10,Paramètres!$A$1:$I$88,7,0))</f>
        <v>0</v>
      </c>
      <c r="AT64" s="17">
        <f>IF(ISNA(VLOOKUP(A64,'Données projet'!$A$61:$I$81,7,0)),0%,VLOOKUP(A64,'Données projet'!$A$61:$I$81,7,0))</f>
        <v>0</v>
      </c>
      <c r="AU64" s="23">
        <f>EXP(-LN(2)/35)*AU63+(1-EXP(-LN(2)/35))/(LN(2)/35)*AQ64*AR64*VLOOKUP('Données projet'!$B$10,Paramètres!$A$1:$I$88,3,0)*0.475*44/12</f>
        <v>12.272394131236723</v>
      </c>
      <c r="AV64" s="23">
        <f>EXP(-LN(2)/25)*AV63+(1-EXP(-LN(2)/25))/(LN(2)/25)*Calculateur!AQ64*Calculateur!AS64*VLOOKUP('Données projet'!$B$10,Paramètres!$A$1:$I$88,3,0)*0.475*44/12</f>
        <v>17.654494748346814</v>
      </c>
      <c r="AW64" s="23">
        <f>EXP(-LN(2)/2)*AW63+(1-EXP(-LN(2)/2))/(LN(2)/2)*AQ64*AT64*VLOOKUP('Données projet'!$B$10,Paramètres!$A$1:$I$88,3,0)*0.475*44/12</f>
        <v>0</v>
      </c>
      <c r="AX64" s="23">
        <f t="shared" si="6"/>
        <v>29.926888879583537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66.991162774307796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17.7</v>
      </c>
      <c r="BD64" s="13">
        <f>IF('Données projet'!$A$88&gt;35,BD63+BC64-BL63,IF(A64&lt;'Données projet'!$A$88,$BA$205^A64,IF(A64='Données projet'!$A$88,'Données projet'!$B$88,BD63+BC64-BL63)))</f>
        <v>376.50000000000028</v>
      </c>
      <c r="BE64" s="14">
        <f>BD64*VLOOKUP('Données projet'!$B$11,Paramètres!$A$1:$I$88,3,0)*VLOOKUP('Données projet'!$B$11,Paramètres!$A$1:$I$88,5,0)</f>
        <v>176.20200000000014</v>
      </c>
      <c r="BF64" s="14">
        <f t="shared" si="37"/>
        <v>44.47615524216701</v>
      </c>
      <c r="BG64" s="22">
        <f t="shared" si="7"/>
        <v>384.3477870467745</v>
      </c>
      <c r="BH64" s="62">
        <f t="shared" si="8"/>
        <v>666.64871721923646</v>
      </c>
      <c r="BI64" s="62">
        <f ca="1">AVERAGE(OFFSET($BH$3,0,0,'Données projet'!$E$11+1,1))-AVERAGE(OFFSET($H$3,0,0,'Données projet'!$E$11+1,1))</f>
        <v>364.96458059055169</v>
      </c>
      <c r="BJ64" s="62">
        <f t="shared" si="38"/>
        <v>246.27159120786257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projet'!$B$11,Paramètres!$A$1:$I$88,7,0))</f>
        <v>0</v>
      </c>
      <c r="BN64" s="17">
        <f>IF(ISNA(VLOOKUP(A64,'Données projet'!$A$87:$I$107,6,0)),0%,VLOOKUP(A64,'Données projet'!$A$87:$I$107,6,0)*VLOOKUP('Données projet'!$B$11,Paramètres!$A$1:$I$88,7,0))</f>
        <v>0</v>
      </c>
      <c r="BO64" s="17">
        <f>IF(ISNA(VLOOKUP(A64,'Données projet'!$A$87:$I$107,7,0)),0%,VLOOKUP(A64,'Données projet'!$A$87:$I$107,7,0))</f>
        <v>0</v>
      </c>
      <c r="BP64" s="23">
        <f>EXP(-LN(2)/35)*BP63+(1-EXP(-LN(2)/35))/(LN(2)/35)*BL64*BM64*VLOOKUP('Données projet'!$B$11,Paramètres!$A$1:$I$88,3,0)*0.475*44/12</f>
        <v>32.639070559390575</v>
      </c>
      <c r="BQ64" s="23">
        <f>EXP(-LN(2)/25)*BQ63+(1-EXP(-LN(2)/25))/(LN(2)/25)*Calculateur!BL64*Calculateur!BN64*VLOOKUP('Données projet'!$B$11,Paramètres!$A$1:$I$88,3,0)*0.475*44/12</f>
        <v>19.527085520729717</v>
      </c>
      <c r="BR64" s="23">
        <f>EXP(-LN(2)/2)*BR63+(1-EXP(-LN(2)/2))/(LN(2)/2)*BL64*BO64*VLOOKUP('Données projet'!$B$11,Paramètres!$A$1:$I$88,3,0)*0.475*44/12</f>
        <v>0</v>
      </c>
      <c r="BS64" s="24">
        <f t="shared" si="9"/>
        <v>52.166156080120288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66.991162774307796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-1.1368683772161603E-13</v>
      </c>
      <c r="BZ64" s="14">
        <f>BY64*VLOOKUP('Données projet'!$B$12,Paramètres!$A$1:$I$88,3,0)*VLOOKUP('Données projet'!$B$12,Paramètres!$A$1:$I$88,5,0)</f>
        <v>-1.1527845344971866E-13</v>
      </c>
      <c r="CA64" s="14" t="e">
        <f t="shared" si="39"/>
        <v>#NUM!</v>
      </c>
      <c r="CB64" s="22" t="e">
        <f t="shared" si="10"/>
        <v>#NUM!</v>
      </c>
      <c r="CC64" s="62" t="e">
        <f t="shared" si="11"/>
        <v>#NUM!</v>
      </c>
      <c r="CD64" s="62">
        <f ca="1">AVERAGE(OFFSET($CC$3,0,0,'Données projet'!$E$12+1,1))-AVERAGE(OFFSET($H$3,0,0,'Données projet'!$E$12+1,1))</f>
        <v>310.53598044763282</v>
      </c>
      <c r="CE64" s="62">
        <f t="shared" si="40"/>
        <v>322.01096634040596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projet'!$B$12,Paramètres!$A$1:$I$88,7,0))</f>
        <v>0</v>
      </c>
      <c r="CI64" s="17">
        <f>IF(ISNA(VLOOKUP(A64,'Données projet'!$A$113:$I$133,6,0)),0%,VLOOKUP(A64,'Données projet'!$A$113:$I$133,6,0)*VLOOKUP('Données projet'!$B$12,Paramètres!$A$1:$I$88,7,0))</f>
        <v>0</v>
      </c>
      <c r="CJ64" s="17">
        <f>IF(ISNA(VLOOKUP(A64,'Données projet'!$A$113:$I$133,7,0)),0%,VLOOKUP(A64,'Données projet'!$A$113:$I$133,7,0))</f>
        <v>0</v>
      </c>
      <c r="CK64" s="23">
        <f>EXP(-LN(2)/35)*CK63+(1-EXP(-LN(2)/35))/(LN(2)/35)*CG64*CH64*VLOOKUP('Données projet'!$B$12,Paramètres!$A$1:$I$88,3,0)*0.475*44/12</f>
        <v>70.883299748607513</v>
      </c>
      <c r="CL64" s="23">
        <f>EXP(-LN(2)/25)*CL63+(1-EXP(-LN(2)/25))/(LN(2)/25)*Calculateur!CG64*Calculateur!CI64*VLOOKUP('Données projet'!$B$12,Paramètres!$A$1:$I$88,3,0)*0.475*44/12</f>
        <v>0</v>
      </c>
      <c r="CM64" s="23">
        <f>EXP(-LN(2)/2)*CM63+(1-EXP(-LN(2)/2))/(LN(2)/2)*CG64*CJ64*VLOOKUP('Données projet'!$B$12,Paramètres!$A$1:$I$88,3,0)*0.475*44/12</f>
        <v>0</v>
      </c>
      <c r="CN64" s="24">
        <f t="shared" si="12"/>
        <v>70.883299748607513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66.991162774307796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projet'!$B$13,Paramètres!$A$1:$I$88,3,0)*VLOOKUP('Données projet'!$B$13,Paramètres!$A$1:$I$88,5,0)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projet'!$B$13,Paramètres!$A$1:$I$88,7,0))</f>
        <v>0</v>
      </c>
      <c r="DD64" s="17">
        <f>IF(ISNA(VLOOKUP(A64,'Données projet'!$A$139:$I$159,6,0)),0%,VLOOKUP(A64,'Données projet'!$A$139:$I$159,6,0)*VLOOKUP('Données projet'!$B$13,Paramètres!$A$1:$I$88,7,0))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projet'!$B$13,Paramètres!$A$1:$I$88,3,0)*0.475*44/12</f>
        <v>#N/A</v>
      </c>
      <c r="DG64" s="23" t="e">
        <f>EXP(-LN(2)/25)*DG63+(1-EXP(-LN(2)/25))/(LN(2)/25)*Calculateur!DB64*Calculateur!DD64*VLOOKUP('Données projet'!$B$13,Paramètres!$A$1:$I$88,3,0)*0.475*44/12</f>
        <v>#N/A</v>
      </c>
      <c r="DH64" s="23" t="e">
        <f>EXP(-LN(2)/2)*DH63+(1-EXP(-LN(2)/2))/(LN(2)/2)*DB64*DE64*VLOOKUP('Données projet'!$B$13,Paramètres!$A$1:$I$88,3,0)*0.475*44/12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66.991162774307796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projet'!$B$14,Paramètres!$A$1:$I$88,3,0)*VLOOKUP('Données projet'!$B$14,Paramètres!$A$1:$I$88,5,0)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projet'!$B$14,Paramètres!$A$1:$I$88,7,0))</f>
        <v>0</v>
      </c>
      <c r="DY64" s="17">
        <f>IF(ISNA(VLOOKUP(A64,'Données projet'!$A$165:$I$185,6,0)),0%,VLOOKUP(A64,'Données projet'!$A$165:$I$185,6,0)*VLOOKUP('Données projet'!$B$14,Paramètres!$A$1:$I$88,7,0))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projet'!$B$14,Paramètres!$A$1:$I$88,3,0)*0.475*44/12</f>
        <v>#N/A</v>
      </c>
      <c r="EB64" s="23" t="e">
        <f>EXP(-LN(2)/25)*EB63+(1-EXP(-LN(2)/25))/(LN(2)/25)*Calculateur!DW64*Calculateur!DY64*VLOOKUP('Données projet'!$B$14,Paramètres!$A$1:$I$88,3,0)*0.475*44/12</f>
        <v>#N/A</v>
      </c>
      <c r="EC64" s="23" t="e">
        <f>EXP(-LN(2)/2)*EC63+(1-EXP(-LN(2)/2))/(LN(2)/2)*DW64*DZ64*VLOOKUP('Données projet'!$B$14,Paramètres!$A$1:$I$88,3,0)*0.475*44/12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66.991162774307796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projet'!$B$15,Paramètres!$A$1:$I$88,3,0)*VLOOKUP('Données projet'!$B$15,Paramètres!$A$1:$I$88,5,0)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projet'!$B$15,Paramètres!$A$1:$I$88,7,0))</f>
        <v>0</v>
      </c>
      <c r="ET64" s="17">
        <f>IF(ISNA(VLOOKUP(A64,'Données projet'!$A$191:$I$211,6,0)),0%,VLOOKUP(A64,'Données projet'!$A$191:$I$211,6,0)*VLOOKUP('Données projet'!$B$15,Paramètres!$A$1:$I$88,7,0))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projet'!$B$15,Paramètres!$A$1:$I$88,3,0)*0.475*44/12</f>
        <v>#N/A</v>
      </c>
      <c r="EW64" s="23" t="e">
        <f>EXP(-LN(2)/25)*EW63+(1-EXP(-LN(2)/25))/(LN(2)/25)*Calculateur!ER64*Calculateur!ET64*VLOOKUP('Données projet'!$B$15,Paramètres!$A$1:$I$88,3,0)*0.475*44/12</f>
        <v>#N/A</v>
      </c>
      <c r="EX64" s="23" t="e">
        <f>EXP(-LN(2)/2)*EX63+(1-EXP(-LN(2)/2))/(LN(2)/2)*ER64*EU64*VLOOKUP('Données projet'!$B$15,Paramètres!$A$1:$I$88,3,0)*0.475*44/12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66.991162774307796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projet'!$B$16,Paramètres!$A$1:$I$88,3,0)*VLOOKUP('Données projet'!$B$16,Paramètres!$A$1:$I$88,5,0)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projet'!$B$16,Paramètres!$A$1:$I$88,7,0))</f>
        <v>0</v>
      </c>
      <c r="FO64" s="17">
        <f>IF(ISNA(VLOOKUP(A64,'Données projet'!$A$217:$I$237,6,0)),0%,VLOOKUP(A64,'Données projet'!$A$217:$I$237,6,0)*VLOOKUP('Données projet'!$B$16,Paramètres!$A$1:$I$88,7,0))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projet'!$B$16,Paramètres!$A$1:$I$88,3,0)*0.475*44/12</f>
        <v>#N/A</v>
      </c>
      <c r="FR64" s="23" t="e">
        <f>EXP(-LN(2)/25)*FR63+(1-EXP(-LN(2)/25))/(LN(2)/25)*Calculateur!FM64*Calculateur!FO64*VLOOKUP('Données projet'!$B$16,Paramètres!$A$1:$I$88,3,0)*0.475*44/12</f>
        <v>#N/A</v>
      </c>
      <c r="FS64" s="23" t="e">
        <f>EXP(-LN(2)/2)*FS63+(1-EXP(-LN(2)/2))/(LN(2)/2)*FM64*FP64*VLOOKUP('Données projet'!$B$16,Paramètres!$A$1:$I$88,3,0)*0.475*44/12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66.991162774307796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projet'!$B$17,Paramètres!$A$1:$I$88,3,0)*VLOOKUP('Données projet'!$B$17,Paramètres!$A$1:$I$88,5,0)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projet'!$B$17,Paramètres!$A$1:$I$88,7,0))</f>
        <v>0</v>
      </c>
      <c r="GJ64" s="17">
        <f>IF(ISNA(VLOOKUP(A64,'Données projet'!$A$243:$I$263,6,0)),0%,VLOOKUP(A64,'Données projet'!$A$243:$I$263,6,0)*VLOOKUP('Données projet'!$B$17,Paramètres!$A$1:$I$88,7,0))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projet'!$B$17,Paramètres!$A$1:$I$88,3,0)*0.475*44/12</f>
        <v>#N/A</v>
      </c>
      <c r="GM64" s="23" t="e">
        <f>EXP(-LN(2)/25)*GM63+(1-EXP(-LN(2)/25))/(LN(2)/25)*Calculateur!GH64*Calculateur!GJ64*VLOOKUP('Données projet'!$B$17,Paramètres!$A$1:$I$88,3,0)*0.475*44/12</f>
        <v>#N/A</v>
      </c>
      <c r="GN64" s="23" t="e">
        <f>EXP(-LN(2)/2)*GN63+(1-EXP(-LN(2)/2))/(LN(2)/2)*GH64*GK64*VLOOKUP('Données projet'!$B$17,Paramètres!$A$1:$I$88,3,0)*0.475*44/12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66.991162774307796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projet'!$B$18,Paramètres!$A$1:$I$88,3,0)*VLOOKUP('Données projet'!$B$18,Paramètres!$A$1:$I$88,5,0)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projet'!$B$18,Paramètres!$A$1:$I$88,7,0))</f>
        <v>0</v>
      </c>
      <c r="HE64" s="17">
        <f>IF(ISNA(VLOOKUP(A64,'Données projet'!$A$269:$I$289,6,0)),0%,VLOOKUP(A64,'Données projet'!$A$269:$I$289,6,0)*VLOOKUP('Données projet'!$B$18,Paramètres!$A$1:$I$88,7,0))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projet'!$B$18,Paramètres!$A$1:$I$88,3,0)*0.475*44/12</f>
        <v>#N/A</v>
      </c>
      <c r="HH64" s="23" t="e">
        <f>EXP(-LN(2)/25)*HH63+(1-EXP(-LN(2)/25))/(LN(2)/25)*Calculateur!HC64*Calculateur!HE64*VLOOKUP('Données projet'!$B$18,Paramètres!$A$1:$I$88,3,0)*0.475*44/12</f>
        <v>#N/A</v>
      </c>
      <c r="HI64" s="23" t="e">
        <f>EXP(-LN(2)/2)*HI63+(1-EXP(-LN(2)/2))/(LN(2)/2)*HC64*HF64*VLOOKUP('Données projet'!$B$18,Paramètres!$A$1:$I$88,3,0)*0.475*44/12</f>
        <v>#N/A</v>
      </c>
      <c r="HJ64" s="24" t="e">
        <f t="shared" si="30"/>
        <v>#N/A</v>
      </c>
    </row>
    <row r="65" spans="1:218" s="5" customFormat="1" x14ac:dyDescent="0.35">
      <c r="A65" s="11">
        <f t="shared" si="31"/>
        <v>62</v>
      </c>
      <c r="B65" s="77">
        <f>'Scénario référence'!$B$16*5+'Scénario référence'!$B$17*0+'Scénario référence'!$B$18*5</f>
        <v>1.75</v>
      </c>
      <c r="C65" s="20">
        <f>Calculateur!C64+'Scénario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65" s="12">
        <f t="shared" si="3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6.416666666666667</v>
      </c>
      <c r="H65" s="70">
        <f t="shared" si="1"/>
        <v>231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67.043359373421254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14.428571428571429</v>
      </c>
      <c r="N65" s="14">
        <f>IF('Données projet'!$A$36&gt;35,N64+M65-V64,IF(A65&lt;'Données projet'!$A$36,$K$205^A65,IF(A65='Données projet'!$A$36,'Données projet'!$B$36,N64+M65-V64)))</f>
        <v>448.85714285714312</v>
      </c>
      <c r="O65" s="14">
        <f>N65*VLOOKUP('Données projet'!$B$9,Paramètres!$A$1:$I$88,3,0)*VLOOKUP('Données projet'!$B$9,Paramètres!$A$1:$I$88,5,0)</f>
        <v>250.91114285714301</v>
      </c>
      <c r="P65" s="14">
        <f t="shared" si="33"/>
        <v>60.781007052879815</v>
      </c>
      <c r="Q65" s="22">
        <f t="shared" si="53"/>
        <v>542.86382775995639</v>
      </c>
      <c r="R65" s="62">
        <f t="shared" si="0"/>
        <v>825.35614546250099</v>
      </c>
      <c r="S65" s="62">
        <f ca="1">AVERAGE(OFFSET($R$3,0,0,'Données projet'!$E$9+1,1))-AVERAGE(OFFSET($H$3,0,0,'Données projet'!$E$9+1,1))</f>
        <v>341.05096821796769</v>
      </c>
      <c r="T65" s="62">
        <f t="shared" si="34"/>
        <v>400.72519822215168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projet'!$B$9,Paramètres!$A$1:$I$88,7,0))</f>
        <v>0</v>
      </c>
      <c r="X65" s="17">
        <f>IF(ISNA(VLOOKUP(A65,'Données projet'!$A$35:$I$55,6,0)),0%,VLOOKUP(A65,'Données projet'!$A$35:$I$55,6,0)*VLOOKUP('Données projet'!$B$9,Paramètres!$A$1:$I$88,7,0))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projet'!$B$9,Paramètres!$A$1:$I$88,3,0)*0.475*44/12</f>
        <v>66.093394128132189</v>
      </c>
      <c r="AA65" s="23">
        <f>EXP(-LN(2)/25)*AA64+(1-EXP(-LN(2)/25))/(LN(2)/25)*Calculateur!V65*Calculateur!X65*VLOOKUP('Données projet'!$B$9,Paramètres!$A$1:$I$88,3,0)*0.475*44/12</f>
        <v>52.437587275702981</v>
      </c>
      <c r="AB65" s="23">
        <f>EXP(-LN(2)/2)*AB64+(1-EXP(-LN(2)/2))/(LN(2)/2)*V65*Y65*VLOOKUP('Données projet'!$B$9,Paramètres!$A$1:$I$88,3,0)*0.475*44/12</f>
        <v>0</v>
      </c>
      <c r="AC65" s="24">
        <f t="shared" si="3"/>
        <v>118.53098140383517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67.043359373421254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>
        <f>VLOOKUP(A65,'Données projet'!$A$61:$I$81,2,0)</f>
        <v>241.7</v>
      </c>
      <c r="AG65" s="13">
        <f>VLOOKUP(A65,'Données projet'!$A$61:$I$81,9,0)</f>
        <v>2.1750000000000007</v>
      </c>
      <c r="AH65" s="13">
        <f t="array" ref="AH65">INDEX(AG:AG,MIN(IF(ISNUMBER(AG65:AG261),ROW(AG65:AG261),"")))</f>
        <v>2.1750000000000007</v>
      </c>
      <c r="AI65" s="14">
        <f>IF('Données projet'!$A$62&gt;35,AI64+AH65-AQ64,IF(A65&lt;'Données projet'!$A$62,$AF$205^A65,IF(A65='Données projet'!$A$62,'Données projet'!$B$62,AI64+AH65-AQ64)))</f>
        <v>241.70000000000007</v>
      </c>
      <c r="AJ65" s="14">
        <f>AI65*VLOOKUP('Données projet'!$B$10,Paramètres!$A$1:$I$88,3,0)*VLOOKUP('Données projet'!$B$10,Paramètres!$A$1:$I$88,5,0)</f>
        <v>144.53660000000005</v>
      </c>
      <c r="AK65" s="14">
        <f t="shared" si="35"/>
        <v>37.334340095316499</v>
      </c>
      <c r="AL65" s="22">
        <f t="shared" si="4"/>
        <v>316.75855399934295</v>
      </c>
      <c r="AM65" s="62">
        <f t="shared" si="5"/>
        <v>599.25087170188749</v>
      </c>
      <c r="AN65" s="62">
        <f ca="1">AVERAGE(OFFSET($AM$3,0,0,'Données projet'!$E$10+1,1))-AVERAGE(OFFSET($H$3,0,0,'Données projet'!$E$10+1,1))</f>
        <v>231.96474801342879</v>
      </c>
      <c r="AO65" s="62">
        <f t="shared" si="36"/>
        <v>237.75726086383668</v>
      </c>
      <c r="AP65" s="16">
        <f>IF(ISNA(VLOOKUP(A65,'Données projet'!$A$61:$I$81,3,0)),0,VLOOKUP(A65,'Données projet'!$A$61:$I$81,3,0))</f>
        <v>9</v>
      </c>
      <c r="AQ65" s="16">
        <f>IF(ISNA(VLOOKUP(A65,'Données projet'!$A$61:$I$81,4,0)),0,VLOOKUP(A65,'Données projet'!$A$61:$I$81,4,0))</f>
        <v>9.4</v>
      </c>
      <c r="AR65" s="17">
        <f>IF(ISNA(VLOOKUP(A65,'Données projet'!$A$61:$I$81,5,0)),0%,VLOOKUP(A65,'Données projet'!$A$61:$I$81,5,0)*VLOOKUP('Données projet'!$B$10,Paramètres!$A$1:$I$88,7,0))</f>
        <v>0.315</v>
      </c>
      <c r="AS65" s="17">
        <f>IF(ISNA(VLOOKUP(A65,'Données projet'!$A$61:$I$81,6,0)),0%,VLOOKUP(A65,'Données projet'!$A$61:$I$81,6,0)*VLOOKUP('Données projet'!$B$10,Paramètres!$A$1:$I$88,7,0))</f>
        <v>0.13500000000000001</v>
      </c>
      <c r="AT65" s="17">
        <f>IF(ISNA(VLOOKUP(A65,'Données projet'!$A$61:$I$81,7,0)),0%,VLOOKUP(A65,'Données projet'!$A$61:$I$81,7,0))</f>
        <v>0</v>
      </c>
      <c r="AU65" s="23">
        <f>EXP(-LN(2)/35)*AU64+(1-EXP(-LN(2)/35))/(LN(2)/35)*AQ65*AR65*VLOOKUP('Données projet'!$B$10,Paramètres!$A$1:$I$88,3,0)*0.475*44/12</f>
        <v>14.380658464573241</v>
      </c>
      <c r="AV65" s="23">
        <f>EXP(-LN(2)/25)*AV64+(1-EXP(-LN(2)/25))/(LN(2)/25)*Calculateur!AQ65*Calculateur!AS65*VLOOKUP('Données projet'!$B$10,Paramètres!$A$1:$I$88,3,0)*0.475*44/12</f>
        <v>18.174447336628873</v>
      </c>
      <c r="AW65" s="23">
        <f>EXP(-LN(2)/2)*AW64+(1-EXP(-LN(2)/2))/(LN(2)/2)*AQ65*AT65*VLOOKUP('Données projet'!$B$10,Paramètres!$A$1:$I$88,3,0)*0.475*44/12</f>
        <v>0</v>
      </c>
      <c r="AX65" s="23">
        <f t="shared" si="6"/>
        <v>32.555105801202117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67.043359373421254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17.7</v>
      </c>
      <c r="BD65" s="13">
        <f>IF('Données projet'!$A$88&gt;35,BD64+BC65-BL64,IF(A65&lt;'Données projet'!$A$88,$BA$205^A65,IF(A65='Données projet'!$A$88,'Données projet'!$B$88,BD64+BC65-BL64)))</f>
        <v>394.20000000000027</v>
      </c>
      <c r="BE65" s="14">
        <f>BD65*VLOOKUP('Données projet'!$B$11,Paramètres!$A$1:$I$88,3,0)*VLOOKUP('Données projet'!$B$11,Paramètres!$A$1:$I$88,5,0)</f>
        <v>184.48560000000012</v>
      </c>
      <c r="BF65" s="14">
        <f t="shared" si="37"/>
        <v>46.318715382308234</v>
      </c>
      <c r="BG65" s="22">
        <f t="shared" si="7"/>
        <v>401.98418262418699</v>
      </c>
      <c r="BH65" s="62">
        <f t="shared" si="8"/>
        <v>684.47650032673164</v>
      </c>
      <c r="BI65" s="62">
        <f ca="1">AVERAGE(OFFSET($BH$3,0,0,'Données projet'!$E$11+1,1))-AVERAGE(OFFSET($H$3,0,0,'Données projet'!$E$11+1,1))</f>
        <v>364.96458059055169</v>
      </c>
      <c r="BJ65" s="62">
        <f t="shared" si="38"/>
        <v>246.27159120786257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projet'!$B$11,Paramètres!$A$1:$I$88,7,0))</f>
        <v>0</v>
      </c>
      <c r="BN65" s="17">
        <f>IF(ISNA(VLOOKUP(A65,'Données projet'!$A$87:$I$107,6,0)),0%,VLOOKUP(A65,'Données projet'!$A$87:$I$107,6,0)*VLOOKUP('Données projet'!$B$11,Paramètres!$A$1:$I$88,7,0))</f>
        <v>0</v>
      </c>
      <c r="BO65" s="17">
        <f>IF(ISNA(VLOOKUP(A65,'Données projet'!$A$87:$I$107,7,0)),0%,VLOOKUP(A65,'Données projet'!$A$87:$I$107,7,0))</f>
        <v>0</v>
      </c>
      <c r="BP65" s="23">
        <f>EXP(-LN(2)/35)*BP64+(1-EXP(-LN(2)/35))/(LN(2)/35)*BL65*BM65*VLOOKUP('Données projet'!$B$11,Paramètres!$A$1:$I$88,3,0)*0.475*44/12</f>
        <v>31.999038293588228</v>
      </c>
      <c r="BQ65" s="23">
        <f>EXP(-LN(2)/25)*BQ64+(1-EXP(-LN(2)/25))/(LN(2)/25)*Calculateur!BL65*Calculateur!BN65*VLOOKUP('Données projet'!$B$11,Paramètres!$A$1:$I$88,3,0)*0.475*44/12</f>
        <v>18.993116340280565</v>
      </c>
      <c r="BR65" s="23">
        <f>EXP(-LN(2)/2)*BR64+(1-EXP(-LN(2)/2))/(LN(2)/2)*BL65*BO65*VLOOKUP('Données projet'!$B$11,Paramètres!$A$1:$I$88,3,0)*0.475*44/12</f>
        <v>0</v>
      </c>
      <c r="BS65" s="24">
        <f t="shared" si="9"/>
        <v>50.992154633868793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67.043359373421254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-1.1368683772161603E-13</v>
      </c>
      <c r="BZ65" s="14">
        <f>BY65*VLOOKUP('Données projet'!$B$12,Paramètres!$A$1:$I$88,3,0)*VLOOKUP('Données projet'!$B$12,Paramètres!$A$1:$I$88,5,0)</f>
        <v>-1.1527845344971866E-13</v>
      </c>
      <c r="CA65" s="14" t="e">
        <f t="shared" si="39"/>
        <v>#NUM!</v>
      </c>
      <c r="CB65" s="22" t="e">
        <f t="shared" si="10"/>
        <v>#NUM!</v>
      </c>
      <c r="CC65" s="62" t="e">
        <f t="shared" si="11"/>
        <v>#NUM!</v>
      </c>
      <c r="CD65" s="62">
        <f ca="1">AVERAGE(OFFSET($CC$3,0,0,'Données projet'!$E$12+1,1))-AVERAGE(OFFSET($H$3,0,0,'Données projet'!$E$12+1,1))</f>
        <v>310.53598044763282</v>
      </c>
      <c r="CE65" s="62">
        <f t="shared" si="40"/>
        <v>322.01096634040596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projet'!$B$12,Paramètres!$A$1:$I$88,7,0))</f>
        <v>0</v>
      </c>
      <c r="CI65" s="17">
        <f>IF(ISNA(VLOOKUP(A65,'Données projet'!$A$113:$I$133,6,0)),0%,VLOOKUP(A65,'Données projet'!$A$113:$I$133,6,0)*VLOOKUP('Données projet'!$B$12,Paramètres!$A$1:$I$88,7,0))</f>
        <v>0</v>
      </c>
      <c r="CJ65" s="17">
        <f>IF(ISNA(VLOOKUP(A65,'Données projet'!$A$113:$I$133,7,0)),0%,VLOOKUP(A65,'Données projet'!$A$113:$I$133,7,0))</f>
        <v>0</v>
      </c>
      <c r="CK65" s="23">
        <f>EXP(-LN(2)/35)*CK64+(1-EXP(-LN(2)/35))/(LN(2)/35)*CG65*CH65*VLOOKUP('Données projet'!$B$12,Paramètres!$A$1:$I$88,3,0)*0.475*44/12</f>
        <v>69.493321475081103</v>
      </c>
      <c r="CL65" s="23">
        <f>EXP(-LN(2)/25)*CL64+(1-EXP(-LN(2)/25))/(LN(2)/25)*Calculateur!CG65*Calculateur!CI65*VLOOKUP('Données projet'!$B$12,Paramètres!$A$1:$I$88,3,0)*0.475*44/12</f>
        <v>0</v>
      </c>
      <c r="CM65" s="23">
        <f>EXP(-LN(2)/2)*CM64+(1-EXP(-LN(2)/2))/(LN(2)/2)*CG65*CJ65*VLOOKUP('Données projet'!$B$12,Paramètres!$A$1:$I$88,3,0)*0.475*44/12</f>
        <v>0</v>
      </c>
      <c r="CN65" s="24">
        <f t="shared" si="12"/>
        <v>69.493321475081103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67.043359373421254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projet'!$B$13,Paramètres!$A$1:$I$88,3,0)*VLOOKUP('Données projet'!$B$13,Paramètres!$A$1:$I$88,5,0)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projet'!$B$13,Paramètres!$A$1:$I$88,7,0))</f>
        <v>0</v>
      </c>
      <c r="DD65" s="17">
        <f>IF(ISNA(VLOOKUP(A65,'Données projet'!$A$139:$I$159,6,0)),0%,VLOOKUP(A65,'Données projet'!$A$139:$I$159,6,0)*VLOOKUP('Données projet'!$B$13,Paramètres!$A$1:$I$88,7,0))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projet'!$B$13,Paramètres!$A$1:$I$88,3,0)*0.475*44/12</f>
        <v>#N/A</v>
      </c>
      <c r="DG65" s="23" t="e">
        <f>EXP(-LN(2)/25)*DG64+(1-EXP(-LN(2)/25))/(LN(2)/25)*Calculateur!DB65*Calculateur!DD65*VLOOKUP('Données projet'!$B$13,Paramètres!$A$1:$I$88,3,0)*0.475*44/12</f>
        <v>#N/A</v>
      </c>
      <c r="DH65" s="23" t="e">
        <f>EXP(-LN(2)/2)*DH64+(1-EXP(-LN(2)/2))/(LN(2)/2)*DB65*DE65*VLOOKUP('Données projet'!$B$13,Paramètres!$A$1:$I$88,3,0)*0.475*44/12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67.043359373421254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projet'!$B$14,Paramètres!$A$1:$I$88,3,0)*VLOOKUP('Données projet'!$B$14,Paramètres!$A$1:$I$88,5,0)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projet'!$B$14,Paramètres!$A$1:$I$88,7,0))</f>
        <v>0</v>
      </c>
      <c r="DY65" s="17">
        <f>IF(ISNA(VLOOKUP(A65,'Données projet'!$A$165:$I$185,6,0)),0%,VLOOKUP(A65,'Données projet'!$A$165:$I$185,6,0)*VLOOKUP('Données projet'!$B$14,Paramètres!$A$1:$I$88,7,0))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projet'!$B$14,Paramètres!$A$1:$I$88,3,0)*0.475*44/12</f>
        <v>#N/A</v>
      </c>
      <c r="EB65" s="23" t="e">
        <f>EXP(-LN(2)/25)*EB64+(1-EXP(-LN(2)/25))/(LN(2)/25)*Calculateur!DW65*Calculateur!DY65*VLOOKUP('Données projet'!$B$14,Paramètres!$A$1:$I$88,3,0)*0.475*44/12</f>
        <v>#N/A</v>
      </c>
      <c r="EC65" s="23" t="e">
        <f>EXP(-LN(2)/2)*EC64+(1-EXP(-LN(2)/2))/(LN(2)/2)*DW65*DZ65*VLOOKUP('Données projet'!$B$14,Paramètres!$A$1:$I$88,3,0)*0.475*44/12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67.043359373421254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projet'!$B$15,Paramètres!$A$1:$I$88,3,0)*VLOOKUP('Données projet'!$B$15,Paramètres!$A$1:$I$88,5,0)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projet'!$B$15,Paramètres!$A$1:$I$88,7,0))</f>
        <v>0</v>
      </c>
      <c r="ET65" s="17">
        <f>IF(ISNA(VLOOKUP(A65,'Données projet'!$A$191:$I$211,6,0)),0%,VLOOKUP(A65,'Données projet'!$A$191:$I$211,6,0)*VLOOKUP('Données projet'!$B$15,Paramètres!$A$1:$I$88,7,0))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projet'!$B$15,Paramètres!$A$1:$I$88,3,0)*0.475*44/12</f>
        <v>#N/A</v>
      </c>
      <c r="EW65" s="23" t="e">
        <f>EXP(-LN(2)/25)*EW64+(1-EXP(-LN(2)/25))/(LN(2)/25)*Calculateur!ER65*Calculateur!ET65*VLOOKUP('Données projet'!$B$15,Paramètres!$A$1:$I$88,3,0)*0.475*44/12</f>
        <v>#N/A</v>
      </c>
      <c r="EX65" s="23" t="e">
        <f>EXP(-LN(2)/2)*EX64+(1-EXP(-LN(2)/2))/(LN(2)/2)*ER65*EU65*VLOOKUP('Données projet'!$B$15,Paramètres!$A$1:$I$88,3,0)*0.475*44/12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67.043359373421254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projet'!$B$16,Paramètres!$A$1:$I$88,3,0)*VLOOKUP('Données projet'!$B$16,Paramètres!$A$1:$I$88,5,0)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projet'!$B$16,Paramètres!$A$1:$I$88,7,0))</f>
        <v>0</v>
      </c>
      <c r="FO65" s="17">
        <f>IF(ISNA(VLOOKUP(A65,'Données projet'!$A$217:$I$237,6,0)),0%,VLOOKUP(A65,'Données projet'!$A$217:$I$237,6,0)*VLOOKUP('Données projet'!$B$16,Paramètres!$A$1:$I$88,7,0))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projet'!$B$16,Paramètres!$A$1:$I$88,3,0)*0.475*44/12</f>
        <v>#N/A</v>
      </c>
      <c r="FR65" s="23" t="e">
        <f>EXP(-LN(2)/25)*FR64+(1-EXP(-LN(2)/25))/(LN(2)/25)*Calculateur!FM65*Calculateur!FO65*VLOOKUP('Données projet'!$B$16,Paramètres!$A$1:$I$88,3,0)*0.475*44/12</f>
        <v>#N/A</v>
      </c>
      <c r="FS65" s="23" t="e">
        <f>EXP(-LN(2)/2)*FS64+(1-EXP(-LN(2)/2))/(LN(2)/2)*FM65*FP65*VLOOKUP('Données projet'!$B$16,Paramètres!$A$1:$I$88,3,0)*0.475*44/12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67.043359373421254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projet'!$B$17,Paramètres!$A$1:$I$88,3,0)*VLOOKUP('Données projet'!$B$17,Paramètres!$A$1:$I$88,5,0)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projet'!$B$17,Paramètres!$A$1:$I$88,7,0))</f>
        <v>0</v>
      </c>
      <c r="GJ65" s="17">
        <f>IF(ISNA(VLOOKUP(A65,'Données projet'!$A$243:$I$263,6,0)),0%,VLOOKUP(A65,'Données projet'!$A$243:$I$263,6,0)*VLOOKUP('Données projet'!$B$17,Paramètres!$A$1:$I$88,7,0))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projet'!$B$17,Paramètres!$A$1:$I$88,3,0)*0.475*44/12</f>
        <v>#N/A</v>
      </c>
      <c r="GM65" s="23" t="e">
        <f>EXP(-LN(2)/25)*GM64+(1-EXP(-LN(2)/25))/(LN(2)/25)*Calculateur!GH65*Calculateur!GJ65*VLOOKUP('Données projet'!$B$17,Paramètres!$A$1:$I$88,3,0)*0.475*44/12</f>
        <v>#N/A</v>
      </c>
      <c r="GN65" s="23" t="e">
        <f>EXP(-LN(2)/2)*GN64+(1-EXP(-LN(2)/2))/(LN(2)/2)*GH65*GK65*VLOOKUP('Données projet'!$B$17,Paramètres!$A$1:$I$88,3,0)*0.475*44/12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67.043359373421254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projet'!$B$18,Paramètres!$A$1:$I$88,3,0)*VLOOKUP('Données projet'!$B$18,Paramètres!$A$1:$I$88,5,0)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projet'!$B$18,Paramètres!$A$1:$I$88,7,0))</f>
        <v>0</v>
      </c>
      <c r="HE65" s="17">
        <f>IF(ISNA(VLOOKUP(A65,'Données projet'!$A$269:$I$289,6,0)),0%,VLOOKUP(A65,'Données projet'!$A$269:$I$289,6,0)*VLOOKUP('Données projet'!$B$18,Paramètres!$A$1:$I$88,7,0))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projet'!$B$18,Paramètres!$A$1:$I$88,3,0)*0.475*44/12</f>
        <v>#N/A</v>
      </c>
      <c r="HH65" s="23" t="e">
        <f>EXP(-LN(2)/25)*HH64+(1-EXP(-LN(2)/25))/(LN(2)/25)*Calculateur!HC65*Calculateur!HE65*VLOOKUP('Données projet'!$B$18,Paramètres!$A$1:$I$88,3,0)*0.475*44/12</f>
        <v>#N/A</v>
      </c>
      <c r="HI65" s="23" t="e">
        <f>EXP(-LN(2)/2)*HI64+(1-EXP(-LN(2)/2))/(LN(2)/2)*HC65*HF65*VLOOKUP('Données projet'!$B$18,Paramètres!$A$1:$I$88,3,0)*0.475*44/12</f>
        <v>#N/A</v>
      </c>
      <c r="HJ65" s="24" t="e">
        <f t="shared" si="30"/>
        <v>#N/A</v>
      </c>
    </row>
    <row r="66" spans="1:218" s="5" customFormat="1" x14ac:dyDescent="0.35">
      <c r="A66" s="11">
        <f t="shared" si="31"/>
        <v>63</v>
      </c>
      <c r="B66" s="77">
        <f>'Scénario référence'!$B$16*5+'Scénario référence'!$B$17*0+'Scénario référence'!$B$18*5</f>
        <v>1.75</v>
      </c>
      <c r="C66" s="20">
        <f>Calculateur!C65+'Scénario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66" s="12">
        <f t="shared" si="3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6.416666666666667</v>
      </c>
      <c r="H66" s="70">
        <f t="shared" si="1"/>
        <v>231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67.094650478234215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14.428571428571429</v>
      </c>
      <c r="N66" s="14">
        <f>IF('Données projet'!$A$36&gt;35,N65+M66-V65,IF(A66&lt;'Données projet'!$A$36,$K$205^A66,IF(A66='Données projet'!$A$36,'Données projet'!$B$36,N65+M66-V65)))</f>
        <v>463.28571428571456</v>
      </c>
      <c r="O66" s="14">
        <f>N66*VLOOKUP('Données projet'!$B$9,Paramètres!$A$1:$I$88,3,0)*VLOOKUP('Données projet'!$B$9,Paramètres!$A$1:$I$88,5,0)</f>
        <v>258.97671428571442</v>
      </c>
      <c r="P66" s="14">
        <f t="shared" si="33"/>
        <v>62.504204757480117</v>
      </c>
      <c r="Q66" s="22">
        <f t="shared" si="53"/>
        <v>559.91260066689722</v>
      </c>
      <c r="R66" s="62">
        <f t="shared" si="0"/>
        <v>842.59298575375601</v>
      </c>
      <c r="S66" s="62">
        <f ca="1">AVERAGE(OFFSET($R$3,0,0,'Données projet'!$E$9+1,1))-AVERAGE(OFFSET($H$3,0,0,'Données projet'!$E$9+1,1))</f>
        <v>341.05096821796769</v>
      </c>
      <c r="T66" s="62">
        <f t="shared" si="34"/>
        <v>400.72519822215168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projet'!$B$9,Paramètres!$A$1:$I$88,7,0))</f>
        <v>0</v>
      </c>
      <c r="X66" s="17">
        <f>IF(ISNA(VLOOKUP(A66,'Données projet'!$A$35:$I$55,6,0)),0%,VLOOKUP(A66,'Données projet'!$A$35:$I$55,6,0)*VLOOKUP('Données projet'!$B$9,Paramètres!$A$1:$I$88,7,0))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projet'!$B$9,Paramètres!$A$1:$I$88,3,0)*0.475*44/12</f>
        <v>64.797342982269356</v>
      </c>
      <c r="AA66" s="23">
        <f>EXP(-LN(2)/25)*AA65+(1-EXP(-LN(2)/25))/(LN(2)/25)*Calculateur!V66*Calculateur!X66*VLOOKUP('Données projet'!$B$9,Paramètres!$A$1:$I$88,3,0)*0.475*44/12</f>
        <v>51.003678694076015</v>
      </c>
      <c r="AB66" s="23">
        <f>EXP(-LN(2)/2)*AB65+(1-EXP(-LN(2)/2))/(LN(2)/2)*V66*Y66*VLOOKUP('Données projet'!$B$9,Paramètres!$A$1:$I$88,3,0)*0.475*44/12</f>
        <v>0</v>
      </c>
      <c r="AC66" s="24">
        <f t="shared" si="3"/>
        <v>115.80102167634537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67.094650478234215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3.600000000000005</v>
      </c>
      <c r="AI66" s="14">
        <f>IF('Données projet'!$A$62&gt;35,AI65+AH66-AQ65,IF(A66&lt;'Données projet'!$A$62,$AF$205^A66,IF(A66='Données projet'!$A$62,'Données projet'!$B$62,AI65+AH66-AQ65)))</f>
        <v>235.90000000000006</v>
      </c>
      <c r="AJ66" s="14">
        <f>AI66*VLOOKUP('Données projet'!$B$10,Paramètres!$A$1:$I$88,3,0)*VLOOKUP('Données projet'!$B$10,Paramètres!$A$1:$I$88,5,0)</f>
        <v>141.06820000000005</v>
      </c>
      <c r="AK66" s="14">
        <f t="shared" si="35"/>
        <v>36.541606754936112</v>
      </c>
      <c r="AL66" s="22">
        <f t="shared" si="4"/>
        <v>309.33708009818048</v>
      </c>
      <c r="AM66" s="62">
        <f t="shared" si="5"/>
        <v>592.01746518503933</v>
      </c>
      <c r="AN66" s="62">
        <f ca="1">AVERAGE(OFFSET($AM$3,0,0,'Données projet'!$E$10+1,1))-AVERAGE(OFFSET($H$3,0,0,'Données projet'!$E$10+1,1))</f>
        <v>231.96474801342879</v>
      </c>
      <c r="AO66" s="62">
        <f t="shared" si="36"/>
        <v>237.75726086383668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projet'!$B$10,Paramètres!$A$1:$I$88,7,0))</f>
        <v>0</v>
      </c>
      <c r="AS66" s="17">
        <f>IF(ISNA(VLOOKUP(A66,'Données projet'!$A$61:$I$81,6,0)),0%,VLOOKUP(A66,'Données projet'!$A$61:$I$81,6,0)*VLOOKUP('Données projet'!$B$10,Paramètres!$A$1:$I$88,7,0))</f>
        <v>0</v>
      </c>
      <c r="AT66" s="17">
        <f>IF(ISNA(VLOOKUP(A66,'Données projet'!$A$61:$I$81,7,0)),0%,VLOOKUP(A66,'Données projet'!$A$61:$I$81,7,0))</f>
        <v>0</v>
      </c>
      <c r="AU66" s="23">
        <f>EXP(-LN(2)/35)*AU65+(1-EXP(-LN(2)/35))/(LN(2)/35)*AQ66*AR66*VLOOKUP('Données projet'!$B$10,Paramètres!$A$1:$I$88,3,0)*0.475*44/12</f>
        <v>14.098662523418525</v>
      </c>
      <c r="AV66" s="23">
        <f>EXP(-LN(2)/25)*AV65+(1-EXP(-LN(2)/25))/(LN(2)/25)*Calculateur!AQ66*Calculateur!AS66*VLOOKUP('Données projet'!$B$10,Paramètres!$A$1:$I$88,3,0)*0.475*44/12</f>
        <v>17.67746611845611</v>
      </c>
      <c r="AW66" s="23">
        <f>EXP(-LN(2)/2)*AW65+(1-EXP(-LN(2)/2))/(LN(2)/2)*AQ66*AT66*VLOOKUP('Données projet'!$B$10,Paramètres!$A$1:$I$88,3,0)*0.475*44/12</f>
        <v>0</v>
      </c>
      <c r="AX66" s="23">
        <f t="shared" si="6"/>
        <v>31.776128641874635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67.094650478234215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17.7</v>
      </c>
      <c r="BD66" s="13">
        <f>IF('Données projet'!$A$88&gt;35,BD65+BC66-BL65,IF(A66&lt;'Données projet'!$A$88,$BA$205^A66,IF(A66='Données projet'!$A$88,'Données projet'!$B$88,BD65+BC66-BL65)))</f>
        <v>411.90000000000026</v>
      </c>
      <c r="BE66" s="14">
        <f>BD66*VLOOKUP('Données projet'!$B$11,Paramètres!$A$1:$I$88,3,0)*VLOOKUP('Données projet'!$B$11,Paramètres!$A$1:$I$88,5,0)</f>
        <v>192.7692000000001</v>
      </c>
      <c r="BF66" s="14">
        <f t="shared" si="37"/>
        <v>48.151667124108045</v>
      </c>
      <c r="BG66" s="22">
        <f t="shared" si="7"/>
        <v>419.60384357448834</v>
      </c>
      <c r="BH66" s="62">
        <f t="shared" si="8"/>
        <v>702.28422866134713</v>
      </c>
      <c r="BI66" s="62">
        <f ca="1">AVERAGE(OFFSET($BH$3,0,0,'Données projet'!$E$11+1,1))-AVERAGE(OFFSET($H$3,0,0,'Données projet'!$E$11+1,1))</f>
        <v>364.96458059055169</v>
      </c>
      <c r="BJ66" s="62">
        <f t="shared" si="38"/>
        <v>246.27159120786257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projet'!$B$11,Paramètres!$A$1:$I$88,7,0))</f>
        <v>0</v>
      </c>
      <c r="BN66" s="17">
        <f>IF(ISNA(VLOOKUP(A66,'Données projet'!$A$87:$I$107,6,0)),0%,VLOOKUP(A66,'Données projet'!$A$87:$I$107,6,0)*VLOOKUP('Données projet'!$B$11,Paramètres!$A$1:$I$88,7,0))</f>
        <v>0</v>
      </c>
      <c r="BO66" s="17">
        <f>IF(ISNA(VLOOKUP(A66,'Données projet'!$A$87:$I$107,7,0)),0%,VLOOKUP(A66,'Données projet'!$A$87:$I$107,7,0))</f>
        <v>0</v>
      </c>
      <c r="BP66" s="23">
        <f>EXP(-LN(2)/35)*BP65+(1-EXP(-LN(2)/35))/(LN(2)/35)*BL66*BM66*VLOOKUP('Données projet'!$B$11,Paramètres!$A$1:$I$88,3,0)*0.475*44/12</f>
        <v>31.371556670137132</v>
      </c>
      <c r="BQ66" s="23">
        <f>EXP(-LN(2)/25)*BQ65+(1-EXP(-LN(2)/25))/(LN(2)/25)*Calculateur!BL66*Calculateur!BN66*VLOOKUP('Données projet'!$B$11,Paramètres!$A$1:$I$88,3,0)*0.475*44/12</f>
        <v>18.473748575151014</v>
      </c>
      <c r="BR66" s="23">
        <f>EXP(-LN(2)/2)*BR65+(1-EXP(-LN(2)/2))/(LN(2)/2)*BL66*BO66*VLOOKUP('Données projet'!$B$11,Paramètres!$A$1:$I$88,3,0)*0.475*44/12</f>
        <v>0</v>
      </c>
      <c r="BS66" s="24">
        <f t="shared" si="9"/>
        <v>49.845305245288145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67.094650478234215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-1.1368683772161603E-13</v>
      </c>
      <c r="BZ66" s="14">
        <f>BY66*VLOOKUP('Données projet'!$B$12,Paramètres!$A$1:$I$88,3,0)*VLOOKUP('Données projet'!$B$12,Paramètres!$A$1:$I$88,5,0)</f>
        <v>-1.1527845344971866E-13</v>
      </c>
      <c r="CA66" s="14" t="e">
        <f t="shared" si="39"/>
        <v>#NUM!</v>
      </c>
      <c r="CB66" s="22" t="e">
        <f t="shared" si="10"/>
        <v>#NUM!</v>
      </c>
      <c r="CC66" s="62" t="e">
        <f t="shared" si="11"/>
        <v>#NUM!</v>
      </c>
      <c r="CD66" s="62">
        <f ca="1">AVERAGE(OFFSET($CC$3,0,0,'Données projet'!$E$12+1,1))-AVERAGE(OFFSET($H$3,0,0,'Données projet'!$E$12+1,1))</f>
        <v>310.53598044763282</v>
      </c>
      <c r="CE66" s="62">
        <f t="shared" si="40"/>
        <v>322.01096634040596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projet'!$B$12,Paramètres!$A$1:$I$88,7,0))</f>
        <v>0</v>
      </c>
      <c r="CI66" s="17">
        <f>IF(ISNA(VLOOKUP(A66,'Données projet'!$A$113:$I$133,6,0)),0%,VLOOKUP(A66,'Données projet'!$A$113:$I$133,6,0)*VLOOKUP('Données projet'!$B$12,Paramètres!$A$1:$I$88,7,0))</f>
        <v>0</v>
      </c>
      <c r="CJ66" s="17">
        <f>IF(ISNA(VLOOKUP(A66,'Données projet'!$A$113:$I$133,7,0)),0%,VLOOKUP(A66,'Données projet'!$A$113:$I$133,7,0))</f>
        <v>0</v>
      </c>
      <c r="CK66" s="23">
        <f>EXP(-LN(2)/35)*CK65+(1-EXP(-LN(2)/35))/(LN(2)/35)*CG66*CH66*VLOOKUP('Données projet'!$B$12,Paramètres!$A$1:$I$88,3,0)*0.475*44/12</f>
        <v>68.130599827695519</v>
      </c>
      <c r="CL66" s="23">
        <f>EXP(-LN(2)/25)*CL65+(1-EXP(-LN(2)/25))/(LN(2)/25)*Calculateur!CG66*Calculateur!CI66*VLOOKUP('Données projet'!$B$12,Paramètres!$A$1:$I$88,3,0)*0.475*44/12</f>
        <v>0</v>
      </c>
      <c r="CM66" s="23">
        <f>EXP(-LN(2)/2)*CM65+(1-EXP(-LN(2)/2))/(LN(2)/2)*CG66*CJ66*VLOOKUP('Données projet'!$B$12,Paramètres!$A$1:$I$88,3,0)*0.475*44/12</f>
        <v>0</v>
      </c>
      <c r="CN66" s="24">
        <f t="shared" si="12"/>
        <v>68.130599827695519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67.094650478234215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projet'!$B$13,Paramètres!$A$1:$I$88,3,0)*VLOOKUP('Données projet'!$B$13,Paramètres!$A$1:$I$88,5,0)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projet'!$B$13,Paramètres!$A$1:$I$88,7,0))</f>
        <v>0</v>
      </c>
      <c r="DD66" s="17">
        <f>IF(ISNA(VLOOKUP(A66,'Données projet'!$A$139:$I$159,6,0)),0%,VLOOKUP(A66,'Données projet'!$A$139:$I$159,6,0)*VLOOKUP('Données projet'!$B$13,Paramètres!$A$1:$I$88,7,0))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projet'!$B$13,Paramètres!$A$1:$I$88,3,0)*0.475*44/12</f>
        <v>#N/A</v>
      </c>
      <c r="DG66" s="23" t="e">
        <f>EXP(-LN(2)/25)*DG65+(1-EXP(-LN(2)/25))/(LN(2)/25)*Calculateur!DB66*Calculateur!DD66*VLOOKUP('Données projet'!$B$13,Paramètres!$A$1:$I$88,3,0)*0.475*44/12</f>
        <v>#N/A</v>
      </c>
      <c r="DH66" s="23" t="e">
        <f>EXP(-LN(2)/2)*DH65+(1-EXP(-LN(2)/2))/(LN(2)/2)*DB66*DE66*VLOOKUP('Données projet'!$B$13,Paramètres!$A$1:$I$88,3,0)*0.475*44/12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67.094650478234215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projet'!$B$14,Paramètres!$A$1:$I$88,3,0)*VLOOKUP('Données projet'!$B$14,Paramètres!$A$1:$I$88,5,0)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projet'!$B$14,Paramètres!$A$1:$I$88,7,0))</f>
        <v>0</v>
      </c>
      <c r="DY66" s="17">
        <f>IF(ISNA(VLOOKUP(A66,'Données projet'!$A$165:$I$185,6,0)),0%,VLOOKUP(A66,'Données projet'!$A$165:$I$185,6,0)*VLOOKUP('Données projet'!$B$14,Paramètres!$A$1:$I$88,7,0))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projet'!$B$14,Paramètres!$A$1:$I$88,3,0)*0.475*44/12</f>
        <v>#N/A</v>
      </c>
      <c r="EB66" s="23" t="e">
        <f>EXP(-LN(2)/25)*EB65+(1-EXP(-LN(2)/25))/(LN(2)/25)*Calculateur!DW66*Calculateur!DY66*VLOOKUP('Données projet'!$B$14,Paramètres!$A$1:$I$88,3,0)*0.475*44/12</f>
        <v>#N/A</v>
      </c>
      <c r="EC66" s="23" t="e">
        <f>EXP(-LN(2)/2)*EC65+(1-EXP(-LN(2)/2))/(LN(2)/2)*DW66*DZ66*VLOOKUP('Données projet'!$B$14,Paramètres!$A$1:$I$88,3,0)*0.475*44/12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67.094650478234215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projet'!$B$15,Paramètres!$A$1:$I$88,3,0)*VLOOKUP('Données projet'!$B$15,Paramètres!$A$1:$I$88,5,0)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projet'!$B$15,Paramètres!$A$1:$I$88,7,0))</f>
        <v>0</v>
      </c>
      <c r="ET66" s="17">
        <f>IF(ISNA(VLOOKUP(A66,'Données projet'!$A$191:$I$211,6,0)),0%,VLOOKUP(A66,'Données projet'!$A$191:$I$211,6,0)*VLOOKUP('Données projet'!$B$15,Paramètres!$A$1:$I$88,7,0))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projet'!$B$15,Paramètres!$A$1:$I$88,3,0)*0.475*44/12</f>
        <v>#N/A</v>
      </c>
      <c r="EW66" s="23" t="e">
        <f>EXP(-LN(2)/25)*EW65+(1-EXP(-LN(2)/25))/(LN(2)/25)*Calculateur!ER66*Calculateur!ET66*VLOOKUP('Données projet'!$B$15,Paramètres!$A$1:$I$88,3,0)*0.475*44/12</f>
        <v>#N/A</v>
      </c>
      <c r="EX66" s="23" t="e">
        <f>EXP(-LN(2)/2)*EX65+(1-EXP(-LN(2)/2))/(LN(2)/2)*ER66*EU66*VLOOKUP('Données projet'!$B$15,Paramètres!$A$1:$I$88,3,0)*0.475*44/12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67.094650478234215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projet'!$B$16,Paramètres!$A$1:$I$88,3,0)*VLOOKUP('Données projet'!$B$16,Paramètres!$A$1:$I$88,5,0)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projet'!$B$16,Paramètres!$A$1:$I$88,7,0))</f>
        <v>0</v>
      </c>
      <c r="FO66" s="17">
        <f>IF(ISNA(VLOOKUP(A66,'Données projet'!$A$217:$I$237,6,0)),0%,VLOOKUP(A66,'Données projet'!$A$217:$I$237,6,0)*VLOOKUP('Données projet'!$B$16,Paramètres!$A$1:$I$88,7,0))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projet'!$B$16,Paramètres!$A$1:$I$88,3,0)*0.475*44/12</f>
        <v>#N/A</v>
      </c>
      <c r="FR66" s="23" t="e">
        <f>EXP(-LN(2)/25)*FR65+(1-EXP(-LN(2)/25))/(LN(2)/25)*Calculateur!FM66*Calculateur!FO66*VLOOKUP('Données projet'!$B$16,Paramètres!$A$1:$I$88,3,0)*0.475*44/12</f>
        <v>#N/A</v>
      </c>
      <c r="FS66" s="23" t="e">
        <f>EXP(-LN(2)/2)*FS65+(1-EXP(-LN(2)/2))/(LN(2)/2)*FM66*FP66*VLOOKUP('Données projet'!$B$16,Paramètres!$A$1:$I$88,3,0)*0.475*44/12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67.094650478234215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projet'!$B$17,Paramètres!$A$1:$I$88,3,0)*VLOOKUP('Données projet'!$B$17,Paramètres!$A$1:$I$88,5,0)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projet'!$B$17,Paramètres!$A$1:$I$88,7,0))</f>
        <v>0</v>
      </c>
      <c r="GJ66" s="17">
        <f>IF(ISNA(VLOOKUP(A66,'Données projet'!$A$243:$I$263,6,0)),0%,VLOOKUP(A66,'Données projet'!$A$243:$I$263,6,0)*VLOOKUP('Données projet'!$B$17,Paramètres!$A$1:$I$88,7,0))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projet'!$B$17,Paramètres!$A$1:$I$88,3,0)*0.475*44/12</f>
        <v>#N/A</v>
      </c>
      <c r="GM66" s="23" t="e">
        <f>EXP(-LN(2)/25)*GM65+(1-EXP(-LN(2)/25))/(LN(2)/25)*Calculateur!GH66*Calculateur!GJ66*VLOOKUP('Données projet'!$B$17,Paramètres!$A$1:$I$88,3,0)*0.475*44/12</f>
        <v>#N/A</v>
      </c>
      <c r="GN66" s="23" t="e">
        <f>EXP(-LN(2)/2)*GN65+(1-EXP(-LN(2)/2))/(LN(2)/2)*GH66*GK66*VLOOKUP('Données projet'!$B$17,Paramètres!$A$1:$I$88,3,0)*0.475*44/12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67.094650478234215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projet'!$B$18,Paramètres!$A$1:$I$88,3,0)*VLOOKUP('Données projet'!$B$18,Paramètres!$A$1:$I$88,5,0)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projet'!$B$18,Paramètres!$A$1:$I$88,7,0))</f>
        <v>0</v>
      </c>
      <c r="HE66" s="17">
        <f>IF(ISNA(VLOOKUP(A66,'Données projet'!$A$269:$I$289,6,0)),0%,VLOOKUP(A66,'Données projet'!$A$269:$I$289,6,0)*VLOOKUP('Données projet'!$B$18,Paramètres!$A$1:$I$88,7,0))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projet'!$B$18,Paramètres!$A$1:$I$88,3,0)*0.475*44/12</f>
        <v>#N/A</v>
      </c>
      <c r="HH66" s="23" t="e">
        <f>EXP(-LN(2)/25)*HH65+(1-EXP(-LN(2)/25))/(LN(2)/25)*Calculateur!HC66*Calculateur!HE66*VLOOKUP('Données projet'!$B$18,Paramètres!$A$1:$I$88,3,0)*0.475*44/12</f>
        <v>#N/A</v>
      </c>
      <c r="HI66" s="23" t="e">
        <f>EXP(-LN(2)/2)*HI65+(1-EXP(-LN(2)/2))/(LN(2)/2)*HC66*HF66*VLOOKUP('Données projet'!$B$18,Paramètres!$A$1:$I$88,3,0)*0.475*44/12</f>
        <v>#N/A</v>
      </c>
      <c r="HJ66" s="24" t="e">
        <f t="shared" si="30"/>
        <v>#N/A</v>
      </c>
    </row>
    <row r="67" spans="1:218" s="5" customFormat="1" x14ac:dyDescent="0.35">
      <c r="A67" s="11">
        <f t="shared" si="31"/>
        <v>64</v>
      </c>
      <c r="B67" s="77">
        <f>'Scénario référence'!$B$16*5+'Scénario référence'!$B$17*0+'Scénario référence'!$B$18*5</f>
        <v>1.75</v>
      </c>
      <c r="C67" s="20">
        <f>Calculateur!C66+'Scénario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67" s="12">
        <f t="shared" si="3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6.416666666666667</v>
      </c>
      <c r="H67" s="70">
        <f t="shared" si="1"/>
        <v>231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67.14505179704841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14.428571428571429</v>
      </c>
      <c r="N67" s="14">
        <f>IF('Données projet'!$A$36&gt;35,N66+M67-V66,IF(A67&lt;'Données projet'!$A$36,$K$205^A67,IF(A67='Données projet'!$A$36,'Données projet'!$B$36,N66+M67-V66)))</f>
        <v>477.71428571428601</v>
      </c>
      <c r="O67" s="14">
        <f>N67*VLOOKUP('Données projet'!$B$9,Paramètres!$A$1:$I$88,3,0)*VLOOKUP('Données projet'!$B$9,Paramètres!$A$1:$I$88,5,0)</f>
        <v>267.04228571428587</v>
      </c>
      <c r="P67" s="14">
        <f t="shared" si="33"/>
        <v>64.221165835529547</v>
      </c>
      <c r="Q67" s="22">
        <f t="shared" ref="Q67:Q98" si="54">(O67+P67)*0.475*44/12</f>
        <v>576.95051144926185</v>
      </c>
      <c r="R67" s="62">
        <f t="shared" ref="R67:R130" si="55">Q67+(I67+J67)*44/12</f>
        <v>859.81570137177278</v>
      </c>
      <c r="S67" s="62">
        <f ca="1">AVERAGE(OFFSET($R$3,0,0,'Données projet'!$E$9+1,1))-AVERAGE(OFFSET($H$3,0,0,'Données projet'!$E$9+1,1))</f>
        <v>341.05096821796769</v>
      </c>
      <c r="T67" s="62">
        <f t="shared" si="34"/>
        <v>400.72519822215168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projet'!$B$9,Paramètres!$A$1:$I$88,7,0))</f>
        <v>0</v>
      </c>
      <c r="X67" s="17">
        <f>IF(ISNA(VLOOKUP(A67,'Données projet'!$A$35:$I$55,6,0)),0%,VLOOKUP(A67,'Données projet'!$A$35:$I$55,6,0)*VLOOKUP('Données projet'!$B$9,Paramètres!$A$1:$I$88,7,0))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projet'!$B$9,Paramètres!$A$1:$I$88,3,0)*0.475*44/12</f>
        <v>63.526706608863755</v>
      </c>
      <c r="AA67" s="23">
        <f>EXP(-LN(2)/25)*AA66+(1-EXP(-LN(2)/25))/(LN(2)/25)*Calculateur!V67*Calculateur!X67*VLOOKUP('Données projet'!$B$9,Paramètres!$A$1:$I$88,3,0)*0.475*44/12</f>
        <v>49.608980418019613</v>
      </c>
      <c r="AB67" s="23">
        <f>EXP(-LN(2)/2)*AB66+(1-EXP(-LN(2)/2))/(LN(2)/2)*V67*Y67*VLOOKUP('Données projet'!$B$9,Paramètres!$A$1:$I$88,3,0)*0.475*44/12</f>
        <v>0</v>
      </c>
      <c r="AC67" s="24">
        <f t="shared" si="3"/>
        <v>113.13568702688337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67.14505179704841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3.600000000000005</v>
      </c>
      <c r="AI67" s="14">
        <f>IF('Données projet'!$A$62&gt;35,AI66+AH67-AQ66,IF(A67&lt;'Données projet'!$A$62,$AF$205^A67,IF(A67='Données projet'!$A$62,'Données projet'!$B$62,AI66+AH67-AQ66)))</f>
        <v>239.50000000000006</v>
      </c>
      <c r="AJ67" s="14">
        <f>AI67*VLOOKUP('Données projet'!$B$10,Paramètres!$A$1:$I$88,3,0)*VLOOKUP('Données projet'!$B$10,Paramètres!$A$1:$I$88,5,0)</f>
        <v>143.22100000000003</v>
      </c>
      <c r="AK67" s="14">
        <f t="shared" si="35"/>
        <v>37.033911681276003</v>
      </c>
      <c r="AL67" s="22">
        <f t="shared" si="4"/>
        <v>313.9439711782224</v>
      </c>
      <c r="AM67" s="62">
        <f t="shared" si="5"/>
        <v>596.80916110073326</v>
      </c>
      <c r="AN67" s="62">
        <f ca="1">AVERAGE(OFFSET($AM$3,0,0,'Données projet'!$E$10+1,1))-AVERAGE(OFFSET($H$3,0,0,'Données projet'!$E$10+1,1))</f>
        <v>231.96474801342879</v>
      </c>
      <c r="AO67" s="62">
        <f t="shared" si="36"/>
        <v>237.75726086383668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projet'!$B$10,Paramètres!$A$1:$I$88,7,0))</f>
        <v>0</v>
      </c>
      <c r="AS67" s="17">
        <f>IF(ISNA(VLOOKUP(A67,'Données projet'!$A$61:$I$81,6,0)),0%,VLOOKUP(A67,'Données projet'!$A$61:$I$81,6,0)*VLOOKUP('Données projet'!$B$10,Paramètres!$A$1:$I$88,7,0))</f>
        <v>0</v>
      </c>
      <c r="AT67" s="17">
        <f>IF(ISNA(VLOOKUP(A67,'Données projet'!$A$61:$I$81,7,0)),0%,VLOOKUP(A67,'Données projet'!$A$61:$I$81,7,0))</f>
        <v>0</v>
      </c>
      <c r="AU67" s="23">
        <f>EXP(-LN(2)/35)*AU66+(1-EXP(-LN(2)/35))/(LN(2)/35)*AQ67*AR67*VLOOKUP('Données projet'!$B$10,Paramètres!$A$1:$I$88,3,0)*0.475*44/12</f>
        <v>13.822196350669314</v>
      </c>
      <c r="AV67" s="23">
        <f>EXP(-LN(2)/25)*AV66+(1-EXP(-LN(2)/25))/(LN(2)/25)*Calculateur!AQ67*Calculateur!AS67*VLOOKUP('Données projet'!$B$10,Paramètres!$A$1:$I$88,3,0)*0.475*44/12</f>
        <v>17.194074877829387</v>
      </c>
      <c r="AW67" s="23">
        <f>EXP(-LN(2)/2)*AW66+(1-EXP(-LN(2)/2))/(LN(2)/2)*AQ67*AT67*VLOOKUP('Données projet'!$B$10,Paramètres!$A$1:$I$88,3,0)*0.475*44/12</f>
        <v>0</v>
      </c>
      <c r="AX67" s="23">
        <f t="shared" si="6"/>
        <v>31.016271228498702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67.14505179704841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17.7</v>
      </c>
      <c r="BD67" s="13">
        <f>IF('Données projet'!$A$88&gt;35,BD66+BC67-BL66,IF(A67&lt;'Données projet'!$A$88,$BA$205^A67,IF(A67='Données projet'!$A$88,'Données projet'!$B$88,BD66+BC67-BL66)))</f>
        <v>429.60000000000025</v>
      </c>
      <c r="BE67" s="14">
        <f>BD67*VLOOKUP('Données projet'!$B$11,Paramètres!$A$1:$I$88,3,0)*VLOOKUP('Données projet'!$B$11,Paramètres!$A$1:$I$88,5,0)</f>
        <v>201.05280000000013</v>
      </c>
      <c r="BF67" s="14">
        <f t="shared" si="37"/>
        <v>49.97547055404921</v>
      </c>
      <c r="BG67" s="22">
        <f t="shared" si="7"/>
        <v>437.20757121496928</v>
      </c>
      <c r="BH67" s="62">
        <f t="shared" si="8"/>
        <v>720.07276113748014</v>
      </c>
      <c r="BI67" s="62">
        <f ca="1">AVERAGE(OFFSET($BH$3,0,0,'Données projet'!$E$11+1,1))-AVERAGE(OFFSET($H$3,0,0,'Données projet'!$E$11+1,1))</f>
        <v>364.96458059055169</v>
      </c>
      <c r="BJ67" s="62">
        <f t="shared" si="38"/>
        <v>246.27159120786257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projet'!$B$11,Paramètres!$A$1:$I$88,7,0))</f>
        <v>0</v>
      </c>
      <c r="BN67" s="17">
        <f>IF(ISNA(VLOOKUP(A67,'Données projet'!$A$87:$I$107,6,0)),0%,VLOOKUP(A67,'Données projet'!$A$87:$I$107,6,0)*VLOOKUP('Données projet'!$B$11,Paramètres!$A$1:$I$88,7,0))</f>
        <v>0</v>
      </c>
      <c r="BO67" s="17">
        <f>IF(ISNA(VLOOKUP(A67,'Données projet'!$A$87:$I$107,7,0)),0%,VLOOKUP(A67,'Données projet'!$A$87:$I$107,7,0))</f>
        <v>0</v>
      </c>
      <c r="BP67" s="23">
        <f>EXP(-LN(2)/35)*BP66+(1-EXP(-LN(2)/35))/(LN(2)/35)*BL67*BM67*VLOOKUP('Données projet'!$B$11,Paramètres!$A$1:$I$88,3,0)*0.475*44/12</f>
        <v>30.756379578595912</v>
      </c>
      <c r="BQ67" s="23">
        <f>EXP(-LN(2)/25)*BQ66+(1-EXP(-LN(2)/25))/(LN(2)/25)*Calculateur!BL67*Calculateur!BN67*VLOOKUP('Données projet'!$B$11,Paramètres!$A$1:$I$88,3,0)*0.475*44/12</f>
        <v>17.968582948871294</v>
      </c>
      <c r="BR67" s="23">
        <f>EXP(-LN(2)/2)*BR66+(1-EXP(-LN(2)/2))/(LN(2)/2)*BL67*BO67*VLOOKUP('Données projet'!$B$11,Paramètres!$A$1:$I$88,3,0)*0.475*44/12</f>
        <v>0</v>
      </c>
      <c r="BS67" s="24">
        <f t="shared" si="9"/>
        <v>48.724962527467206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67.14505179704841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-1.1368683772161603E-13</v>
      </c>
      <c r="BZ67" s="14">
        <f>BY67*VLOOKUP('Données projet'!$B$12,Paramètres!$A$1:$I$88,3,0)*VLOOKUP('Données projet'!$B$12,Paramètres!$A$1:$I$88,5,0)</f>
        <v>-1.1527845344971866E-13</v>
      </c>
      <c r="CA67" s="14" t="e">
        <f t="shared" si="39"/>
        <v>#NUM!</v>
      </c>
      <c r="CB67" s="22" t="e">
        <f t="shared" si="10"/>
        <v>#NUM!</v>
      </c>
      <c r="CC67" s="62" t="e">
        <f t="shared" si="11"/>
        <v>#NUM!</v>
      </c>
      <c r="CD67" s="62">
        <f ca="1">AVERAGE(OFFSET($CC$3,0,0,'Données projet'!$E$12+1,1))-AVERAGE(OFFSET($H$3,0,0,'Données projet'!$E$12+1,1))</f>
        <v>310.53598044763282</v>
      </c>
      <c r="CE67" s="62">
        <f t="shared" si="40"/>
        <v>322.01096634040596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projet'!$B$12,Paramètres!$A$1:$I$88,7,0))</f>
        <v>0</v>
      </c>
      <c r="CI67" s="17">
        <f>IF(ISNA(VLOOKUP(A67,'Données projet'!$A$113:$I$133,6,0)),0%,VLOOKUP(A67,'Données projet'!$A$113:$I$133,6,0)*VLOOKUP('Données projet'!$B$12,Paramètres!$A$1:$I$88,7,0))</f>
        <v>0</v>
      </c>
      <c r="CJ67" s="17">
        <f>IF(ISNA(VLOOKUP(A67,'Données projet'!$A$113:$I$133,7,0)),0%,VLOOKUP(A67,'Données projet'!$A$113:$I$133,7,0))</f>
        <v>0</v>
      </c>
      <c r="CK67" s="23">
        <f>EXP(-LN(2)/35)*CK66+(1-EXP(-LN(2)/35))/(LN(2)/35)*CG67*CH67*VLOOKUP('Données projet'!$B$12,Paramètres!$A$1:$I$88,3,0)*0.475*44/12</f>
        <v>66.794600320637031</v>
      </c>
      <c r="CL67" s="23">
        <f>EXP(-LN(2)/25)*CL66+(1-EXP(-LN(2)/25))/(LN(2)/25)*Calculateur!CG67*Calculateur!CI67*VLOOKUP('Données projet'!$B$12,Paramètres!$A$1:$I$88,3,0)*0.475*44/12</f>
        <v>0</v>
      </c>
      <c r="CM67" s="23">
        <f>EXP(-LN(2)/2)*CM66+(1-EXP(-LN(2)/2))/(LN(2)/2)*CG67*CJ67*VLOOKUP('Données projet'!$B$12,Paramètres!$A$1:$I$88,3,0)*0.475*44/12</f>
        <v>0</v>
      </c>
      <c r="CN67" s="24">
        <f t="shared" si="12"/>
        <v>66.794600320637031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67.14505179704841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projet'!$B$13,Paramètres!$A$1:$I$88,3,0)*VLOOKUP('Données projet'!$B$13,Paramètres!$A$1:$I$88,5,0)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projet'!$B$13,Paramètres!$A$1:$I$88,7,0))</f>
        <v>0</v>
      </c>
      <c r="DD67" s="17">
        <f>IF(ISNA(VLOOKUP(A67,'Données projet'!$A$139:$I$159,6,0)),0%,VLOOKUP(A67,'Données projet'!$A$139:$I$159,6,0)*VLOOKUP('Données projet'!$B$13,Paramètres!$A$1:$I$88,7,0))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projet'!$B$13,Paramètres!$A$1:$I$88,3,0)*0.475*44/12</f>
        <v>#N/A</v>
      </c>
      <c r="DG67" s="23" t="e">
        <f>EXP(-LN(2)/25)*DG66+(1-EXP(-LN(2)/25))/(LN(2)/25)*Calculateur!DB67*Calculateur!DD67*VLOOKUP('Données projet'!$B$13,Paramètres!$A$1:$I$88,3,0)*0.475*44/12</f>
        <v>#N/A</v>
      </c>
      <c r="DH67" s="23" t="e">
        <f>EXP(-LN(2)/2)*DH66+(1-EXP(-LN(2)/2))/(LN(2)/2)*DB67*DE67*VLOOKUP('Données projet'!$B$13,Paramètres!$A$1:$I$88,3,0)*0.475*44/12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67.14505179704841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projet'!$B$14,Paramètres!$A$1:$I$88,3,0)*VLOOKUP('Données projet'!$B$14,Paramètres!$A$1:$I$88,5,0)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projet'!$B$14,Paramètres!$A$1:$I$88,7,0))</f>
        <v>0</v>
      </c>
      <c r="DY67" s="17">
        <f>IF(ISNA(VLOOKUP(A67,'Données projet'!$A$165:$I$185,6,0)),0%,VLOOKUP(A67,'Données projet'!$A$165:$I$185,6,0)*VLOOKUP('Données projet'!$B$14,Paramètres!$A$1:$I$88,7,0))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projet'!$B$14,Paramètres!$A$1:$I$88,3,0)*0.475*44/12</f>
        <v>#N/A</v>
      </c>
      <c r="EB67" s="23" t="e">
        <f>EXP(-LN(2)/25)*EB66+(1-EXP(-LN(2)/25))/(LN(2)/25)*Calculateur!DW67*Calculateur!DY67*VLOOKUP('Données projet'!$B$14,Paramètres!$A$1:$I$88,3,0)*0.475*44/12</f>
        <v>#N/A</v>
      </c>
      <c r="EC67" s="23" t="e">
        <f>EXP(-LN(2)/2)*EC66+(1-EXP(-LN(2)/2))/(LN(2)/2)*DW67*DZ67*VLOOKUP('Données projet'!$B$14,Paramètres!$A$1:$I$88,3,0)*0.475*44/12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67.14505179704841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projet'!$B$15,Paramètres!$A$1:$I$88,3,0)*VLOOKUP('Données projet'!$B$15,Paramètres!$A$1:$I$88,5,0)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projet'!$B$15,Paramètres!$A$1:$I$88,7,0))</f>
        <v>0</v>
      </c>
      <c r="ET67" s="17">
        <f>IF(ISNA(VLOOKUP(A67,'Données projet'!$A$191:$I$211,6,0)),0%,VLOOKUP(A67,'Données projet'!$A$191:$I$211,6,0)*VLOOKUP('Données projet'!$B$15,Paramètres!$A$1:$I$88,7,0))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projet'!$B$15,Paramètres!$A$1:$I$88,3,0)*0.475*44/12</f>
        <v>#N/A</v>
      </c>
      <c r="EW67" s="23" t="e">
        <f>EXP(-LN(2)/25)*EW66+(1-EXP(-LN(2)/25))/(LN(2)/25)*Calculateur!ER67*Calculateur!ET67*VLOOKUP('Données projet'!$B$15,Paramètres!$A$1:$I$88,3,0)*0.475*44/12</f>
        <v>#N/A</v>
      </c>
      <c r="EX67" s="23" t="e">
        <f>EXP(-LN(2)/2)*EX66+(1-EXP(-LN(2)/2))/(LN(2)/2)*ER67*EU67*VLOOKUP('Données projet'!$B$15,Paramètres!$A$1:$I$88,3,0)*0.475*44/12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67.14505179704841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projet'!$B$16,Paramètres!$A$1:$I$88,3,0)*VLOOKUP('Données projet'!$B$16,Paramètres!$A$1:$I$88,5,0)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projet'!$B$16,Paramètres!$A$1:$I$88,7,0))</f>
        <v>0</v>
      </c>
      <c r="FO67" s="17">
        <f>IF(ISNA(VLOOKUP(A67,'Données projet'!$A$217:$I$237,6,0)),0%,VLOOKUP(A67,'Données projet'!$A$217:$I$237,6,0)*VLOOKUP('Données projet'!$B$16,Paramètres!$A$1:$I$88,7,0))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projet'!$B$16,Paramètres!$A$1:$I$88,3,0)*0.475*44/12</f>
        <v>#N/A</v>
      </c>
      <c r="FR67" s="23" t="e">
        <f>EXP(-LN(2)/25)*FR66+(1-EXP(-LN(2)/25))/(LN(2)/25)*Calculateur!FM67*Calculateur!FO67*VLOOKUP('Données projet'!$B$16,Paramètres!$A$1:$I$88,3,0)*0.475*44/12</f>
        <v>#N/A</v>
      </c>
      <c r="FS67" s="23" t="e">
        <f>EXP(-LN(2)/2)*FS66+(1-EXP(-LN(2)/2))/(LN(2)/2)*FM67*FP67*VLOOKUP('Données projet'!$B$16,Paramètres!$A$1:$I$88,3,0)*0.475*44/12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67.14505179704841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projet'!$B$17,Paramètres!$A$1:$I$88,3,0)*VLOOKUP('Données projet'!$B$17,Paramètres!$A$1:$I$88,5,0)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projet'!$B$17,Paramètres!$A$1:$I$88,7,0))</f>
        <v>0</v>
      </c>
      <c r="GJ67" s="17">
        <f>IF(ISNA(VLOOKUP(A67,'Données projet'!$A$243:$I$263,6,0)),0%,VLOOKUP(A67,'Données projet'!$A$243:$I$263,6,0)*VLOOKUP('Données projet'!$B$17,Paramètres!$A$1:$I$88,7,0))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projet'!$B$17,Paramètres!$A$1:$I$88,3,0)*0.475*44/12</f>
        <v>#N/A</v>
      </c>
      <c r="GM67" s="23" t="e">
        <f>EXP(-LN(2)/25)*GM66+(1-EXP(-LN(2)/25))/(LN(2)/25)*Calculateur!GH67*Calculateur!GJ67*VLOOKUP('Données projet'!$B$17,Paramètres!$A$1:$I$88,3,0)*0.475*44/12</f>
        <v>#N/A</v>
      </c>
      <c r="GN67" s="23" t="e">
        <f>EXP(-LN(2)/2)*GN66+(1-EXP(-LN(2)/2))/(LN(2)/2)*GH67*GK67*VLOOKUP('Données projet'!$B$17,Paramètres!$A$1:$I$88,3,0)*0.475*44/12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67.14505179704841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projet'!$B$18,Paramètres!$A$1:$I$88,3,0)*VLOOKUP('Données projet'!$B$18,Paramètres!$A$1:$I$88,5,0)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projet'!$B$18,Paramètres!$A$1:$I$88,7,0))</f>
        <v>0</v>
      </c>
      <c r="HE67" s="17">
        <f>IF(ISNA(VLOOKUP(A67,'Données projet'!$A$269:$I$289,6,0)),0%,VLOOKUP(A67,'Données projet'!$A$269:$I$289,6,0)*VLOOKUP('Données projet'!$B$18,Paramètres!$A$1:$I$88,7,0))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projet'!$B$18,Paramètres!$A$1:$I$88,3,0)*0.475*44/12</f>
        <v>#N/A</v>
      </c>
      <c r="HH67" s="23" t="e">
        <f>EXP(-LN(2)/25)*HH66+(1-EXP(-LN(2)/25))/(LN(2)/25)*Calculateur!HC67*Calculateur!HE67*VLOOKUP('Données projet'!$B$18,Paramètres!$A$1:$I$88,3,0)*0.475*44/12</f>
        <v>#N/A</v>
      </c>
      <c r="HI67" s="23" t="e">
        <f>EXP(-LN(2)/2)*HI66+(1-EXP(-LN(2)/2))/(LN(2)/2)*HC67*HF67*VLOOKUP('Données projet'!$B$18,Paramètres!$A$1:$I$88,3,0)*0.475*44/12</f>
        <v>#N/A</v>
      </c>
      <c r="HJ67" s="24" t="e">
        <f t="shared" si="30"/>
        <v>#N/A</v>
      </c>
    </row>
    <row r="68" spans="1:218" s="5" customFormat="1" x14ac:dyDescent="0.35">
      <c r="A68" s="11">
        <f t="shared" si="31"/>
        <v>65</v>
      </c>
      <c r="B68" s="77">
        <f>'Scénario référence'!$B$16*5+'Scénario référence'!$B$17*0+'Scénario référence'!$B$18*5</f>
        <v>1.75</v>
      </c>
      <c r="C68" s="20">
        <f>Calculateur!C67+'Scénario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68" s="12">
        <f t="shared" si="3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6.416666666666667</v>
      </c>
      <c r="H68" s="70">
        <f t="shared" ref="H68:H131" si="56">(B68+E68+F68)*44/12+(C68+D68)*0.475*44/12</f>
        <v>231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67.194578765661632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14.428571428571429</v>
      </c>
      <c r="N68" s="14">
        <f>IF('Données projet'!$A$36&gt;35,N67+M68-V67,IF(A68&lt;'Données projet'!$A$36,$K$205^A68,IF(A68='Données projet'!$A$36,'Données projet'!$B$36,N67+M68-V67)))</f>
        <v>492.14285714285745</v>
      </c>
      <c r="O68" s="14">
        <f>N68*VLOOKUP('Données projet'!$B$9,Paramètres!$A$1:$I$88,3,0)*VLOOKUP('Données projet'!$B$9,Paramètres!$A$1:$I$88,5,0)</f>
        <v>275.10785714285731</v>
      </c>
      <c r="P68" s="14">
        <f t="shared" si="33"/>
        <v>65.932100275480451</v>
      </c>
      <c r="Q68" s="22">
        <f t="shared" si="54"/>
        <v>593.9779258369382</v>
      </c>
      <c r="R68" s="62">
        <f t="shared" si="55"/>
        <v>877.02471464436417</v>
      </c>
      <c r="S68" s="62">
        <f ca="1">AVERAGE(OFFSET($R$3,0,0,'Données projet'!$E$9+1,1))-AVERAGE(OFFSET($H$3,0,0,'Données projet'!$E$9+1,1))</f>
        <v>341.05096821796769</v>
      </c>
      <c r="T68" s="62">
        <f t="shared" si="34"/>
        <v>400.72519822215168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projet'!$B$9,Paramètres!$A$1:$I$88,7,0))</f>
        <v>0</v>
      </c>
      <c r="X68" s="17">
        <f>IF(ISNA(VLOOKUP(A68,'Données projet'!$A$35:$I$55,6,0)),0%,VLOOKUP(A68,'Données projet'!$A$35:$I$55,6,0)*VLOOKUP('Données projet'!$B$9,Paramètres!$A$1:$I$88,7,0))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projet'!$B$9,Paramètres!$A$1:$I$88,3,0)*0.475*44/12</f>
        <v>62.280986639728972</v>
      </c>
      <c r="AA68" s="23">
        <f>EXP(-LN(2)/25)*AA67+(1-EXP(-LN(2)/25))/(LN(2)/25)*Calculateur!V68*Calculateur!X68*VLOOKUP('Données projet'!$B$9,Paramètres!$A$1:$I$88,3,0)*0.475*44/12</f>
        <v>48.252420239665966</v>
      </c>
      <c r="AB68" s="23">
        <f>EXP(-LN(2)/2)*AB67+(1-EXP(-LN(2)/2))/(LN(2)/2)*V68*Y68*VLOOKUP('Données projet'!$B$9,Paramètres!$A$1:$I$88,3,0)*0.475*44/12</f>
        <v>0</v>
      </c>
      <c r="AC68" s="24">
        <f t="shared" ref="AC68:AC131" si="57">SUM(Z68:AB68)</f>
        <v>110.53340687939493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67.194578765661632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3.600000000000005</v>
      </c>
      <c r="AI68" s="14">
        <f>IF('Données projet'!$A$62&gt;35,AI67+AH68-AQ67,IF(A68&lt;'Données projet'!$A$62,$AF$205^A68,IF(A68='Données projet'!$A$62,'Données projet'!$B$62,AI67+AH68-AQ67)))</f>
        <v>243.10000000000005</v>
      </c>
      <c r="AJ68" s="14">
        <f>AI68*VLOOKUP('Données projet'!$B$10,Paramètres!$A$1:$I$88,3,0)*VLOOKUP('Données projet'!$B$10,Paramètres!$A$1:$I$88,5,0)</f>
        <v>145.37380000000005</v>
      </c>
      <c r="AK68" s="14">
        <f t="shared" si="35"/>
        <v>37.525355967546744</v>
      </c>
      <c r="AL68" s="22">
        <f t="shared" ref="AL68:AL131" si="58">(AJ68+AK68)*0.475*44/12</f>
        <v>318.54936331014397</v>
      </c>
      <c r="AM68" s="62">
        <f t="shared" ref="AM68:AM131" si="59">AL68+(AD68+AE68)*44/12</f>
        <v>601.59615211757</v>
      </c>
      <c r="AN68" s="62">
        <f ca="1">AVERAGE(OFFSET($AM$3,0,0,'Données projet'!$E$10+1,1))-AVERAGE(OFFSET($H$3,0,0,'Données projet'!$E$10+1,1))</f>
        <v>231.96474801342879</v>
      </c>
      <c r="AO68" s="62">
        <f t="shared" si="36"/>
        <v>237.75726086383668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projet'!$B$10,Paramètres!$A$1:$I$88,7,0))</f>
        <v>0</v>
      </c>
      <c r="AS68" s="17">
        <f>IF(ISNA(VLOOKUP(A68,'Données projet'!$A$61:$I$81,6,0)),0%,VLOOKUP(A68,'Données projet'!$A$61:$I$81,6,0)*VLOOKUP('Données projet'!$B$10,Paramètres!$A$1:$I$88,7,0))</f>
        <v>0</v>
      </c>
      <c r="AT68" s="17">
        <f>IF(ISNA(VLOOKUP(A68,'Données projet'!$A$61:$I$81,7,0)),0%,VLOOKUP(A68,'Données projet'!$A$61:$I$81,7,0))</f>
        <v>0</v>
      </c>
      <c r="AU68" s="23">
        <f>EXP(-LN(2)/35)*AU67+(1-EXP(-LN(2)/35))/(LN(2)/35)*AQ68*AR68*VLOOKUP('Données projet'!$B$10,Paramètres!$A$1:$I$88,3,0)*0.475*44/12</f>
        <v>13.551151510939999</v>
      </c>
      <c r="AV68" s="23">
        <f>EXP(-LN(2)/25)*AV67+(1-EXP(-LN(2)/25))/(LN(2)/25)*Calculateur!AQ68*Calculateur!AS68*VLOOKUP('Données projet'!$B$10,Paramètres!$A$1:$I$88,3,0)*0.475*44/12</f>
        <v>16.723901996098043</v>
      </c>
      <c r="AW68" s="23">
        <f>EXP(-LN(2)/2)*AW67+(1-EXP(-LN(2)/2))/(LN(2)/2)*AQ68*AT68*VLOOKUP('Données projet'!$B$10,Paramètres!$A$1:$I$88,3,0)*0.475*44/12</f>
        <v>0</v>
      </c>
      <c r="AX68" s="23">
        <f t="shared" ref="AX68:AX131" si="60">SUM(AU68:AW68)</f>
        <v>30.275053507038042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67.194578765661632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17.7</v>
      </c>
      <c r="BD68" s="13">
        <f>IF('Données projet'!$A$88&gt;35,BD67+BC68-BL67,IF(A68&lt;'Données projet'!$A$88,$BA$205^A68,IF(A68='Données projet'!$A$88,'Données projet'!$B$88,BD67+BC68-BL67)))</f>
        <v>447.30000000000024</v>
      </c>
      <c r="BE68" s="14">
        <f>BD68*VLOOKUP('Données projet'!$B$11,Paramètres!$A$1:$I$88,3,0)*VLOOKUP('Données projet'!$B$11,Paramètres!$A$1:$I$88,5,0)</f>
        <v>209.33640000000011</v>
      </c>
      <c r="BF68" s="14">
        <f t="shared" si="37"/>
        <v>51.790545701268393</v>
      </c>
      <c r="BG68" s="22">
        <f t="shared" ref="BG68:BG131" si="61">(BE68+BF68)*0.475*44/12</f>
        <v>454.79609709637595</v>
      </c>
      <c r="BH68" s="62">
        <f t="shared" ref="BH68:BH131" si="62">BG68+(AY68+AZ68)*44/12</f>
        <v>737.84288590380197</v>
      </c>
      <c r="BI68" s="62">
        <f ca="1">AVERAGE(OFFSET($BH$3,0,0,'Données projet'!$E$11+1,1))-AVERAGE(OFFSET($H$3,0,0,'Données projet'!$E$11+1,1))</f>
        <v>364.96458059055169</v>
      </c>
      <c r="BJ68" s="62">
        <f t="shared" si="38"/>
        <v>246.27159120786257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projet'!$B$11,Paramètres!$A$1:$I$88,7,0))</f>
        <v>0</v>
      </c>
      <c r="BN68" s="17">
        <f>IF(ISNA(VLOOKUP(A68,'Données projet'!$A$87:$I$107,6,0)),0%,VLOOKUP(A68,'Données projet'!$A$87:$I$107,6,0)*VLOOKUP('Données projet'!$B$11,Paramètres!$A$1:$I$88,7,0))</f>
        <v>0</v>
      </c>
      <c r="BO68" s="17">
        <f>IF(ISNA(VLOOKUP(A68,'Données projet'!$A$87:$I$107,7,0)),0%,VLOOKUP(A68,'Données projet'!$A$87:$I$107,7,0))</f>
        <v>0</v>
      </c>
      <c r="BP68" s="23">
        <f>EXP(-LN(2)/35)*BP67+(1-EXP(-LN(2)/35))/(LN(2)/35)*BL68*BM68*VLOOKUP('Données projet'!$B$11,Paramètres!$A$1:$I$88,3,0)*0.475*44/12</f>
        <v>30.15326573459884</v>
      </c>
      <c r="BQ68" s="23">
        <f>EXP(-LN(2)/25)*BQ67+(1-EXP(-LN(2)/25))/(LN(2)/25)*Calculateur!BL68*Calculateur!BN68*VLOOKUP('Données projet'!$B$11,Paramètres!$A$1:$I$88,3,0)*0.475*44/12</f>
        <v>17.4772311032077</v>
      </c>
      <c r="BR68" s="23">
        <f>EXP(-LN(2)/2)*BR67+(1-EXP(-LN(2)/2))/(LN(2)/2)*BL68*BO68*VLOOKUP('Données projet'!$B$11,Paramètres!$A$1:$I$88,3,0)*0.475*44/12</f>
        <v>0</v>
      </c>
      <c r="BS68" s="24">
        <f t="shared" ref="BS68:BS131" si="63">SUM(BP68:BR68)</f>
        <v>47.63049683780654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67.194578765661632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-1.1368683772161603E-13</v>
      </c>
      <c r="BZ68" s="14">
        <f>BY68*VLOOKUP('Données projet'!$B$12,Paramètres!$A$1:$I$88,3,0)*VLOOKUP('Données projet'!$B$12,Paramètres!$A$1:$I$88,5,0)</f>
        <v>-1.1527845344971866E-13</v>
      </c>
      <c r="CA68" s="14" t="e">
        <f t="shared" si="39"/>
        <v>#NUM!</v>
      </c>
      <c r="CB68" s="22" t="e">
        <f t="shared" ref="CB68:CB131" si="64">(BZ68+CA68)*0.475*44/12</f>
        <v>#NUM!</v>
      </c>
      <c r="CC68" s="62" t="e">
        <f t="shared" ref="CC68:CC131" si="65">CB68+(BT68+BU68)*44/12</f>
        <v>#NUM!</v>
      </c>
      <c r="CD68" s="62">
        <f ca="1">AVERAGE(OFFSET($CC$3,0,0,'Données projet'!$E$12+1,1))-AVERAGE(OFFSET($H$3,0,0,'Données projet'!$E$12+1,1))</f>
        <v>310.53598044763282</v>
      </c>
      <c r="CE68" s="62">
        <f t="shared" si="40"/>
        <v>322.01096634040596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projet'!$B$12,Paramètres!$A$1:$I$88,7,0))</f>
        <v>0</v>
      </c>
      <c r="CI68" s="17">
        <f>IF(ISNA(VLOOKUP(A68,'Données projet'!$A$113:$I$133,6,0)),0%,VLOOKUP(A68,'Données projet'!$A$113:$I$133,6,0)*VLOOKUP('Données projet'!$B$12,Paramètres!$A$1:$I$88,7,0))</f>
        <v>0</v>
      </c>
      <c r="CJ68" s="17">
        <f>IF(ISNA(VLOOKUP(A68,'Données projet'!$A$113:$I$133,7,0)),0%,VLOOKUP(A68,'Données projet'!$A$113:$I$133,7,0))</f>
        <v>0</v>
      </c>
      <c r="CK68" s="23">
        <f>EXP(-LN(2)/35)*CK67+(1-EXP(-LN(2)/35))/(LN(2)/35)*CG68*CH68*VLOOKUP('Données projet'!$B$12,Paramètres!$A$1:$I$88,3,0)*0.475*44/12</f>
        <v>65.484798949032722</v>
      </c>
      <c r="CL68" s="23">
        <f>EXP(-LN(2)/25)*CL67+(1-EXP(-LN(2)/25))/(LN(2)/25)*Calculateur!CG68*Calculateur!CI68*VLOOKUP('Données projet'!$B$12,Paramètres!$A$1:$I$88,3,0)*0.475*44/12</f>
        <v>0</v>
      </c>
      <c r="CM68" s="23">
        <f>EXP(-LN(2)/2)*CM67+(1-EXP(-LN(2)/2))/(LN(2)/2)*CG68*CJ68*VLOOKUP('Données projet'!$B$12,Paramètres!$A$1:$I$88,3,0)*0.475*44/12</f>
        <v>0</v>
      </c>
      <c r="CN68" s="24">
        <f t="shared" ref="CN68:CN131" si="66">SUM(CK68:CM68)</f>
        <v>65.484798949032722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67.194578765661632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projet'!$B$13,Paramètres!$A$1:$I$88,3,0)*VLOOKUP('Données projet'!$B$13,Paramètres!$A$1:$I$88,5,0)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projet'!$B$13,Paramètres!$A$1:$I$88,7,0))</f>
        <v>0</v>
      </c>
      <c r="DD68" s="17">
        <f>IF(ISNA(VLOOKUP(A68,'Données projet'!$A$139:$I$159,6,0)),0%,VLOOKUP(A68,'Données projet'!$A$139:$I$159,6,0)*VLOOKUP('Données projet'!$B$13,Paramètres!$A$1:$I$88,7,0))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projet'!$B$13,Paramètres!$A$1:$I$88,3,0)*0.475*44/12</f>
        <v>#N/A</v>
      </c>
      <c r="DG68" s="23" t="e">
        <f>EXP(-LN(2)/25)*DG67+(1-EXP(-LN(2)/25))/(LN(2)/25)*Calculateur!DB68*Calculateur!DD68*VLOOKUP('Données projet'!$B$13,Paramètres!$A$1:$I$88,3,0)*0.475*44/12</f>
        <v>#N/A</v>
      </c>
      <c r="DH68" s="23" t="e">
        <f>EXP(-LN(2)/2)*DH67+(1-EXP(-LN(2)/2))/(LN(2)/2)*DB68*DE68*VLOOKUP('Données projet'!$B$13,Paramètres!$A$1:$I$88,3,0)*0.475*44/12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67.194578765661632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projet'!$B$14,Paramètres!$A$1:$I$88,3,0)*VLOOKUP('Données projet'!$B$14,Paramètres!$A$1:$I$88,5,0)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projet'!$B$14,Paramètres!$A$1:$I$88,7,0))</f>
        <v>0</v>
      </c>
      <c r="DY68" s="17">
        <f>IF(ISNA(VLOOKUP(A68,'Données projet'!$A$165:$I$185,6,0)),0%,VLOOKUP(A68,'Données projet'!$A$165:$I$185,6,0)*VLOOKUP('Données projet'!$B$14,Paramètres!$A$1:$I$88,7,0))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projet'!$B$14,Paramètres!$A$1:$I$88,3,0)*0.475*44/12</f>
        <v>#N/A</v>
      </c>
      <c r="EB68" s="23" t="e">
        <f>EXP(-LN(2)/25)*EB67+(1-EXP(-LN(2)/25))/(LN(2)/25)*Calculateur!DW68*Calculateur!DY68*VLOOKUP('Données projet'!$B$14,Paramètres!$A$1:$I$88,3,0)*0.475*44/12</f>
        <v>#N/A</v>
      </c>
      <c r="EC68" s="23" t="e">
        <f>EXP(-LN(2)/2)*EC67+(1-EXP(-LN(2)/2))/(LN(2)/2)*DW68*DZ68*VLOOKUP('Données projet'!$B$14,Paramètres!$A$1:$I$88,3,0)*0.475*44/12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67.194578765661632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projet'!$B$15,Paramètres!$A$1:$I$88,3,0)*VLOOKUP('Données projet'!$B$15,Paramètres!$A$1:$I$88,5,0)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projet'!$B$15,Paramètres!$A$1:$I$88,7,0))</f>
        <v>0</v>
      </c>
      <c r="ET68" s="17">
        <f>IF(ISNA(VLOOKUP(A68,'Données projet'!$A$191:$I$211,6,0)),0%,VLOOKUP(A68,'Données projet'!$A$191:$I$211,6,0)*VLOOKUP('Données projet'!$B$15,Paramètres!$A$1:$I$88,7,0))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projet'!$B$15,Paramètres!$A$1:$I$88,3,0)*0.475*44/12</f>
        <v>#N/A</v>
      </c>
      <c r="EW68" s="23" t="e">
        <f>EXP(-LN(2)/25)*EW67+(1-EXP(-LN(2)/25))/(LN(2)/25)*Calculateur!ER68*Calculateur!ET68*VLOOKUP('Données projet'!$B$15,Paramètres!$A$1:$I$88,3,0)*0.475*44/12</f>
        <v>#N/A</v>
      </c>
      <c r="EX68" s="23" t="e">
        <f>EXP(-LN(2)/2)*EX67+(1-EXP(-LN(2)/2))/(LN(2)/2)*ER68*EU68*VLOOKUP('Données projet'!$B$15,Paramètres!$A$1:$I$88,3,0)*0.475*44/12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67.194578765661632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projet'!$B$16,Paramètres!$A$1:$I$88,3,0)*VLOOKUP('Données projet'!$B$16,Paramètres!$A$1:$I$88,5,0)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projet'!$B$16,Paramètres!$A$1:$I$88,7,0))</f>
        <v>0</v>
      </c>
      <c r="FO68" s="17">
        <f>IF(ISNA(VLOOKUP(A68,'Données projet'!$A$217:$I$237,6,0)),0%,VLOOKUP(A68,'Données projet'!$A$217:$I$237,6,0)*VLOOKUP('Données projet'!$B$16,Paramètres!$A$1:$I$88,7,0))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projet'!$B$16,Paramètres!$A$1:$I$88,3,0)*0.475*44/12</f>
        <v>#N/A</v>
      </c>
      <c r="FR68" s="23" t="e">
        <f>EXP(-LN(2)/25)*FR67+(1-EXP(-LN(2)/25))/(LN(2)/25)*Calculateur!FM68*Calculateur!FO68*VLOOKUP('Données projet'!$B$16,Paramètres!$A$1:$I$88,3,0)*0.475*44/12</f>
        <v>#N/A</v>
      </c>
      <c r="FS68" s="23" t="e">
        <f>EXP(-LN(2)/2)*FS67+(1-EXP(-LN(2)/2))/(LN(2)/2)*FM68*FP68*VLOOKUP('Données projet'!$B$16,Paramètres!$A$1:$I$88,3,0)*0.475*44/12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67.194578765661632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projet'!$B$17,Paramètres!$A$1:$I$88,3,0)*VLOOKUP('Données projet'!$B$17,Paramètres!$A$1:$I$88,5,0)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projet'!$B$17,Paramètres!$A$1:$I$88,7,0))</f>
        <v>0</v>
      </c>
      <c r="GJ68" s="17">
        <f>IF(ISNA(VLOOKUP(A68,'Données projet'!$A$243:$I$263,6,0)),0%,VLOOKUP(A68,'Données projet'!$A$243:$I$263,6,0)*VLOOKUP('Données projet'!$B$17,Paramètres!$A$1:$I$88,7,0))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projet'!$B$17,Paramètres!$A$1:$I$88,3,0)*0.475*44/12</f>
        <v>#N/A</v>
      </c>
      <c r="GM68" s="23" t="e">
        <f>EXP(-LN(2)/25)*GM67+(1-EXP(-LN(2)/25))/(LN(2)/25)*Calculateur!GH68*Calculateur!GJ68*VLOOKUP('Données projet'!$B$17,Paramètres!$A$1:$I$88,3,0)*0.475*44/12</f>
        <v>#N/A</v>
      </c>
      <c r="GN68" s="23" t="e">
        <f>EXP(-LN(2)/2)*GN67+(1-EXP(-LN(2)/2))/(LN(2)/2)*GH68*GK68*VLOOKUP('Données projet'!$B$17,Paramètres!$A$1:$I$88,3,0)*0.475*44/12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67.194578765661632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projet'!$B$18,Paramètres!$A$1:$I$88,3,0)*VLOOKUP('Données projet'!$B$18,Paramètres!$A$1:$I$88,5,0)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projet'!$B$18,Paramètres!$A$1:$I$88,7,0))</f>
        <v>0</v>
      </c>
      <c r="HE68" s="17">
        <f>IF(ISNA(VLOOKUP(A68,'Données projet'!$A$269:$I$289,6,0)),0%,VLOOKUP(A68,'Données projet'!$A$269:$I$289,6,0)*VLOOKUP('Données projet'!$B$18,Paramètres!$A$1:$I$88,7,0))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projet'!$B$18,Paramètres!$A$1:$I$88,3,0)*0.475*44/12</f>
        <v>#N/A</v>
      </c>
      <c r="HH68" s="23" t="e">
        <f>EXP(-LN(2)/25)*HH67+(1-EXP(-LN(2)/25))/(LN(2)/25)*Calculateur!HC68*Calculateur!HE68*VLOOKUP('Données projet'!$B$18,Paramètres!$A$1:$I$88,3,0)*0.475*44/12</f>
        <v>#N/A</v>
      </c>
      <c r="HI68" s="23" t="e">
        <f>EXP(-LN(2)/2)*HI67+(1-EXP(-LN(2)/2))/(LN(2)/2)*HC68*HF68*VLOOKUP('Données projet'!$B$18,Paramètres!$A$1:$I$88,3,0)*0.475*44/12</f>
        <v>#N/A</v>
      </c>
      <c r="HJ68" s="24" t="e">
        <f t="shared" ref="HJ68:HJ131" si="84">SUM(HG68:HI68)</f>
        <v>#N/A</v>
      </c>
    </row>
    <row r="69" spans="1:218" s="5" customFormat="1" x14ac:dyDescent="0.35">
      <c r="A69" s="11">
        <f t="shared" ref="A69:A132" si="85">A68+1</f>
        <v>66</v>
      </c>
      <c r="B69" s="77">
        <f>'Scénario référence'!$B$16*5+'Scénario référence'!$B$17*0+'Scénario référence'!$B$18*5</f>
        <v>1.75</v>
      </c>
      <c r="C69" s="20">
        <f>Calculateur!C68+'Scénario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69" s="12">
        <f t="shared" ref="D69:D132" si="86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6.416666666666667</v>
      </c>
      <c r="H69" s="70">
        <f t="shared" si="56"/>
        <v>231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67.24324655209513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14.428571428571429</v>
      </c>
      <c r="N69" s="14">
        <f>IF('Données projet'!$A$36&gt;35,N68+M69-V68,IF(A69&lt;'Données projet'!$A$36,$K$205^A69,IF(A69='Données projet'!$A$36,'Données projet'!$B$36,N68+M69-V68)))</f>
        <v>506.5714285714289</v>
      </c>
      <c r="O69" s="14">
        <f>N69*VLOOKUP('Données projet'!$B$9,Paramètres!$A$1:$I$88,3,0)*VLOOKUP('Données projet'!$B$9,Paramètres!$A$1:$I$88,5,0)</f>
        <v>283.17342857142876</v>
      </c>
      <c r="P69" s="14">
        <f t="shared" ref="P69:P132" si="87">EXP(-1.0587+0.8836*LN(O69)+0.284)</f>
        <v>67.637205052920223</v>
      </c>
      <c r="Q69" s="22">
        <f t="shared" si="54"/>
        <v>610.99518689574109</v>
      </c>
      <c r="R69" s="62">
        <f t="shared" si="55"/>
        <v>894.22042425342329</v>
      </c>
      <c r="S69" s="62">
        <f ca="1">AVERAGE(OFFSET($R$3,0,0,'Données projet'!$E$9+1,1))-AVERAGE(OFFSET($H$3,0,0,'Données projet'!$E$9+1,1))</f>
        <v>341.05096821796769</v>
      </c>
      <c r="T69" s="62">
        <f t="shared" ref="T69:T132" si="88">$T$3</f>
        <v>400.72519822215168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projet'!$B$9,Paramètres!$A$1:$I$88,7,0))</f>
        <v>0</v>
      </c>
      <c r="X69" s="17">
        <f>IF(ISNA(VLOOKUP(A69,'Données projet'!$A$35:$I$55,6,0)),0%,VLOOKUP(A69,'Données projet'!$A$35:$I$55,6,0)*VLOOKUP('Données projet'!$B$9,Paramètres!$A$1:$I$88,7,0))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projet'!$B$9,Paramètres!$A$1:$I$88,3,0)*0.475*44/12</f>
        <v>61.05969447937477</v>
      </c>
      <c r="AA69" s="23">
        <f>EXP(-LN(2)/25)*AA68+(1-EXP(-LN(2)/25))/(LN(2)/25)*Calculateur!V69*Calculateur!X69*VLOOKUP('Données projet'!$B$9,Paramètres!$A$1:$I$88,3,0)*0.475*44/12</f>
        <v>46.932955270727803</v>
      </c>
      <c r="AB69" s="23">
        <f>EXP(-LN(2)/2)*AB68+(1-EXP(-LN(2)/2))/(LN(2)/2)*V69*Y69*VLOOKUP('Données projet'!$B$9,Paramètres!$A$1:$I$88,3,0)*0.475*44/12</f>
        <v>0</v>
      </c>
      <c r="AC69" s="24">
        <f t="shared" si="57"/>
        <v>107.99264975010257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67.24324655209513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3.600000000000005</v>
      </c>
      <c r="AI69" s="14">
        <f>IF('Données projet'!$A$62&gt;35,AI68+AH69-AQ68,IF(A69&lt;'Données projet'!$A$62,$AF$205^A69,IF(A69='Données projet'!$A$62,'Données projet'!$B$62,AI68+AH69-AQ68)))</f>
        <v>246.70000000000005</v>
      </c>
      <c r="AJ69" s="14">
        <f>AI69*VLOOKUP('Données projet'!$B$10,Paramètres!$A$1:$I$88,3,0)*VLOOKUP('Données projet'!$B$10,Paramètres!$A$1:$I$88,5,0)</f>
        <v>147.52660000000003</v>
      </c>
      <c r="AK69" s="14">
        <f t="shared" ref="AK69:AK132" si="89">EXP(-1.0587+0.8836*LN(AJ69)+0.284)</f>
        <v>38.015953831032398</v>
      </c>
      <c r="AL69" s="22">
        <f t="shared" si="58"/>
        <v>323.15328125571477</v>
      </c>
      <c r="AM69" s="62">
        <f t="shared" si="59"/>
        <v>606.37851861339686</v>
      </c>
      <c r="AN69" s="62">
        <f ca="1">AVERAGE(OFFSET($AM$3,0,0,'Données projet'!$E$10+1,1))-AVERAGE(OFFSET($H$3,0,0,'Données projet'!$E$10+1,1))</f>
        <v>231.96474801342879</v>
      </c>
      <c r="AO69" s="62">
        <f t="shared" ref="AO69:AO132" si="90">$AO$3</f>
        <v>237.75726086383668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projet'!$B$10,Paramètres!$A$1:$I$88,7,0))</f>
        <v>0</v>
      </c>
      <c r="AS69" s="17">
        <f>IF(ISNA(VLOOKUP(A69,'Données projet'!$A$61:$I$81,6,0)),0%,VLOOKUP(A69,'Données projet'!$A$61:$I$81,6,0)*VLOOKUP('Données projet'!$B$10,Paramètres!$A$1:$I$88,7,0))</f>
        <v>0</v>
      </c>
      <c r="AT69" s="17">
        <f>IF(ISNA(VLOOKUP(A69,'Données projet'!$A$61:$I$81,7,0)),0%,VLOOKUP(A69,'Données projet'!$A$61:$I$81,7,0))</f>
        <v>0</v>
      </c>
      <c r="AU69" s="23">
        <f>EXP(-LN(2)/35)*AU68+(1-EXP(-LN(2)/35))/(LN(2)/35)*AQ69*AR69*VLOOKUP('Données projet'!$B$10,Paramètres!$A$1:$I$88,3,0)*0.475*44/12</f>
        <v>13.285421695196748</v>
      </c>
      <c r="AV69" s="23">
        <f>EXP(-LN(2)/25)*AV68+(1-EXP(-LN(2)/25))/(LN(2)/25)*Calculateur!AQ69*Calculateur!AS69*VLOOKUP('Données projet'!$B$10,Paramètres!$A$1:$I$88,3,0)*0.475*44/12</f>
        <v>16.266586016542959</v>
      </c>
      <c r="AW69" s="23">
        <f>EXP(-LN(2)/2)*AW68+(1-EXP(-LN(2)/2))/(LN(2)/2)*AQ69*AT69*VLOOKUP('Données projet'!$B$10,Paramètres!$A$1:$I$88,3,0)*0.475*44/12</f>
        <v>0</v>
      </c>
      <c r="AX69" s="23">
        <f t="shared" si="60"/>
        <v>29.552007711739705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67.24324655209513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>
        <f>VLOOKUP(A69,'Données projet'!$A$87:$I$107,2,0)</f>
        <v>465</v>
      </c>
      <c r="BB69" s="13">
        <f>VLOOKUP(A69,'Données projet'!$A$87:$I$107,9,0)</f>
        <v>17.7</v>
      </c>
      <c r="BC69" s="13">
        <f t="array" ref="BC69">INDEX(BB:BB,MIN(IF(ISNUMBER(BB69:BB265),ROW(BB69:BB265),"")))</f>
        <v>17.7</v>
      </c>
      <c r="BD69" s="13">
        <f>IF('Données projet'!$A$88&gt;35,BD68+BC69-BL68,IF(A69&lt;'Données projet'!$A$88,$BA$205^A69,IF(A69='Données projet'!$A$88,'Données projet'!$B$88,BD68+BC69-BL68)))</f>
        <v>465.00000000000023</v>
      </c>
      <c r="BE69" s="14">
        <f>BD69*VLOOKUP('Données projet'!$B$11,Paramètres!$A$1:$I$88,3,0)*VLOOKUP('Données projet'!$B$11,Paramètres!$A$1:$I$88,5,0)</f>
        <v>217.62000000000009</v>
      </c>
      <c r="BF69" s="14">
        <f t="shared" ref="BF69:BF132" si="91">EXP(-1.0587+0.8836*LN(BE69)+0.284)</f>
        <v>53.597277471320098</v>
      </c>
      <c r="BG69" s="22">
        <f t="shared" si="61"/>
        <v>472.37009159588268</v>
      </c>
      <c r="BH69" s="62">
        <f t="shared" si="62"/>
        <v>755.59532895356483</v>
      </c>
      <c r="BI69" s="62">
        <f ca="1">AVERAGE(OFFSET($BH$3,0,0,'Données projet'!$E$11+1,1))-AVERAGE(OFFSET($H$3,0,0,'Données projet'!$E$11+1,1))</f>
        <v>364.96458059055169</v>
      </c>
      <c r="BJ69" s="62">
        <f t="shared" ref="BJ69:BJ132" si="92">$BJ$3</f>
        <v>246.27159120786257</v>
      </c>
      <c r="BK69" s="16">
        <f>IF(ISNA(VLOOKUP(A69,'Données projet'!$A$87:$I$107,3,0)),0,VLOOKUP(A69,'Données projet'!$A$87:$I$107,3,0))</f>
        <v>3</v>
      </c>
      <c r="BL69" s="16">
        <f>IF(ISNA(VLOOKUP(A69,'Données projet'!$A$87:$I$107,4,0)),0,VLOOKUP(A69,'Données projet'!$A$87:$I$107,4,0))</f>
        <v>101</v>
      </c>
      <c r="BM69" s="17">
        <f>IF(ISNA(VLOOKUP(A69,'Données projet'!$A$87:$I$107,5,0)),0%,VLOOKUP(A69,'Données projet'!$A$87:$I$107,5,0)*VLOOKUP('Données projet'!$B$11,Paramètres!$A$1:$I$88,7,0))</f>
        <v>0.38499999999999995</v>
      </c>
      <c r="BN69" s="17">
        <f>IF(ISNA(VLOOKUP(A69,'Données projet'!$A$87:$I$107,6,0)),0%,VLOOKUP(A69,'Données projet'!$A$87:$I$107,6,0)*VLOOKUP('Données projet'!$B$11,Paramètres!$A$1:$I$88,7,0))</f>
        <v>0.16500000000000001</v>
      </c>
      <c r="BO69" s="17">
        <f>IF(ISNA(VLOOKUP(A69,'Données projet'!$A$87:$I$107,7,0)),0%,VLOOKUP(A69,'Données projet'!$A$87:$I$107,7,0))</f>
        <v>0</v>
      </c>
      <c r="BP69" s="23">
        <f>EXP(-LN(2)/35)*BP68+(1-EXP(-LN(2)/35))/(LN(2)/35)*BL69*BM69*VLOOKUP('Données projet'!$B$11,Paramètres!$A$1:$I$88,3,0)*0.475*44/12</f>
        <v>53.703037326910156</v>
      </c>
      <c r="BQ69" s="23">
        <f>EXP(-LN(2)/25)*BQ68+(1-EXP(-LN(2)/25))/(LN(2)/25)*Calculateur!BL69*Calculateur!BN69*VLOOKUP('Données projet'!$B$11,Paramètres!$A$1:$I$88,3,0)*0.475*44/12</f>
        <v>27.304746526014348</v>
      </c>
      <c r="BR69" s="23">
        <f>EXP(-LN(2)/2)*BR68+(1-EXP(-LN(2)/2))/(LN(2)/2)*BL69*BO69*VLOOKUP('Données projet'!$B$11,Paramètres!$A$1:$I$88,3,0)*0.475*44/12</f>
        <v>0</v>
      </c>
      <c r="BS69" s="24">
        <f t="shared" si="63"/>
        <v>81.007783852924504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67.24324655209513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-1.1368683772161603E-13</v>
      </c>
      <c r="BZ69" s="14">
        <f>BY69*VLOOKUP('Données projet'!$B$12,Paramètres!$A$1:$I$88,3,0)*VLOOKUP('Données projet'!$B$12,Paramètres!$A$1:$I$88,5,0)</f>
        <v>-1.1527845344971866E-13</v>
      </c>
      <c r="CA69" s="14" t="e">
        <f t="shared" ref="CA69:CA132" si="93">EXP(-1.0587+0.8836*LN(BZ69)+0.284)</f>
        <v>#NUM!</v>
      </c>
      <c r="CB69" s="22" t="e">
        <f t="shared" si="64"/>
        <v>#NUM!</v>
      </c>
      <c r="CC69" s="62" t="e">
        <f t="shared" si="65"/>
        <v>#NUM!</v>
      </c>
      <c r="CD69" s="62">
        <f ca="1">AVERAGE(OFFSET($CC$3,0,0,'Données projet'!$E$12+1,1))-AVERAGE(OFFSET($H$3,0,0,'Données projet'!$E$12+1,1))</f>
        <v>310.53598044763282</v>
      </c>
      <c r="CE69" s="62">
        <f t="shared" ref="CE69:CE132" si="94">$CE$3</f>
        <v>322.01096634040596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projet'!$B$12,Paramètres!$A$1:$I$88,7,0))</f>
        <v>0</v>
      </c>
      <c r="CI69" s="17">
        <f>IF(ISNA(VLOOKUP(A69,'Données projet'!$A$113:$I$133,6,0)),0%,VLOOKUP(A69,'Données projet'!$A$113:$I$133,6,0)*VLOOKUP('Données projet'!$B$12,Paramètres!$A$1:$I$88,7,0))</f>
        <v>0</v>
      </c>
      <c r="CJ69" s="17">
        <f>IF(ISNA(VLOOKUP(A69,'Données projet'!$A$113:$I$133,7,0)),0%,VLOOKUP(A69,'Données projet'!$A$113:$I$133,7,0))</f>
        <v>0</v>
      </c>
      <c r="CK69" s="23">
        <f>EXP(-LN(2)/35)*CK68+(1-EXP(-LN(2)/35))/(LN(2)/35)*CG69*CH69*VLOOKUP('Données projet'!$B$12,Paramètres!$A$1:$I$88,3,0)*0.475*44/12</f>
        <v>64.200681983425625</v>
      </c>
      <c r="CL69" s="23">
        <f>EXP(-LN(2)/25)*CL68+(1-EXP(-LN(2)/25))/(LN(2)/25)*Calculateur!CG69*Calculateur!CI69*VLOOKUP('Données projet'!$B$12,Paramètres!$A$1:$I$88,3,0)*0.475*44/12</f>
        <v>0</v>
      </c>
      <c r="CM69" s="23">
        <f>EXP(-LN(2)/2)*CM68+(1-EXP(-LN(2)/2))/(LN(2)/2)*CG69*CJ69*VLOOKUP('Données projet'!$B$12,Paramètres!$A$1:$I$88,3,0)*0.475*44/12</f>
        <v>0</v>
      </c>
      <c r="CN69" s="24">
        <f t="shared" si="66"/>
        <v>64.200681983425625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67.24324655209513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projet'!$B$13,Paramètres!$A$1:$I$88,3,0)*VLOOKUP('Données projet'!$B$13,Paramètres!$A$1:$I$88,5,0)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projet'!$B$13,Paramètres!$A$1:$I$88,7,0))</f>
        <v>0</v>
      </c>
      <c r="DD69" s="17">
        <f>IF(ISNA(VLOOKUP(A69,'Données projet'!$A$139:$I$159,6,0)),0%,VLOOKUP(A69,'Données projet'!$A$139:$I$159,6,0)*VLOOKUP('Données projet'!$B$13,Paramètres!$A$1:$I$88,7,0))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projet'!$B$13,Paramètres!$A$1:$I$88,3,0)*0.475*44/12</f>
        <v>#N/A</v>
      </c>
      <c r="DG69" s="23" t="e">
        <f>EXP(-LN(2)/25)*DG68+(1-EXP(-LN(2)/25))/(LN(2)/25)*Calculateur!DB69*Calculateur!DD69*VLOOKUP('Données projet'!$B$13,Paramètres!$A$1:$I$88,3,0)*0.475*44/12</f>
        <v>#N/A</v>
      </c>
      <c r="DH69" s="23" t="e">
        <f>EXP(-LN(2)/2)*DH68+(1-EXP(-LN(2)/2))/(LN(2)/2)*DB69*DE69*VLOOKUP('Données projet'!$B$13,Paramètres!$A$1:$I$88,3,0)*0.475*44/12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67.24324655209513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projet'!$B$14,Paramètres!$A$1:$I$88,3,0)*VLOOKUP('Données projet'!$B$14,Paramètres!$A$1:$I$88,5,0)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projet'!$B$14,Paramètres!$A$1:$I$88,7,0))</f>
        <v>0</v>
      </c>
      <c r="DY69" s="17">
        <f>IF(ISNA(VLOOKUP(A69,'Données projet'!$A$165:$I$185,6,0)),0%,VLOOKUP(A69,'Données projet'!$A$165:$I$185,6,0)*VLOOKUP('Données projet'!$B$14,Paramètres!$A$1:$I$88,7,0))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projet'!$B$14,Paramètres!$A$1:$I$88,3,0)*0.475*44/12</f>
        <v>#N/A</v>
      </c>
      <c r="EB69" s="23" t="e">
        <f>EXP(-LN(2)/25)*EB68+(1-EXP(-LN(2)/25))/(LN(2)/25)*Calculateur!DW69*Calculateur!DY69*VLOOKUP('Données projet'!$B$14,Paramètres!$A$1:$I$88,3,0)*0.475*44/12</f>
        <v>#N/A</v>
      </c>
      <c r="EC69" s="23" t="e">
        <f>EXP(-LN(2)/2)*EC68+(1-EXP(-LN(2)/2))/(LN(2)/2)*DW69*DZ69*VLOOKUP('Données projet'!$B$14,Paramètres!$A$1:$I$88,3,0)*0.475*44/12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67.24324655209513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projet'!$B$15,Paramètres!$A$1:$I$88,3,0)*VLOOKUP('Données projet'!$B$15,Paramètres!$A$1:$I$88,5,0)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projet'!$B$15,Paramètres!$A$1:$I$88,7,0))</f>
        <v>0</v>
      </c>
      <c r="ET69" s="17">
        <f>IF(ISNA(VLOOKUP(A69,'Données projet'!$A$191:$I$211,6,0)),0%,VLOOKUP(A69,'Données projet'!$A$191:$I$211,6,0)*VLOOKUP('Données projet'!$B$15,Paramètres!$A$1:$I$88,7,0))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projet'!$B$15,Paramètres!$A$1:$I$88,3,0)*0.475*44/12</f>
        <v>#N/A</v>
      </c>
      <c r="EW69" s="23" t="e">
        <f>EXP(-LN(2)/25)*EW68+(1-EXP(-LN(2)/25))/(LN(2)/25)*Calculateur!ER69*Calculateur!ET69*VLOOKUP('Données projet'!$B$15,Paramètres!$A$1:$I$88,3,0)*0.475*44/12</f>
        <v>#N/A</v>
      </c>
      <c r="EX69" s="23" t="e">
        <f>EXP(-LN(2)/2)*EX68+(1-EXP(-LN(2)/2))/(LN(2)/2)*ER69*EU69*VLOOKUP('Données projet'!$B$15,Paramètres!$A$1:$I$88,3,0)*0.475*44/12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67.24324655209513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projet'!$B$16,Paramètres!$A$1:$I$88,3,0)*VLOOKUP('Données projet'!$B$16,Paramètres!$A$1:$I$88,5,0)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projet'!$B$16,Paramètres!$A$1:$I$88,7,0))</f>
        <v>0</v>
      </c>
      <c r="FO69" s="17">
        <f>IF(ISNA(VLOOKUP(A69,'Données projet'!$A$217:$I$237,6,0)),0%,VLOOKUP(A69,'Données projet'!$A$217:$I$237,6,0)*VLOOKUP('Données projet'!$B$16,Paramètres!$A$1:$I$88,7,0))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projet'!$B$16,Paramètres!$A$1:$I$88,3,0)*0.475*44/12</f>
        <v>#N/A</v>
      </c>
      <c r="FR69" s="23" t="e">
        <f>EXP(-LN(2)/25)*FR68+(1-EXP(-LN(2)/25))/(LN(2)/25)*Calculateur!FM69*Calculateur!FO69*VLOOKUP('Données projet'!$B$16,Paramètres!$A$1:$I$88,3,0)*0.475*44/12</f>
        <v>#N/A</v>
      </c>
      <c r="FS69" s="23" t="e">
        <f>EXP(-LN(2)/2)*FS68+(1-EXP(-LN(2)/2))/(LN(2)/2)*FM69*FP69*VLOOKUP('Données projet'!$B$16,Paramètres!$A$1:$I$88,3,0)*0.475*44/12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67.24324655209513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projet'!$B$17,Paramètres!$A$1:$I$88,3,0)*VLOOKUP('Données projet'!$B$17,Paramètres!$A$1:$I$88,5,0)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projet'!$B$17,Paramètres!$A$1:$I$88,7,0))</f>
        <v>0</v>
      </c>
      <c r="GJ69" s="17">
        <f>IF(ISNA(VLOOKUP(A69,'Données projet'!$A$243:$I$263,6,0)),0%,VLOOKUP(A69,'Données projet'!$A$243:$I$263,6,0)*VLOOKUP('Données projet'!$B$17,Paramètres!$A$1:$I$88,7,0))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projet'!$B$17,Paramètres!$A$1:$I$88,3,0)*0.475*44/12</f>
        <v>#N/A</v>
      </c>
      <c r="GM69" s="23" t="e">
        <f>EXP(-LN(2)/25)*GM68+(1-EXP(-LN(2)/25))/(LN(2)/25)*Calculateur!GH69*Calculateur!GJ69*VLOOKUP('Données projet'!$B$17,Paramètres!$A$1:$I$88,3,0)*0.475*44/12</f>
        <v>#N/A</v>
      </c>
      <c r="GN69" s="23" t="e">
        <f>EXP(-LN(2)/2)*GN68+(1-EXP(-LN(2)/2))/(LN(2)/2)*GH69*GK69*VLOOKUP('Données projet'!$B$17,Paramètres!$A$1:$I$88,3,0)*0.475*44/12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67.24324655209513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projet'!$B$18,Paramètres!$A$1:$I$88,3,0)*VLOOKUP('Données projet'!$B$18,Paramètres!$A$1:$I$88,5,0)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projet'!$B$18,Paramètres!$A$1:$I$88,7,0))</f>
        <v>0</v>
      </c>
      <c r="HE69" s="17">
        <f>IF(ISNA(VLOOKUP(A69,'Données projet'!$A$269:$I$289,6,0)),0%,VLOOKUP(A69,'Données projet'!$A$269:$I$289,6,0)*VLOOKUP('Données projet'!$B$18,Paramètres!$A$1:$I$88,7,0))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projet'!$B$18,Paramètres!$A$1:$I$88,3,0)*0.475*44/12</f>
        <v>#N/A</v>
      </c>
      <c r="HH69" s="23" t="e">
        <f>EXP(-LN(2)/25)*HH68+(1-EXP(-LN(2)/25))/(LN(2)/25)*Calculateur!HC69*Calculateur!HE69*VLOOKUP('Données projet'!$B$18,Paramètres!$A$1:$I$88,3,0)*0.475*44/12</f>
        <v>#N/A</v>
      </c>
      <c r="HI69" s="23" t="e">
        <f>EXP(-LN(2)/2)*HI68+(1-EXP(-LN(2)/2))/(LN(2)/2)*HC69*HF69*VLOOKUP('Données projet'!$B$18,Paramètres!$A$1:$I$88,3,0)*0.475*44/12</f>
        <v>#N/A</v>
      </c>
      <c r="HJ69" s="24" t="e">
        <f t="shared" si="84"/>
        <v>#N/A</v>
      </c>
    </row>
    <row r="70" spans="1:218" s="5" customFormat="1" x14ac:dyDescent="0.35">
      <c r="A70" s="11">
        <f t="shared" si="85"/>
        <v>67</v>
      </c>
      <c r="B70" s="77">
        <f>'Scénario référence'!$B$16*5+'Scénario référence'!$B$17*0+'Scénario référence'!$B$18*5</f>
        <v>1.75</v>
      </c>
      <c r="C70" s="20">
        <f>Calculateur!C69+'Scénario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70" s="12">
        <f t="shared" si="86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6.416666666666667</v>
      </c>
      <c r="H70" s="70">
        <f t="shared" si="56"/>
        <v>231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67.291070061238884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>
        <f>VLOOKUP(A70,'Données projet'!$A$35:$I$55,2,0)</f>
        <v>521</v>
      </c>
      <c r="L70" s="13">
        <f>VLOOKUP(A70,'Données projet'!$A$35:$I$55,9,0)</f>
        <v>14.428571428571429</v>
      </c>
      <c r="M70" s="13">
        <f t="array" ref="M70">INDEX(L:L,MIN(IF(ISNUMBER(L70:L266),ROW(L70:L266),"")))</f>
        <v>14.428571428571429</v>
      </c>
      <c r="N70" s="14">
        <f>IF('Données projet'!$A$36&gt;35,N69+M70-V69,IF(A70&lt;'Données projet'!$A$36,$K$205^A70,IF(A70='Données projet'!$A$36,'Données projet'!$B$36,N69+M70-V69)))</f>
        <v>521.00000000000034</v>
      </c>
      <c r="O70" s="14">
        <f>N70*VLOOKUP('Données projet'!$B$9,Paramètres!$A$1:$I$88,3,0)*VLOOKUP('Données projet'!$B$9,Paramètres!$A$1:$I$88,5,0)</f>
        <v>291.2390000000002</v>
      </c>
      <c r="P70" s="14">
        <f t="shared" si="87"/>
        <v>69.336665284362454</v>
      </c>
      <c r="Q70" s="22">
        <f t="shared" si="54"/>
        <v>628.00261703693161</v>
      </c>
      <c r="R70" s="62">
        <f t="shared" si="55"/>
        <v>911.40320726147411</v>
      </c>
      <c r="S70" s="62">
        <f ca="1">AVERAGE(OFFSET($R$3,0,0,'Données projet'!$E$9+1,1))-AVERAGE(OFFSET($H$3,0,0,'Données projet'!$E$9+1,1))</f>
        <v>341.05096821796769</v>
      </c>
      <c r="T70" s="62">
        <f t="shared" si="88"/>
        <v>400.72519822215168</v>
      </c>
      <c r="U70" s="16">
        <f>IF(ISNA(VLOOKUP(A70,'Données projet'!$A$35:$I$55,3,0)),0,VLOOKUP(A70,'Données projet'!$A$35:$I$55,3,0))</f>
        <v>7</v>
      </c>
      <c r="V70" s="16">
        <f>IF(ISNA(VLOOKUP(A70,'Données projet'!$A$35:$I$55,4,0)),0,VLOOKUP(A70,'Données projet'!$A$35:$I$55,4,0))</f>
        <v>521</v>
      </c>
      <c r="W70" s="17">
        <f>IF(ISNA(VLOOKUP(A70,'Données projet'!$A$35:$I$55,5,0)),0%,VLOOKUP(A70,'Données projet'!$A$35:$I$55,5,0)*VLOOKUP('Données projet'!$B$9,Paramètres!$A$1:$I$88,7,0))</f>
        <v>0.38500000000000001</v>
      </c>
      <c r="X70" s="17">
        <f>IF(ISNA(VLOOKUP(A70,'Données projet'!$A$35:$I$55,6,0)),0%,VLOOKUP(A70,'Données projet'!$A$35:$I$55,6,0)*VLOOKUP('Données projet'!$B$9,Paramètres!$A$1:$I$88,7,0))</f>
        <v>0.16500000000000001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projet'!$B$9,Paramètres!$A$1:$I$88,3,0)*0.475*44/12</f>
        <v>208.60606370690664</v>
      </c>
      <c r="AA70" s="23">
        <f>EXP(-LN(2)/25)*AA69+(1-EXP(-LN(2)/25))/(LN(2)/25)*Calculateur!V70*Calculateur!X70*VLOOKUP('Données projet'!$B$9,Paramètres!$A$1:$I$88,3,0)*0.475*44/12</f>
        <v>109.14587910700615</v>
      </c>
      <c r="AB70" s="23">
        <f>EXP(-LN(2)/2)*AB69+(1-EXP(-LN(2)/2))/(LN(2)/2)*V70*Y70*VLOOKUP('Données projet'!$B$9,Paramètres!$A$1:$I$88,3,0)*0.475*44/12</f>
        <v>0</v>
      </c>
      <c r="AC70" s="24">
        <f t="shared" si="57"/>
        <v>317.75194281391282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67.291070061238884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3.600000000000005</v>
      </c>
      <c r="AI70" s="14">
        <f>IF('Données projet'!$A$62&gt;35,AI69+AH70-AQ69,IF(A70&lt;'Données projet'!$A$62,$AF$205^A70,IF(A70='Données projet'!$A$62,'Données projet'!$B$62,AI69+AH70-AQ69)))</f>
        <v>250.30000000000004</v>
      </c>
      <c r="AJ70" s="14">
        <f>AI70*VLOOKUP('Données projet'!$B$10,Paramètres!$A$1:$I$88,3,0)*VLOOKUP('Données projet'!$B$10,Paramètres!$A$1:$I$88,5,0)</f>
        <v>149.67940000000004</v>
      </c>
      <c r="AK70" s="14">
        <f t="shared" si="89"/>
        <v>38.505719050259138</v>
      </c>
      <c r="AL70" s="22">
        <f t="shared" si="58"/>
        <v>327.75574901253469</v>
      </c>
      <c r="AM70" s="62">
        <f t="shared" si="59"/>
        <v>611.15633923707719</v>
      </c>
      <c r="AN70" s="62">
        <f ca="1">AVERAGE(OFFSET($AM$3,0,0,'Données projet'!$E$10+1,1))-AVERAGE(OFFSET($H$3,0,0,'Données projet'!$E$10+1,1))</f>
        <v>231.96474801342879</v>
      </c>
      <c r="AO70" s="62">
        <f t="shared" si="90"/>
        <v>237.75726086383668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projet'!$B$10,Paramètres!$A$1:$I$88,7,0))</f>
        <v>0</v>
      </c>
      <c r="AS70" s="17">
        <f>IF(ISNA(VLOOKUP(A70,'Données projet'!$A$61:$I$81,6,0)),0%,VLOOKUP(A70,'Données projet'!$A$61:$I$81,6,0)*VLOOKUP('Données projet'!$B$10,Paramètres!$A$1:$I$88,7,0))</f>
        <v>0</v>
      </c>
      <c r="AT70" s="17">
        <f>IF(ISNA(VLOOKUP(A70,'Données projet'!$A$61:$I$81,7,0)),0%,VLOOKUP(A70,'Données projet'!$A$61:$I$81,7,0))</f>
        <v>0</v>
      </c>
      <c r="AU70" s="23">
        <f>EXP(-LN(2)/35)*AU69+(1-EXP(-LN(2)/35))/(LN(2)/35)*AQ70*AR70*VLOOKUP('Données projet'!$B$10,Paramètres!$A$1:$I$88,3,0)*0.475*44/12</f>
        <v>13.024902679061038</v>
      </c>
      <c r="AV70" s="23">
        <f>EXP(-LN(2)/25)*AV69+(1-EXP(-LN(2)/25))/(LN(2)/25)*Calculateur!AQ70*Calculateur!AS70*VLOOKUP('Données projet'!$B$10,Paramètres!$A$1:$I$88,3,0)*0.475*44/12</f>
        <v>15.821775366498011</v>
      </c>
      <c r="AW70" s="23">
        <f>EXP(-LN(2)/2)*AW69+(1-EXP(-LN(2)/2))/(LN(2)/2)*AQ70*AT70*VLOOKUP('Données projet'!$B$10,Paramètres!$A$1:$I$88,3,0)*0.475*44/12</f>
        <v>0</v>
      </c>
      <c r="AX70" s="23">
        <f t="shared" si="60"/>
        <v>28.846678045559049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67.291070061238884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16.7</v>
      </c>
      <c r="BD70" s="13">
        <f>IF('Données projet'!$A$88&gt;35,BD69+BC70-BL69,IF(A70&lt;'Données projet'!$A$88,$BA$205^A70,IF(A70='Données projet'!$A$88,'Données projet'!$B$88,BD69+BC70-BL69)))</f>
        <v>380.70000000000022</v>
      </c>
      <c r="BE70" s="14">
        <f>BD70*VLOOKUP('Données projet'!$B$11,Paramètres!$A$1:$I$88,3,0)*VLOOKUP('Données projet'!$B$11,Paramètres!$A$1:$I$88,5,0)</f>
        <v>178.16760000000011</v>
      </c>
      <c r="BF70" s="14">
        <f t="shared" si="91"/>
        <v>44.914268468753512</v>
      </c>
      <c r="BG70" s="22">
        <f t="shared" si="61"/>
        <v>388.53425424974586</v>
      </c>
      <c r="BH70" s="62">
        <f t="shared" si="62"/>
        <v>671.93484447428841</v>
      </c>
      <c r="BI70" s="62">
        <f ca="1">AVERAGE(OFFSET($BH$3,0,0,'Données projet'!$E$11+1,1))-AVERAGE(OFFSET($H$3,0,0,'Données projet'!$E$11+1,1))</f>
        <v>364.96458059055169</v>
      </c>
      <c r="BJ70" s="62">
        <f t="shared" si="92"/>
        <v>246.27159120786257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projet'!$B$11,Paramètres!$A$1:$I$88,7,0))</f>
        <v>0</v>
      </c>
      <c r="BN70" s="17">
        <f>IF(ISNA(VLOOKUP(A70,'Données projet'!$A$87:$I$107,6,0)),0%,VLOOKUP(A70,'Données projet'!$A$87:$I$107,6,0)*VLOOKUP('Données projet'!$B$11,Paramètres!$A$1:$I$88,7,0))</f>
        <v>0</v>
      </c>
      <c r="BO70" s="17">
        <f>IF(ISNA(VLOOKUP(A70,'Données projet'!$A$87:$I$107,7,0)),0%,VLOOKUP(A70,'Données projet'!$A$87:$I$107,7,0))</f>
        <v>0</v>
      </c>
      <c r="BP70" s="23">
        <f>EXP(-LN(2)/35)*BP69+(1-EXP(-LN(2)/35))/(LN(2)/35)*BL70*BM70*VLOOKUP('Données projet'!$B$11,Paramètres!$A$1:$I$88,3,0)*0.475*44/12</f>
        <v>52.649953520547868</v>
      </c>
      <c r="BQ70" s="23">
        <f>EXP(-LN(2)/25)*BQ69+(1-EXP(-LN(2)/25))/(LN(2)/25)*Calculateur!BL70*Calculateur!BN70*VLOOKUP('Données projet'!$B$11,Paramètres!$A$1:$I$88,3,0)*0.475*44/12</f>
        <v>26.558096796366272</v>
      </c>
      <c r="BR70" s="23">
        <f>EXP(-LN(2)/2)*BR69+(1-EXP(-LN(2)/2))/(LN(2)/2)*BL70*BO70*VLOOKUP('Données projet'!$B$11,Paramètres!$A$1:$I$88,3,0)*0.475*44/12</f>
        <v>0</v>
      </c>
      <c r="BS70" s="24">
        <f t="shared" si="63"/>
        <v>79.208050316914139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67.291070061238884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-1.1368683772161603E-13</v>
      </c>
      <c r="BZ70" s="14">
        <f>BY70*VLOOKUP('Données projet'!$B$12,Paramètres!$A$1:$I$88,3,0)*VLOOKUP('Données projet'!$B$12,Paramètres!$A$1:$I$88,5,0)</f>
        <v>-1.1527845344971866E-13</v>
      </c>
      <c r="CA70" s="14" t="e">
        <f t="shared" si="93"/>
        <v>#NUM!</v>
      </c>
      <c r="CB70" s="22" t="e">
        <f t="shared" si="64"/>
        <v>#NUM!</v>
      </c>
      <c r="CC70" s="62" t="e">
        <f t="shared" si="65"/>
        <v>#NUM!</v>
      </c>
      <c r="CD70" s="62">
        <f ca="1">AVERAGE(OFFSET($CC$3,0,0,'Données projet'!$E$12+1,1))-AVERAGE(OFFSET($H$3,0,0,'Données projet'!$E$12+1,1))</f>
        <v>310.53598044763282</v>
      </c>
      <c r="CE70" s="62">
        <f t="shared" si="94"/>
        <v>322.01096634040596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projet'!$B$12,Paramètres!$A$1:$I$88,7,0))</f>
        <v>0</v>
      </c>
      <c r="CI70" s="17">
        <f>IF(ISNA(VLOOKUP(A70,'Données projet'!$A$113:$I$133,6,0)),0%,VLOOKUP(A70,'Données projet'!$A$113:$I$133,6,0)*VLOOKUP('Données projet'!$B$12,Paramètres!$A$1:$I$88,7,0))</f>
        <v>0</v>
      </c>
      <c r="CJ70" s="17">
        <f>IF(ISNA(VLOOKUP(A70,'Données projet'!$A$113:$I$133,7,0)),0%,VLOOKUP(A70,'Données projet'!$A$113:$I$133,7,0))</f>
        <v>0</v>
      </c>
      <c r="CK70" s="23">
        <f>EXP(-LN(2)/35)*CK69+(1-EXP(-LN(2)/35))/(LN(2)/35)*CG70*CH70*VLOOKUP('Données projet'!$B$12,Paramètres!$A$1:$I$88,3,0)*0.475*44/12</f>
        <v>62.941745768280072</v>
      </c>
      <c r="CL70" s="23">
        <f>EXP(-LN(2)/25)*CL69+(1-EXP(-LN(2)/25))/(LN(2)/25)*Calculateur!CG70*Calculateur!CI70*VLOOKUP('Données projet'!$B$12,Paramètres!$A$1:$I$88,3,0)*0.475*44/12</f>
        <v>0</v>
      </c>
      <c r="CM70" s="23">
        <f>EXP(-LN(2)/2)*CM69+(1-EXP(-LN(2)/2))/(LN(2)/2)*CG70*CJ70*VLOOKUP('Données projet'!$B$12,Paramètres!$A$1:$I$88,3,0)*0.475*44/12</f>
        <v>0</v>
      </c>
      <c r="CN70" s="24">
        <f t="shared" si="66"/>
        <v>62.941745768280072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67.291070061238884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projet'!$B$13,Paramètres!$A$1:$I$88,3,0)*VLOOKUP('Données projet'!$B$13,Paramètres!$A$1:$I$88,5,0)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projet'!$B$13,Paramètres!$A$1:$I$88,7,0))</f>
        <v>0</v>
      </c>
      <c r="DD70" s="17">
        <f>IF(ISNA(VLOOKUP(A70,'Données projet'!$A$139:$I$159,6,0)),0%,VLOOKUP(A70,'Données projet'!$A$139:$I$159,6,0)*VLOOKUP('Données projet'!$B$13,Paramètres!$A$1:$I$88,7,0))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projet'!$B$13,Paramètres!$A$1:$I$88,3,0)*0.475*44/12</f>
        <v>#N/A</v>
      </c>
      <c r="DG70" s="23" t="e">
        <f>EXP(-LN(2)/25)*DG69+(1-EXP(-LN(2)/25))/(LN(2)/25)*Calculateur!DB70*Calculateur!DD70*VLOOKUP('Données projet'!$B$13,Paramètres!$A$1:$I$88,3,0)*0.475*44/12</f>
        <v>#N/A</v>
      </c>
      <c r="DH70" s="23" t="e">
        <f>EXP(-LN(2)/2)*DH69+(1-EXP(-LN(2)/2))/(LN(2)/2)*DB70*DE70*VLOOKUP('Données projet'!$B$13,Paramètres!$A$1:$I$88,3,0)*0.475*44/12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67.291070061238884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projet'!$B$14,Paramètres!$A$1:$I$88,3,0)*VLOOKUP('Données projet'!$B$14,Paramètres!$A$1:$I$88,5,0)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projet'!$B$14,Paramètres!$A$1:$I$88,7,0))</f>
        <v>0</v>
      </c>
      <c r="DY70" s="17">
        <f>IF(ISNA(VLOOKUP(A70,'Données projet'!$A$165:$I$185,6,0)),0%,VLOOKUP(A70,'Données projet'!$A$165:$I$185,6,0)*VLOOKUP('Données projet'!$B$14,Paramètres!$A$1:$I$88,7,0))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projet'!$B$14,Paramètres!$A$1:$I$88,3,0)*0.475*44/12</f>
        <v>#N/A</v>
      </c>
      <c r="EB70" s="23" t="e">
        <f>EXP(-LN(2)/25)*EB69+(1-EXP(-LN(2)/25))/(LN(2)/25)*Calculateur!DW70*Calculateur!DY70*VLOOKUP('Données projet'!$B$14,Paramètres!$A$1:$I$88,3,0)*0.475*44/12</f>
        <v>#N/A</v>
      </c>
      <c r="EC70" s="23" t="e">
        <f>EXP(-LN(2)/2)*EC69+(1-EXP(-LN(2)/2))/(LN(2)/2)*DW70*DZ70*VLOOKUP('Données projet'!$B$14,Paramètres!$A$1:$I$88,3,0)*0.475*44/12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67.291070061238884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projet'!$B$15,Paramètres!$A$1:$I$88,3,0)*VLOOKUP('Données projet'!$B$15,Paramètres!$A$1:$I$88,5,0)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projet'!$B$15,Paramètres!$A$1:$I$88,7,0))</f>
        <v>0</v>
      </c>
      <c r="ET70" s="17">
        <f>IF(ISNA(VLOOKUP(A70,'Données projet'!$A$191:$I$211,6,0)),0%,VLOOKUP(A70,'Données projet'!$A$191:$I$211,6,0)*VLOOKUP('Données projet'!$B$15,Paramètres!$A$1:$I$88,7,0))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projet'!$B$15,Paramètres!$A$1:$I$88,3,0)*0.475*44/12</f>
        <v>#N/A</v>
      </c>
      <c r="EW70" s="23" t="e">
        <f>EXP(-LN(2)/25)*EW69+(1-EXP(-LN(2)/25))/(LN(2)/25)*Calculateur!ER70*Calculateur!ET70*VLOOKUP('Données projet'!$B$15,Paramètres!$A$1:$I$88,3,0)*0.475*44/12</f>
        <v>#N/A</v>
      </c>
      <c r="EX70" s="23" t="e">
        <f>EXP(-LN(2)/2)*EX69+(1-EXP(-LN(2)/2))/(LN(2)/2)*ER70*EU70*VLOOKUP('Données projet'!$B$15,Paramètres!$A$1:$I$88,3,0)*0.475*44/12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67.291070061238884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projet'!$B$16,Paramètres!$A$1:$I$88,3,0)*VLOOKUP('Données projet'!$B$16,Paramètres!$A$1:$I$88,5,0)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projet'!$B$16,Paramètres!$A$1:$I$88,7,0))</f>
        <v>0</v>
      </c>
      <c r="FO70" s="17">
        <f>IF(ISNA(VLOOKUP(A70,'Données projet'!$A$217:$I$237,6,0)),0%,VLOOKUP(A70,'Données projet'!$A$217:$I$237,6,0)*VLOOKUP('Données projet'!$B$16,Paramètres!$A$1:$I$88,7,0))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projet'!$B$16,Paramètres!$A$1:$I$88,3,0)*0.475*44/12</f>
        <v>#N/A</v>
      </c>
      <c r="FR70" s="23" t="e">
        <f>EXP(-LN(2)/25)*FR69+(1-EXP(-LN(2)/25))/(LN(2)/25)*Calculateur!FM70*Calculateur!FO70*VLOOKUP('Données projet'!$B$16,Paramètres!$A$1:$I$88,3,0)*0.475*44/12</f>
        <v>#N/A</v>
      </c>
      <c r="FS70" s="23" t="e">
        <f>EXP(-LN(2)/2)*FS69+(1-EXP(-LN(2)/2))/(LN(2)/2)*FM70*FP70*VLOOKUP('Données projet'!$B$16,Paramètres!$A$1:$I$88,3,0)*0.475*44/12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67.291070061238884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projet'!$B$17,Paramètres!$A$1:$I$88,3,0)*VLOOKUP('Données projet'!$B$17,Paramètres!$A$1:$I$88,5,0)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projet'!$B$17,Paramètres!$A$1:$I$88,7,0))</f>
        <v>0</v>
      </c>
      <c r="GJ70" s="17">
        <f>IF(ISNA(VLOOKUP(A70,'Données projet'!$A$243:$I$263,6,0)),0%,VLOOKUP(A70,'Données projet'!$A$243:$I$263,6,0)*VLOOKUP('Données projet'!$B$17,Paramètres!$A$1:$I$88,7,0))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projet'!$B$17,Paramètres!$A$1:$I$88,3,0)*0.475*44/12</f>
        <v>#N/A</v>
      </c>
      <c r="GM70" s="23" t="e">
        <f>EXP(-LN(2)/25)*GM69+(1-EXP(-LN(2)/25))/(LN(2)/25)*Calculateur!GH70*Calculateur!GJ70*VLOOKUP('Données projet'!$B$17,Paramètres!$A$1:$I$88,3,0)*0.475*44/12</f>
        <v>#N/A</v>
      </c>
      <c r="GN70" s="23" t="e">
        <f>EXP(-LN(2)/2)*GN69+(1-EXP(-LN(2)/2))/(LN(2)/2)*GH70*GK70*VLOOKUP('Données projet'!$B$17,Paramètres!$A$1:$I$88,3,0)*0.475*44/12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67.291070061238884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projet'!$B$18,Paramètres!$A$1:$I$88,3,0)*VLOOKUP('Données projet'!$B$18,Paramètres!$A$1:$I$88,5,0)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projet'!$B$18,Paramètres!$A$1:$I$88,7,0))</f>
        <v>0</v>
      </c>
      <c r="HE70" s="17">
        <f>IF(ISNA(VLOOKUP(A70,'Données projet'!$A$269:$I$289,6,0)),0%,VLOOKUP(A70,'Données projet'!$A$269:$I$289,6,0)*VLOOKUP('Données projet'!$B$18,Paramètres!$A$1:$I$88,7,0))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projet'!$B$18,Paramètres!$A$1:$I$88,3,0)*0.475*44/12</f>
        <v>#N/A</v>
      </c>
      <c r="HH70" s="23" t="e">
        <f>EXP(-LN(2)/25)*HH69+(1-EXP(-LN(2)/25))/(LN(2)/25)*Calculateur!HC70*Calculateur!HE70*VLOOKUP('Données projet'!$B$18,Paramètres!$A$1:$I$88,3,0)*0.475*44/12</f>
        <v>#N/A</v>
      </c>
      <c r="HI70" s="23" t="e">
        <f>EXP(-LN(2)/2)*HI69+(1-EXP(-LN(2)/2))/(LN(2)/2)*HC70*HF70*VLOOKUP('Données projet'!$B$18,Paramètres!$A$1:$I$88,3,0)*0.475*44/12</f>
        <v>#N/A</v>
      </c>
      <c r="HJ70" s="24" t="e">
        <f t="shared" si="84"/>
        <v>#N/A</v>
      </c>
    </row>
    <row r="71" spans="1:218" s="5" customFormat="1" x14ac:dyDescent="0.35">
      <c r="A71" s="11">
        <f t="shared" si="85"/>
        <v>68</v>
      </c>
      <c r="B71" s="77">
        <f>'Scénario référence'!$B$16*5+'Scénario référence'!$B$17*0+'Scénario référence'!$B$18*5</f>
        <v>1.75</v>
      </c>
      <c r="C71" s="20">
        <f>Calculateur!C70+'Scénario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71" s="12">
        <f t="shared" si="86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6.416666666666667</v>
      </c>
      <c r="H71" s="70">
        <f t="shared" si="56"/>
        <v>231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67.338063939416344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3.4106051316484809E-13</v>
      </c>
      <c r="O71" s="14">
        <f>N71*VLOOKUP('Données projet'!$B$9,Paramètres!$A$1:$I$88,3,0)*VLOOKUP('Données projet'!$B$9,Paramètres!$A$1:$I$88,5,0)</f>
        <v>1.9065282685915009E-13</v>
      </c>
      <c r="P71" s="14">
        <f t="shared" si="87"/>
        <v>2.6568987209435707E-12</v>
      </c>
      <c r="Q71" s="22">
        <f t="shared" si="54"/>
        <v>4.959485612423072E-12</v>
      </c>
      <c r="R71" s="62">
        <f t="shared" si="55"/>
        <v>283.57290111119823</v>
      </c>
      <c r="S71" s="62">
        <f ca="1">AVERAGE(OFFSET($R$3,0,0,'Données projet'!$E$9+1,1))-AVERAGE(OFFSET($H$3,0,0,'Données projet'!$E$9+1,1))</f>
        <v>341.05096821796769</v>
      </c>
      <c r="T71" s="62">
        <f t="shared" si="88"/>
        <v>400.72519822215168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projet'!$B$9,Paramètres!$A$1:$I$88,7,0))</f>
        <v>0</v>
      </c>
      <c r="X71" s="17">
        <f>IF(ISNA(VLOOKUP(A71,'Données projet'!$A$35:$I$55,6,0)),0%,VLOOKUP(A71,'Données projet'!$A$35:$I$55,6,0)*VLOOKUP('Données projet'!$B$9,Paramètres!$A$1:$I$88,7,0))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projet'!$B$9,Paramètres!$A$1:$I$88,3,0)*0.475*44/12</f>
        <v>204.51542603474942</v>
      </c>
      <c r="AA71" s="23">
        <f>EXP(-LN(2)/25)*AA70+(1-EXP(-LN(2)/25))/(LN(2)/25)*Calculateur!V71*Calculateur!X71*VLOOKUP('Données projet'!$B$9,Paramètres!$A$1:$I$88,3,0)*0.475*44/12</f>
        <v>106.16127930309274</v>
      </c>
      <c r="AB71" s="23">
        <f>EXP(-LN(2)/2)*AB70+(1-EXP(-LN(2)/2))/(LN(2)/2)*V71*Y71*VLOOKUP('Données projet'!$B$9,Paramètres!$A$1:$I$88,3,0)*0.475*44/12</f>
        <v>0</v>
      </c>
      <c r="AC71" s="24">
        <f t="shared" si="57"/>
        <v>310.67670533784218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67.338063939416344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3.600000000000005</v>
      </c>
      <c r="AI71" s="14">
        <f>IF('Données projet'!$A$62&gt;35,AI70+AH71-AQ70,IF(A71&lt;'Données projet'!$A$62,$AF$205^A71,IF(A71='Données projet'!$A$62,'Données projet'!$B$62,AI70+AH71-AQ70)))</f>
        <v>253.90000000000003</v>
      </c>
      <c r="AJ71" s="14">
        <f>AI71*VLOOKUP('Données projet'!$B$10,Paramètres!$A$1:$I$88,3,0)*VLOOKUP('Données projet'!$B$10,Paramètres!$A$1:$I$88,5,0)</f>
        <v>151.83220000000003</v>
      </c>
      <c r="AK71" s="14">
        <f t="shared" si="89"/>
        <v>38.994664984647713</v>
      </c>
      <c r="AL71" s="22">
        <f t="shared" si="58"/>
        <v>332.35678984826143</v>
      </c>
      <c r="AM71" s="62">
        <f t="shared" si="59"/>
        <v>615.92969095945477</v>
      </c>
      <c r="AN71" s="62">
        <f ca="1">AVERAGE(OFFSET($AM$3,0,0,'Données projet'!$E$10+1,1))-AVERAGE(OFFSET($H$3,0,0,'Données projet'!$E$10+1,1))</f>
        <v>231.96474801342879</v>
      </c>
      <c r="AO71" s="62">
        <f t="shared" si="90"/>
        <v>237.75726086383668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projet'!$B$10,Paramètres!$A$1:$I$88,7,0))</f>
        <v>0</v>
      </c>
      <c r="AS71" s="17">
        <f>IF(ISNA(VLOOKUP(A71,'Données projet'!$A$61:$I$81,6,0)),0%,VLOOKUP(A71,'Données projet'!$A$61:$I$81,6,0)*VLOOKUP('Données projet'!$B$10,Paramètres!$A$1:$I$88,7,0))</f>
        <v>0</v>
      </c>
      <c r="AT71" s="17">
        <f>IF(ISNA(VLOOKUP(A71,'Données projet'!$A$61:$I$81,7,0)),0%,VLOOKUP(A71,'Données projet'!$A$61:$I$81,7,0))</f>
        <v>0</v>
      </c>
      <c r="AU71" s="23">
        <f>EXP(-LN(2)/35)*AU70+(1-EXP(-LN(2)/35))/(LN(2)/35)*AQ71*AR71*VLOOKUP('Données projet'!$B$10,Paramètres!$A$1:$I$88,3,0)*0.475*44/12</f>
        <v>12.769492281930839</v>
      </c>
      <c r="AV71" s="23">
        <f>EXP(-LN(2)/25)*AV70+(1-EXP(-LN(2)/25))/(LN(2)/25)*Calculateur!AQ71*Calculateur!AS71*VLOOKUP('Données projet'!$B$10,Paramètres!$A$1:$I$88,3,0)*0.475*44/12</f>
        <v>15.389128087070118</v>
      </c>
      <c r="AW71" s="23">
        <f>EXP(-LN(2)/2)*AW70+(1-EXP(-LN(2)/2))/(LN(2)/2)*AQ71*AT71*VLOOKUP('Données projet'!$B$10,Paramètres!$A$1:$I$88,3,0)*0.475*44/12</f>
        <v>0</v>
      </c>
      <c r="AX71" s="23">
        <f t="shared" si="60"/>
        <v>28.158620369000957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67.338063939416344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16.7</v>
      </c>
      <c r="BD71" s="13">
        <f>IF('Données projet'!$A$88&gt;35,BD70+BC71-BL70,IF(A71&lt;'Données projet'!$A$88,$BA$205^A71,IF(A71='Données projet'!$A$88,'Données projet'!$B$88,BD70+BC71-BL70)))</f>
        <v>397.4000000000002</v>
      </c>
      <c r="BE71" s="14">
        <f>BD71*VLOOKUP('Données projet'!$B$11,Paramètres!$A$1:$I$88,3,0)*VLOOKUP('Données projet'!$B$11,Paramètres!$A$1:$I$88,5,0)</f>
        <v>185.9832000000001</v>
      </c>
      <c r="BF71" s="14">
        <f t="shared" si="91"/>
        <v>46.650794034675904</v>
      </c>
      <c r="BG71" s="22">
        <f t="shared" si="61"/>
        <v>405.17087294372732</v>
      </c>
      <c r="BH71" s="62">
        <f t="shared" si="62"/>
        <v>688.74377405492055</v>
      </c>
      <c r="BI71" s="62">
        <f ca="1">AVERAGE(OFFSET($BH$3,0,0,'Données projet'!$E$11+1,1))-AVERAGE(OFFSET($H$3,0,0,'Données projet'!$E$11+1,1))</f>
        <v>364.96458059055169</v>
      </c>
      <c r="BJ71" s="62">
        <f t="shared" si="92"/>
        <v>246.27159120786257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projet'!$B$11,Paramètres!$A$1:$I$88,7,0))</f>
        <v>0</v>
      </c>
      <c r="BN71" s="17">
        <f>IF(ISNA(VLOOKUP(A71,'Données projet'!$A$87:$I$107,6,0)),0%,VLOOKUP(A71,'Données projet'!$A$87:$I$107,6,0)*VLOOKUP('Données projet'!$B$11,Paramètres!$A$1:$I$88,7,0))</f>
        <v>0</v>
      </c>
      <c r="BO71" s="17">
        <f>IF(ISNA(VLOOKUP(A71,'Données projet'!$A$87:$I$107,7,0)),0%,VLOOKUP(A71,'Données projet'!$A$87:$I$107,7,0))</f>
        <v>0</v>
      </c>
      <c r="BP71" s="23">
        <f>EXP(-LN(2)/35)*BP70+(1-EXP(-LN(2)/35))/(LN(2)/35)*BL71*BM71*VLOOKUP('Données projet'!$B$11,Paramètres!$A$1:$I$88,3,0)*0.475*44/12</f>
        <v>51.617520045310648</v>
      </c>
      <c r="BQ71" s="23">
        <f>EXP(-LN(2)/25)*BQ70+(1-EXP(-LN(2)/25))/(LN(2)/25)*Calculateur!BL71*Calculateur!BN71*VLOOKUP('Données projet'!$B$11,Paramètres!$A$1:$I$88,3,0)*0.475*44/12</f>
        <v>25.831864242840023</v>
      </c>
      <c r="BR71" s="23">
        <f>EXP(-LN(2)/2)*BR70+(1-EXP(-LN(2)/2))/(LN(2)/2)*BL71*BO71*VLOOKUP('Données projet'!$B$11,Paramètres!$A$1:$I$88,3,0)*0.475*44/12</f>
        <v>0</v>
      </c>
      <c r="BS71" s="24">
        <f t="shared" si="63"/>
        <v>77.449384288150668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67.338063939416344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-1.1368683772161603E-13</v>
      </c>
      <c r="BZ71" s="14">
        <f>BY71*VLOOKUP('Données projet'!$B$12,Paramètres!$A$1:$I$88,3,0)*VLOOKUP('Données projet'!$B$12,Paramètres!$A$1:$I$88,5,0)</f>
        <v>-1.1527845344971866E-13</v>
      </c>
      <c r="CA71" s="14" t="e">
        <f t="shared" si="93"/>
        <v>#NUM!</v>
      </c>
      <c r="CB71" s="22" t="e">
        <f t="shared" si="64"/>
        <v>#NUM!</v>
      </c>
      <c r="CC71" s="62" t="e">
        <f t="shared" si="65"/>
        <v>#NUM!</v>
      </c>
      <c r="CD71" s="62">
        <f ca="1">AVERAGE(OFFSET($CC$3,0,0,'Données projet'!$E$12+1,1))-AVERAGE(OFFSET($H$3,0,0,'Données projet'!$E$12+1,1))</f>
        <v>310.53598044763282</v>
      </c>
      <c r="CE71" s="62">
        <f t="shared" si="94"/>
        <v>322.01096634040596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projet'!$B$12,Paramètres!$A$1:$I$88,7,0))</f>
        <v>0</v>
      </c>
      <c r="CI71" s="17">
        <f>IF(ISNA(VLOOKUP(A71,'Données projet'!$A$113:$I$133,6,0)),0%,VLOOKUP(A71,'Données projet'!$A$113:$I$133,6,0)*VLOOKUP('Données projet'!$B$12,Paramètres!$A$1:$I$88,7,0))</f>
        <v>0</v>
      </c>
      <c r="CJ71" s="17">
        <f>IF(ISNA(VLOOKUP(A71,'Données projet'!$A$113:$I$133,7,0)),0%,VLOOKUP(A71,'Données projet'!$A$113:$I$133,7,0))</f>
        <v>0</v>
      </c>
      <c r="CK71" s="23">
        <f>EXP(-LN(2)/35)*CK70+(1-EXP(-LN(2)/35))/(LN(2)/35)*CG71*CH71*VLOOKUP('Données projet'!$B$12,Paramètres!$A$1:$I$88,3,0)*0.475*44/12</f>
        <v>61.707496524438255</v>
      </c>
      <c r="CL71" s="23">
        <f>EXP(-LN(2)/25)*CL70+(1-EXP(-LN(2)/25))/(LN(2)/25)*Calculateur!CG71*Calculateur!CI71*VLOOKUP('Données projet'!$B$12,Paramètres!$A$1:$I$88,3,0)*0.475*44/12</f>
        <v>0</v>
      </c>
      <c r="CM71" s="23">
        <f>EXP(-LN(2)/2)*CM70+(1-EXP(-LN(2)/2))/(LN(2)/2)*CG71*CJ71*VLOOKUP('Données projet'!$B$12,Paramètres!$A$1:$I$88,3,0)*0.475*44/12</f>
        <v>0</v>
      </c>
      <c r="CN71" s="24">
        <f t="shared" si="66"/>
        <v>61.707496524438255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67.338063939416344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projet'!$B$13,Paramètres!$A$1:$I$88,3,0)*VLOOKUP('Données projet'!$B$13,Paramètres!$A$1:$I$88,5,0)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projet'!$B$13,Paramètres!$A$1:$I$88,7,0))</f>
        <v>0</v>
      </c>
      <c r="DD71" s="17">
        <f>IF(ISNA(VLOOKUP(A71,'Données projet'!$A$139:$I$159,6,0)),0%,VLOOKUP(A71,'Données projet'!$A$139:$I$159,6,0)*VLOOKUP('Données projet'!$B$13,Paramètres!$A$1:$I$88,7,0))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projet'!$B$13,Paramètres!$A$1:$I$88,3,0)*0.475*44/12</f>
        <v>#N/A</v>
      </c>
      <c r="DG71" s="23" t="e">
        <f>EXP(-LN(2)/25)*DG70+(1-EXP(-LN(2)/25))/(LN(2)/25)*Calculateur!DB71*Calculateur!DD71*VLOOKUP('Données projet'!$B$13,Paramètres!$A$1:$I$88,3,0)*0.475*44/12</f>
        <v>#N/A</v>
      </c>
      <c r="DH71" s="23" t="e">
        <f>EXP(-LN(2)/2)*DH70+(1-EXP(-LN(2)/2))/(LN(2)/2)*DB71*DE71*VLOOKUP('Données projet'!$B$13,Paramètres!$A$1:$I$88,3,0)*0.475*44/12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67.338063939416344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projet'!$B$14,Paramètres!$A$1:$I$88,3,0)*VLOOKUP('Données projet'!$B$14,Paramètres!$A$1:$I$88,5,0)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projet'!$B$14,Paramètres!$A$1:$I$88,7,0))</f>
        <v>0</v>
      </c>
      <c r="DY71" s="17">
        <f>IF(ISNA(VLOOKUP(A71,'Données projet'!$A$165:$I$185,6,0)),0%,VLOOKUP(A71,'Données projet'!$A$165:$I$185,6,0)*VLOOKUP('Données projet'!$B$14,Paramètres!$A$1:$I$88,7,0))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projet'!$B$14,Paramètres!$A$1:$I$88,3,0)*0.475*44/12</f>
        <v>#N/A</v>
      </c>
      <c r="EB71" s="23" t="e">
        <f>EXP(-LN(2)/25)*EB70+(1-EXP(-LN(2)/25))/(LN(2)/25)*Calculateur!DW71*Calculateur!DY71*VLOOKUP('Données projet'!$B$14,Paramètres!$A$1:$I$88,3,0)*0.475*44/12</f>
        <v>#N/A</v>
      </c>
      <c r="EC71" s="23" t="e">
        <f>EXP(-LN(2)/2)*EC70+(1-EXP(-LN(2)/2))/(LN(2)/2)*DW71*DZ71*VLOOKUP('Données projet'!$B$14,Paramètres!$A$1:$I$88,3,0)*0.475*44/12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67.338063939416344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projet'!$B$15,Paramètres!$A$1:$I$88,3,0)*VLOOKUP('Données projet'!$B$15,Paramètres!$A$1:$I$88,5,0)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projet'!$B$15,Paramètres!$A$1:$I$88,7,0))</f>
        <v>0</v>
      </c>
      <c r="ET71" s="17">
        <f>IF(ISNA(VLOOKUP(A71,'Données projet'!$A$191:$I$211,6,0)),0%,VLOOKUP(A71,'Données projet'!$A$191:$I$211,6,0)*VLOOKUP('Données projet'!$B$15,Paramètres!$A$1:$I$88,7,0))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projet'!$B$15,Paramètres!$A$1:$I$88,3,0)*0.475*44/12</f>
        <v>#N/A</v>
      </c>
      <c r="EW71" s="23" t="e">
        <f>EXP(-LN(2)/25)*EW70+(1-EXP(-LN(2)/25))/(LN(2)/25)*Calculateur!ER71*Calculateur!ET71*VLOOKUP('Données projet'!$B$15,Paramètres!$A$1:$I$88,3,0)*0.475*44/12</f>
        <v>#N/A</v>
      </c>
      <c r="EX71" s="23" t="e">
        <f>EXP(-LN(2)/2)*EX70+(1-EXP(-LN(2)/2))/(LN(2)/2)*ER71*EU71*VLOOKUP('Données projet'!$B$15,Paramètres!$A$1:$I$88,3,0)*0.475*44/12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67.338063939416344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projet'!$B$16,Paramètres!$A$1:$I$88,3,0)*VLOOKUP('Données projet'!$B$16,Paramètres!$A$1:$I$88,5,0)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projet'!$B$16,Paramètres!$A$1:$I$88,7,0))</f>
        <v>0</v>
      </c>
      <c r="FO71" s="17">
        <f>IF(ISNA(VLOOKUP(A71,'Données projet'!$A$217:$I$237,6,0)),0%,VLOOKUP(A71,'Données projet'!$A$217:$I$237,6,0)*VLOOKUP('Données projet'!$B$16,Paramètres!$A$1:$I$88,7,0))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projet'!$B$16,Paramètres!$A$1:$I$88,3,0)*0.475*44/12</f>
        <v>#N/A</v>
      </c>
      <c r="FR71" s="23" t="e">
        <f>EXP(-LN(2)/25)*FR70+(1-EXP(-LN(2)/25))/(LN(2)/25)*Calculateur!FM71*Calculateur!FO71*VLOOKUP('Données projet'!$B$16,Paramètres!$A$1:$I$88,3,0)*0.475*44/12</f>
        <v>#N/A</v>
      </c>
      <c r="FS71" s="23" t="e">
        <f>EXP(-LN(2)/2)*FS70+(1-EXP(-LN(2)/2))/(LN(2)/2)*FM71*FP71*VLOOKUP('Données projet'!$B$16,Paramètres!$A$1:$I$88,3,0)*0.475*44/12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67.338063939416344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projet'!$B$17,Paramètres!$A$1:$I$88,3,0)*VLOOKUP('Données projet'!$B$17,Paramètres!$A$1:$I$88,5,0)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projet'!$B$17,Paramètres!$A$1:$I$88,7,0))</f>
        <v>0</v>
      </c>
      <c r="GJ71" s="17">
        <f>IF(ISNA(VLOOKUP(A71,'Données projet'!$A$243:$I$263,6,0)),0%,VLOOKUP(A71,'Données projet'!$A$243:$I$263,6,0)*VLOOKUP('Données projet'!$B$17,Paramètres!$A$1:$I$88,7,0))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projet'!$B$17,Paramètres!$A$1:$I$88,3,0)*0.475*44/12</f>
        <v>#N/A</v>
      </c>
      <c r="GM71" s="23" t="e">
        <f>EXP(-LN(2)/25)*GM70+(1-EXP(-LN(2)/25))/(LN(2)/25)*Calculateur!GH71*Calculateur!GJ71*VLOOKUP('Données projet'!$B$17,Paramètres!$A$1:$I$88,3,0)*0.475*44/12</f>
        <v>#N/A</v>
      </c>
      <c r="GN71" s="23" t="e">
        <f>EXP(-LN(2)/2)*GN70+(1-EXP(-LN(2)/2))/(LN(2)/2)*GH71*GK71*VLOOKUP('Données projet'!$B$17,Paramètres!$A$1:$I$88,3,0)*0.475*44/12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67.338063939416344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projet'!$B$18,Paramètres!$A$1:$I$88,3,0)*VLOOKUP('Données projet'!$B$18,Paramètres!$A$1:$I$88,5,0)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projet'!$B$18,Paramètres!$A$1:$I$88,7,0))</f>
        <v>0</v>
      </c>
      <c r="HE71" s="17">
        <f>IF(ISNA(VLOOKUP(A71,'Données projet'!$A$269:$I$289,6,0)),0%,VLOOKUP(A71,'Données projet'!$A$269:$I$289,6,0)*VLOOKUP('Données projet'!$B$18,Paramètres!$A$1:$I$88,7,0))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projet'!$B$18,Paramètres!$A$1:$I$88,3,0)*0.475*44/12</f>
        <v>#N/A</v>
      </c>
      <c r="HH71" s="23" t="e">
        <f>EXP(-LN(2)/25)*HH70+(1-EXP(-LN(2)/25))/(LN(2)/25)*Calculateur!HC71*Calculateur!HE71*VLOOKUP('Données projet'!$B$18,Paramètres!$A$1:$I$88,3,0)*0.475*44/12</f>
        <v>#N/A</v>
      </c>
      <c r="HI71" s="23" t="e">
        <f>EXP(-LN(2)/2)*HI70+(1-EXP(-LN(2)/2))/(LN(2)/2)*HC71*HF71*VLOOKUP('Données projet'!$B$18,Paramètres!$A$1:$I$88,3,0)*0.475*44/12</f>
        <v>#N/A</v>
      </c>
      <c r="HJ71" s="24" t="e">
        <f t="shared" si="84"/>
        <v>#N/A</v>
      </c>
    </row>
    <row r="72" spans="1:218" s="5" customFormat="1" x14ac:dyDescent="0.35">
      <c r="A72" s="11">
        <f t="shared" si="85"/>
        <v>69</v>
      </c>
      <c r="B72" s="77">
        <f>'Scénario référence'!$B$16*5+'Scénario référence'!$B$17*0+'Scénario référence'!$B$18*5</f>
        <v>1.75</v>
      </c>
      <c r="C72" s="20">
        <f>Calculateur!C71+'Scénario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72" s="12">
        <f t="shared" si="86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6.416666666666667</v>
      </c>
      <c r="H72" s="70">
        <f t="shared" si="56"/>
        <v>231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67.384242578869987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3.4106051316484809E-13</v>
      </c>
      <c r="O72" s="14">
        <f>N72*VLOOKUP('Données projet'!$B$9,Paramètres!$A$1:$I$88,3,0)*VLOOKUP('Données projet'!$B$9,Paramètres!$A$1:$I$88,5,0)</f>
        <v>1.9065282685915009E-13</v>
      </c>
      <c r="P72" s="14">
        <f t="shared" si="87"/>
        <v>2.6568987209435707E-12</v>
      </c>
      <c r="Q72" s="22">
        <f t="shared" si="54"/>
        <v>4.959485612423072E-12</v>
      </c>
      <c r="R72" s="62">
        <f t="shared" si="55"/>
        <v>283.7422227891949</v>
      </c>
      <c r="S72" s="62">
        <f ca="1">AVERAGE(OFFSET($R$3,0,0,'Données projet'!$E$9+1,1))-AVERAGE(OFFSET($H$3,0,0,'Données projet'!$E$9+1,1))</f>
        <v>341.05096821796769</v>
      </c>
      <c r="T72" s="62">
        <f t="shared" si="88"/>
        <v>400.72519822215168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projet'!$B$9,Paramètres!$A$1:$I$88,7,0))</f>
        <v>0</v>
      </c>
      <c r="X72" s="17">
        <f>IF(ISNA(VLOOKUP(A72,'Données projet'!$A$35:$I$55,6,0)),0%,VLOOKUP(A72,'Données projet'!$A$35:$I$55,6,0)*VLOOKUP('Données projet'!$B$9,Paramètres!$A$1:$I$88,7,0))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projet'!$B$9,Paramètres!$A$1:$I$88,3,0)*0.475*44/12</f>
        <v>200.5050032723006</v>
      </c>
      <c r="AA72" s="23">
        <f>EXP(-LN(2)/25)*AA71+(1-EXP(-LN(2)/25))/(LN(2)/25)*Calculateur!V72*Calculateur!X72*VLOOKUP('Données projet'!$B$9,Paramètres!$A$1:$I$88,3,0)*0.475*44/12</f>
        <v>103.25829353777063</v>
      </c>
      <c r="AB72" s="23">
        <f>EXP(-LN(2)/2)*AB71+(1-EXP(-LN(2)/2))/(LN(2)/2)*V72*Y72*VLOOKUP('Données projet'!$B$9,Paramètres!$A$1:$I$88,3,0)*0.475*44/12</f>
        <v>0</v>
      </c>
      <c r="AC72" s="24">
        <f t="shared" si="57"/>
        <v>303.76329681007121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67.384242578869987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3.600000000000005</v>
      </c>
      <c r="AI72" s="14">
        <f>IF('Données projet'!$A$62&gt;35,AI71+AH72-AQ71,IF(A72&lt;'Données projet'!$A$62,$AF$205^A72,IF(A72='Données projet'!$A$62,'Données projet'!$B$62,AI71+AH72-AQ71)))</f>
        <v>257.50000000000006</v>
      </c>
      <c r="AJ72" s="14">
        <f>AI72*VLOOKUP('Données projet'!$B$10,Paramètres!$A$1:$I$88,3,0)*VLOOKUP('Données projet'!$B$10,Paramètres!$A$1:$I$88,5,0)</f>
        <v>153.98500000000004</v>
      </c>
      <c r="AK72" s="14">
        <f t="shared" si="89"/>
        <v>39.482804593019416</v>
      </c>
      <c r="AL72" s="22">
        <f t="shared" si="58"/>
        <v>336.95642633284223</v>
      </c>
      <c r="AM72" s="62">
        <f t="shared" si="59"/>
        <v>620.69864912203218</v>
      </c>
      <c r="AN72" s="62">
        <f ca="1">AVERAGE(OFFSET($AM$3,0,0,'Données projet'!$E$10+1,1))-AVERAGE(OFFSET($H$3,0,0,'Données projet'!$E$10+1,1))</f>
        <v>231.96474801342879</v>
      </c>
      <c r="AO72" s="62">
        <f t="shared" si="90"/>
        <v>237.75726086383668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projet'!$B$10,Paramètres!$A$1:$I$88,7,0))</f>
        <v>0</v>
      </c>
      <c r="AS72" s="17">
        <f>IF(ISNA(VLOOKUP(A72,'Données projet'!$A$61:$I$81,6,0)),0%,VLOOKUP(A72,'Données projet'!$A$61:$I$81,6,0)*VLOOKUP('Données projet'!$B$10,Paramètres!$A$1:$I$88,7,0))</f>
        <v>0</v>
      </c>
      <c r="AT72" s="17">
        <f>IF(ISNA(VLOOKUP(A72,'Données projet'!$A$61:$I$81,7,0)),0%,VLOOKUP(A72,'Données projet'!$A$61:$I$81,7,0))</f>
        <v>0</v>
      </c>
      <c r="AU72" s="23">
        <f>EXP(-LN(2)/35)*AU71+(1-EXP(-LN(2)/35))/(LN(2)/35)*AQ72*AR72*VLOOKUP('Données projet'!$B$10,Paramètres!$A$1:$I$88,3,0)*0.475*44/12</f>
        <v>12.519090326903404</v>
      </c>
      <c r="AV72" s="23">
        <f>EXP(-LN(2)/25)*AV71+(1-EXP(-LN(2)/25))/(LN(2)/25)*Calculateur!AQ72*Calculateur!AS72*VLOOKUP('Données projet'!$B$10,Paramètres!$A$1:$I$88,3,0)*0.475*44/12</f>
        <v>14.968311570250112</v>
      </c>
      <c r="AW72" s="23">
        <f>EXP(-LN(2)/2)*AW71+(1-EXP(-LN(2)/2))/(LN(2)/2)*AQ72*AT72*VLOOKUP('Données projet'!$B$10,Paramètres!$A$1:$I$88,3,0)*0.475*44/12</f>
        <v>0</v>
      </c>
      <c r="AX72" s="23">
        <f t="shared" si="60"/>
        <v>27.487401897153518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67.384242578869987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16.7</v>
      </c>
      <c r="BD72" s="13">
        <f>IF('Données projet'!$A$88&gt;35,BD71+BC72-BL71,IF(A72&lt;'Données projet'!$A$88,$BA$205^A72,IF(A72='Données projet'!$A$88,'Données projet'!$B$88,BD71+BC72-BL71)))</f>
        <v>414.10000000000019</v>
      </c>
      <c r="BE72" s="14">
        <f>BD72*VLOOKUP('Données projet'!$B$11,Paramètres!$A$1:$I$88,3,0)*VLOOKUP('Données projet'!$B$11,Paramètres!$A$1:$I$88,5,0)</f>
        <v>193.79880000000009</v>
      </c>
      <c r="BF72" s="14">
        <f t="shared" si="91"/>
        <v>48.378843501227458</v>
      </c>
      <c r="BG72" s="22">
        <f t="shared" si="61"/>
        <v>421.79272909797129</v>
      </c>
      <c r="BH72" s="62">
        <f t="shared" si="62"/>
        <v>705.53495188716124</v>
      </c>
      <c r="BI72" s="62">
        <f ca="1">AVERAGE(OFFSET($BH$3,0,0,'Données projet'!$E$11+1,1))-AVERAGE(OFFSET($H$3,0,0,'Données projet'!$E$11+1,1))</f>
        <v>364.96458059055169</v>
      </c>
      <c r="BJ72" s="62">
        <f t="shared" si="92"/>
        <v>246.27159120786257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projet'!$B$11,Paramètres!$A$1:$I$88,7,0))</f>
        <v>0</v>
      </c>
      <c r="BN72" s="17">
        <f>IF(ISNA(VLOOKUP(A72,'Données projet'!$A$87:$I$107,6,0)),0%,VLOOKUP(A72,'Données projet'!$A$87:$I$107,6,0)*VLOOKUP('Données projet'!$B$11,Paramètres!$A$1:$I$88,7,0))</f>
        <v>0</v>
      </c>
      <c r="BO72" s="17">
        <f>IF(ISNA(VLOOKUP(A72,'Données projet'!$A$87:$I$107,7,0)),0%,VLOOKUP(A72,'Données projet'!$A$87:$I$107,7,0))</f>
        <v>0</v>
      </c>
      <c r="BP72" s="23">
        <f>EXP(-LN(2)/35)*BP71+(1-EXP(-LN(2)/35))/(LN(2)/35)*BL72*BM72*VLOOKUP('Données projet'!$B$11,Paramètres!$A$1:$I$88,3,0)*0.475*44/12</f>
        <v>50.605331960800591</v>
      </c>
      <c r="BQ72" s="23">
        <f>EXP(-LN(2)/25)*BQ71+(1-EXP(-LN(2)/25))/(LN(2)/25)*Calculateur!BL72*Calculateur!BN72*VLOOKUP('Données projet'!$B$11,Paramètres!$A$1:$I$88,3,0)*0.475*44/12</f>
        <v>25.125490556680862</v>
      </c>
      <c r="BR72" s="23">
        <f>EXP(-LN(2)/2)*BR71+(1-EXP(-LN(2)/2))/(LN(2)/2)*BL72*BO72*VLOOKUP('Données projet'!$B$11,Paramètres!$A$1:$I$88,3,0)*0.475*44/12</f>
        <v>0</v>
      </c>
      <c r="BS72" s="24">
        <f t="shared" si="63"/>
        <v>75.730822517481457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67.384242578869987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-1.1368683772161603E-13</v>
      </c>
      <c r="BZ72" s="14">
        <f>BY72*VLOOKUP('Données projet'!$B$12,Paramètres!$A$1:$I$88,3,0)*VLOOKUP('Données projet'!$B$12,Paramètres!$A$1:$I$88,5,0)</f>
        <v>-1.1527845344971866E-13</v>
      </c>
      <c r="CA72" s="14" t="e">
        <f t="shared" si="93"/>
        <v>#NUM!</v>
      </c>
      <c r="CB72" s="22" t="e">
        <f t="shared" si="64"/>
        <v>#NUM!</v>
      </c>
      <c r="CC72" s="62" t="e">
        <f t="shared" si="65"/>
        <v>#NUM!</v>
      </c>
      <c r="CD72" s="62">
        <f ca="1">AVERAGE(OFFSET($CC$3,0,0,'Données projet'!$E$12+1,1))-AVERAGE(OFFSET($H$3,0,0,'Données projet'!$E$12+1,1))</f>
        <v>310.53598044763282</v>
      </c>
      <c r="CE72" s="62">
        <f t="shared" si="94"/>
        <v>322.01096634040596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projet'!$B$12,Paramètres!$A$1:$I$88,7,0))</f>
        <v>0</v>
      </c>
      <c r="CI72" s="17">
        <f>IF(ISNA(VLOOKUP(A72,'Données projet'!$A$113:$I$133,6,0)),0%,VLOOKUP(A72,'Données projet'!$A$113:$I$133,6,0)*VLOOKUP('Données projet'!$B$12,Paramètres!$A$1:$I$88,7,0))</f>
        <v>0</v>
      </c>
      <c r="CJ72" s="17">
        <f>IF(ISNA(VLOOKUP(A72,'Données projet'!$A$113:$I$133,7,0)),0%,VLOOKUP(A72,'Données projet'!$A$113:$I$133,7,0))</f>
        <v>0</v>
      </c>
      <c r="CK72" s="23">
        <f>EXP(-LN(2)/35)*CK71+(1-EXP(-LN(2)/35))/(LN(2)/35)*CG72*CH72*VLOOKUP('Données projet'!$B$12,Paramètres!$A$1:$I$88,3,0)*0.475*44/12</f>
        <v>60.497450155450473</v>
      </c>
      <c r="CL72" s="23">
        <f>EXP(-LN(2)/25)*CL71+(1-EXP(-LN(2)/25))/(LN(2)/25)*Calculateur!CG72*Calculateur!CI72*VLOOKUP('Données projet'!$B$12,Paramètres!$A$1:$I$88,3,0)*0.475*44/12</f>
        <v>0</v>
      </c>
      <c r="CM72" s="23">
        <f>EXP(-LN(2)/2)*CM71+(1-EXP(-LN(2)/2))/(LN(2)/2)*CG72*CJ72*VLOOKUP('Données projet'!$B$12,Paramètres!$A$1:$I$88,3,0)*0.475*44/12</f>
        <v>0</v>
      </c>
      <c r="CN72" s="24">
        <f t="shared" si="66"/>
        <v>60.497450155450473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67.384242578869987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projet'!$B$13,Paramètres!$A$1:$I$88,3,0)*VLOOKUP('Données projet'!$B$13,Paramètres!$A$1:$I$88,5,0)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projet'!$B$13,Paramètres!$A$1:$I$88,7,0))</f>
        <v>0</v>
      </c>
      <c r="DD72" s="17">
        <f>IF(ISNA(VLOOKUP(A72,'Données projet'!$A$139:$I$159,6,0)),0%,VLOOKUP(A72,'Données projet'!$A$139:$I$159,6,0)*VLOOKUP('Données projet'!$B$13,Paramètres!$A$1:$I$88,7,0))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projet'!$B$13,Paramètres!$A$1:$I$88,3,0)*0.475*44/12</f>
        <v>#N/A</v>
      </c>
      <c r="DG72" s="23" t="e">
        <f>EXP(-LN(2)/25)*DG71+(1-EXP(-LN(2)/25))/(LN(2)/25)*Calculateur!DB72*Calculateur!DD72*VLOOKUP('Données projet'!$B$13,Paramètres!$A$1:$I$88,3,0)*0.475*44/12</f>
        <v>#N/A</v>
      </c>
      <c r="DH72" s="23" t="e">
        <f>EXP(-LN(2)/2)*DH71+(1-EXP(-LN(2)/2))/(LN(2)/2)*DB72*DE72*VLOOKUP('Données projet'!$B$13,Paramètres!$A$1:$I$88,3,0)*0.475*44/12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67.384242578869987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projet'!$B$14,Paramètres!$A$1:$I$88,3,0)*VLOOKUP('Données projet'!$B$14,Paramètres!$A$1:$I$88,5,0)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projet'!$B$14,Paramètres!$A$1:$I$88,7,0))</f>
        <v>0</v>
      </c>
      <c r="DY72" s="17">
        <f>IF(ISNA(VLOOKUP(A72,'Données projet'!$A$165:$I$185,6,0)),0%,VLOOKUP(A72,'Données projet'!$A$165:$I$185,6,0)*VLOOKUP('Données projet'!$B$14,Paramètres!$A$1:$I$88,7,0))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projet'!$B$14,Paramètres!$A$1:$I$88,3,0)*0.475*44/12</f>
        <v>#N/A</v>
      </c>
      <c r="EB72" s="23" t="e">
        <f>EXP(-LN(2)/25)*EB71+(1-EXP(-LN(2)/25))/(LN(2)/25)*Calculateur!DW72*Calculateur!DY72*VLOOKUP('Données projet'!$B$14,Paramètres!$A$1:$I$88,3,0)*0.475*44/12</f>
        <v>#N/A</v>
      </c>
      <c r="EC72" s="23" t="e">
        <f>EXP(-LN(2)/2)*EC71+(1-EXP(-LN(2)/2))/(LN(2)/2)*DW72*DZ72*VLOOKUP('Données projet'!$B$14,Paramètres!$A$1:$I$88,3,0)*0.475*44/12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67.384242578869987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projet'!$B$15,Paramètres!$A$1:$I$88,3,0)*VLOOKUP('Données projet'!$B$15,Paramètres!$A$1:$I$88,5,0)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projet'!$B$15,Paramètres!$A$1:$I$88,7,0))</f>
        <v>0</v>
      </c>
      <c r="ET72" s="17">
        <f>IF(ISNA(VLOOKUP(A72,'Données projet'!$A$191:$I$211,6,0)),0%,VLOOKUP(A72,'Données projet'!$A$191:$I$211,6,0)*VLOOKUP('Données projet'!$B$15,Paramètres!$A$1:$I$88,7,0))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projet'!$B$15,Paramètres!$A$1:$I$88,3,0)*0.475*44/12</f>
        <v>#N/A</v>
      </c>
      <c r="EW72" s="23" t="e">
        <f>EXP(-LN(2)/25)*EW71+(1-EXP(-LN(2)/25))/(LN(2)/25)*Calculateur!ER72*Calculateur!ET72*VLOOKUP('Données projet'!$B$15,Paramètres!$A$1:$I$88,3,0)*0.475*44/12</f>
        <v>#N/A</v>
      </c>
      <c r="EX72" s="23" t="e">
        <f>EXP(-LN(2)/2)*EX71+(1-EXP(-LN(2)/2))/(LN(2)/2)*ER72*EU72*VLOOKUP('Données projet'!$B$15,Paramètres!$A$1:$I$88,3,0)*0.475*44/12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67.384242578869987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projet'!$B$16,Paramètres!$A$1:$I$88,3,0)*VLOOKUP('Données projet'!$B$16,Paramètres!$A$1:$I$88,5,0)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projet'!$B$16,Paramètres!$A$1:$I$88,7,0))</f>
        <v>0</v>
      </c>
      <c r="FO72" s="17">
        <f>IF(ISNA(VLOOKUP(A72,'Données projet'!$A$217:$I$237,6,0)),0%,VLOOKUP(A72,'Données projet'!$A$217:$I$237,6,0)*VLOOKUP('Données projet'!$B$16,Paramètres!$A$1:$I$88,7,0))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projet'!$B$16,Paramètres!$A$1:$I$88,3,0)*0.475*44/12</f>
        <v>#N/A</v>
      </c>
      <c r="FR72" s="23" t="e">
        <f>EXP(-LN(2)/25)*FR71+(1-EXP(-LN(2)/25))/(LN(2)/25)*Calculateur!FM72*Calculateur!FO72*VLOOKUP('Données projet'!$B$16,Paramètres!$A$1:$I$88,3,0)*0.475*44/12</f>
        <v>#N/A</v>
      </c>
      <c r="FS72" s="23" t="e">
        <f>EXP(-LN(2)/2)*FS71+(1-EXP(-LN(2)/2))/(LN(2)/2)*FM72*FP72*VLOOKUP('Données projet'!$B$16,Paramètres!$A$1:$I$88,3,0)*0.475*44/12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67.384242578869987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projet'!$B$17,Paramètres!$A$1:$I$88,3,0)*VLOOKUP('Données projet'!$B$17,Paramètres!$A$1:$I$88,5,0)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projet'!$B$17,Paramètres!$A$1:$I$88,7,0))</f>
        <v>0</v>
      </c>
      <c r="GJ72" s="17">
        <f>IF(ISNA(VLOOKUP(A72,'Données projet'!$A$243:$I$263,6,0)),0%,VLOOKUP(A72,'Données projet'!$A$243:$I$263,6,0)*VLOOKUP('Données projet'!$B$17,Paramètres!$A$1:$I$88,7,0))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projet'!$B$17,Paramètres!$A$1:$I$88,3,0)*0.475*44/12</f>
        <v>#N/A</v>
      </c>
      <c r="GM72" s="23" t="e">
        <f>EXP(-LN(2)/25)*GM71+(1-EXP(-LN(2)/25))/(LN(2)/25)*Calculateur!GH72*Calculateur!GJ72*VLOOKUP('Données projet'!$B$17,Paramètres!$A$1:$I$88,3,0)*0.475*44/12</f>
        <v>#N/A</v>
      </c>
      <c r="GN72" s="23" t="e">
        <f>EXP(-LN(2)/2)*GN71+(1-EXP(-LN(2)/2))/(LN(2)/2)*GH72*GK72*VLOOKUP('Données projet'!$B$17,Paramètres!$A$1:$I$88,3,0)*0.475*44/12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67.384242578869987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projet'!$B$18,Paramètres!$A$1:$I$88,3,0)*VLOOKUP('Données projet'!$B$18,Paramètres!$A$1:$I$88,5,0)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projet'!$B$18,Paramètres!$A$1:$I$88,7,0))</f>
        <v>0</v>
      </c>
      <c r="HE72" s="17">
        <f>IF(ISNA(VLOOKUP(A72,'Données projet'!$A$269:$I$289,6,0)),0%,VLOOKUP(A72,'Données projet'!$A$269:$I$289,6,0)*VLOOKUP('Données projet'!$B$18,Paramètres!$A$1:$I$88,7,0))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projet'!$B$18,Paramètres!$A$1:$I$88,3,0)*0.475*44/12</f>
        <v>#N/A</v>
      </c>
      <c r="HH72" s="23" t="e">
        <f>EXP(-LN(2)/25)*HH71+(1-EXP(-LN(2)/25))/(LN(2)/25)*Calculateur!HC72*Calculateur!HE72*VLOOKUP('Données projet'!$B$18,Paramètres!$A$1:$I$88,3,0)*0.475*44/12</f>
        <v>#N/A</v>
      </c>
      <c r="HI72" s="23" t="e">
        <f>EXP(-LN(2)/2)*HI71+(1-EXP(-LN(2)/2))/(LN(2)/2)*HC72*HF72*VLOOKUP('Données projet'!$B$18,Paramètres!$A$1:$I$88,3,0)*0.475*44/12</f>
        <v>#N/A</v>
      </c>
      <c r="HJ72" s="24" t="e">
        <f t="shared" si="84"/>
        <v>#N/A</v>
      </c>
    </row>
    <row r="73" spans="1:218" s="5" customFormat="1" x14ac:dyDescent="0.35">
      <c r="A73" s="11">
        <f t="shared" si="85"/>
        <v>70</v>
      </c>
      <c r="B73" s="77">
        <f>'Scénario référence'!$B$16*5+'Scénario référence'!$B$17*0+'Scénario référence'!$B$18*5</f>
        <v>1.75</v>
      </c>
      <c r="C73" s="20">
        <f>Calculateur!C72+'Scénario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73" s="12">
        <f t="shared" si="86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6.416666666666667</v>
      </c>
      <c r="H73" s="70">
        <f t="shared" si="56"/>
        <v>231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67.429620122169084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3.4106051316484809E-13</v>
      </c>
      <c r="O73" s="14">
        <f>N73*VLOOKUP('Données projet'!$B$9,Paramètres!$A$1:$I$88,3,0)*VLOOKUP('Données projet'!$B$9,Paramètres!$A$1:$I$88,5,0)</f>
        <v>1.9065282685915009E-13</v>
      </c>
      <c r="P73" s="14">
        <f t="shared" si="87"/>
        <v>2.6568987209435707E-12</v>
      </c>
      <c r="Q73" s="22">
        <f t="shared" si="54"/>
        <v>4.959485612423072E-12</v>
      </c>
      <c r="R73" s="62">
        <f t="shared" si="55"/>
        <v>283.90860711462494</v>
      </c>
      <c r="S73" s="62">
        <f ca="1">AVERAGE(OFFSET($R$3,0,0,'Données projet'!$E$9+1,1))-AVERAGE(OFFSET($H$3,0,0,'Données projet'!$E$9+1,1))</f>
        <v>341.05096821796769</v>
      </c>
      <c r="T73" s="62">
        <f t="shared" si="88"/>
        <v>400.72519822215168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projet'!$B$9,Paramètres!$A$1:$I$88,7,0))</f>
        <v>0</v>
      </c>
      <c r="X73" s="17">
        <f>IF(ISNA(VLOOKUP(A73,'Données projet'!$A$35:$I$55,6,0)),0%,VLOOKUP(A73,'Données projet'!$A$35:$I$55,6,0)*VLOOKUP('Données projet'!$B$9,Paramètres!$A$1:$I$88,7,0))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projet'!$B$9,Paramètres!$A$1:$I$88,3,0)*0.475*44/12</f>
        <v>196.57322245410705</v>
      </c>
      <c r="AA73" s="23">
        <f>EXP(-LN(2)/25)*AA72+(1-EXP(-LN(2)/25))/(LN(2)/25)*Calculateur!V73*Calculateur!X73*VLOOKUP('Données projet'!$B$9,Paramètres!$A$1:$I$88,3,0)*0.475*44/12</f>
        <v>100.43469007086263</v>
      </c>
      <c r="AB73" s="23">
        <f>EXP(-LN(2)/2)*AB72+(1-EXP(-LN(2)/2))/(LN(2)/2)*V73*Y73*VLOOKUP('Données projet'!$B$9,Paramètres!$A$1:$I$88,3,0)*0.475*44/12</f>
        <v>0</v>
      </c>
      <c r="AC73" s="24">
        <f t="shared" si="57"/>
        <v>297.0079125249697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67.429620122169084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>
        <f>VLOOKUP(A73,'Données projet'!$A$61:$I$81,2,0)</f>
        <v>261.10000000000002</v>
      </c>
      <c r="AG73" s="13">
        <f>VLOOKUP(A73,'Données projet'!$A$61:$I$81,9,0)</f>
        <v>3.600000000000005</v>
      </c>
      <c r="AH73" s="13">
        <f t="array" ref="AH73">INDEX(AG:AG,MIN(IF(ISNUMBER(AG73:AG269),ROW(AG73:AG269),"")))</f>
        <v>3.600000000000005</v>
      </c>
      <c r="AI73" s="14">
        <f>IF('Données projet'!$A$62&gt;35,AI72+AH73-AQ72,IF(A73&lt;'Données projet'!$A$62,$AF$205^A73,IF(A73='Données projet'!$A$62,'Données projet'!$B$62,AI72+AH73-AQ72)))</f>
        <v>261.10000000000008</v>
      </c>
      <c r="AJ73" s="14">
        <f>AI73*VLOOKUP('Données projet'!$B$10,Paramètres!$A$1:$I$88,3,0)*VLOOKUP('Données projet'!$B$10,Paramètres!$A$1:$I$88,5,0)</f>
        <v>156.13780000000006</v>
      </c>
      <c r="AK73" s="14">
        <f t="shared" si="89"/>
        <v>39.970150451038045</v>
      </c>
      <c r="AL73" s="22">
        <f t="shared" si="58"/>
        <v>341.55468036889141</v>
      </c>
      <c r="AM73" s="62">
        <f t="shared" si="59"/>
        <v>625.46328748351141</v>
      </c>
      <c r="AN73" s="62">
        <f ca="1">AVERAGE(OFFSET($AM$3,0,0,'Données projet'!$E$10+1,1))-AVERAGE(OFFSET($H$3,0,0,'Données projet'!$E$10+1,1))</f>
        <v>231.96474801342879</v>
      </c>
      <c r="AO73" s="62">
        <f t="shared" si="90"/>
        <v>237.75726086383668</v>
      </c>
      <c r="AP73" s="16">
        <f>IF(ISNA(VLOOKUP(A73,'Données projet'!$A$61:$I$81,3,0)),0,VLOOKUP(A73,'Données projet'!$A$61:$I$81,3,0))</f>
        <v>10</v>
      </c>
      <c r="AQ73" s="16">
        <f>IF(ISNA(VLOOKUP(A73,'Données projet'!$A$61:$I$81,4,0)),0,VLOOKUP(A73,'Données projet'!$A$61:$I$81,4,0))</f>
        <v>261.10000000000002</v>
      </c>
      <c r="AR73" s="17">
        <f>IF(ISNA(VLOOKUP(A73,'Données projet'!$A$61:$I$81,5,0)),0%,VLOOKUP(A73,'Données projet'!$A$61:$I$81,5,0)*VLOOKUP('Données projet'!$B$10,Paramètres!$A$1:$I$88,7,0))</f>
        <v>0.315</v>
      </c>
      <c r="AS73" s="17">
        <f>IF(ISNA(VLOOKUP(A73,'Données projet'!$A$61:$I$81,6,0)),0%,VLOOKUP(A73,'Données projet'!$A$61:$I$81,6,0)*VLOOKUP('Données projet'!$B$10,Paramètres!$A$1:$I$88,7,0))</f>
        <v>0.13500000000000001</v>
      </c>
      <c r="AT73" s="17">
        <f>IF(ISNA(VLOOKUP(A73,'Données projet'!$A$61:$I$81,7,0)),0%,VLOOKUP(A73,'Données projet'!$A$61:$I$81,7,0))</f>
        <v>0</v>
      </c>
      <c r="AU73" s="23">
        <f>EXP(-LN(2)/35)*AU72+(1-EXP(-LN(2)/35))/(LN(2)/35)*AQ73*AR73*VLOOKUP('Données projet'!$B$10,Paramètres!$A$1:$I$88,3,0)*0.475*44/12</f>
        <v>77.518558125100213</v>
      </c>
      <c r="AV73" s="23">
        <f>EXP(-LN(2)/25)*AV72+(1-EXP(-LN(2)/25))/(LN(2)/25)*Calculateur!AQ73*Calculateur!AS73*VLOOKUP('Données projet'!$B$10,Paramètres!$A$1:$I$88,3,0)*0.475*44/12</f>
        <v>42.411030270795131</v>
      </c>
      <c r="AW73" s="23">
        <f>EXP(-LN(2)/2)*AW72+(1-EXP(-LN(2)/2))/(LN(2)/2)*AQ73*AT73*VLOOKUP('Données projet'!$B$10,Paramètres!$A$1:$I$88,3,0)*0.475*44/12</f>
        <v>0</v>
      </c>
      <c r="AX73" s="23">
        <f t="shared" si="60"/>
        <v>119.92958839589534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67.429620122169084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16.7</v>
      </c>
      <c r="BD73" s="13">
        <f>IF('Données projet'!$A$88&gt;35,BD72+BC73-BL72,IF(A73&lt;'Données projet'!$A$88,$BA$205^A73,IF(A73='Données projet'!$A$88,'Données projet'!$B$88,BD72+BC73-BL72)))</f>
        <v>430.80000000000018</v>
      </c>
      <c r="BE73" s="14">
        <f>BD73*VLOOKUP('Données projet'!$B$11,Paramètres!$A$1:$I$88,3,0)*VLOOKUP('Données projet'!$B$11,Paramètres!$A$1:$I$88,5,0)</f>
        <v>201.61440000000007</v>
      </c>
      <c r="BF73" s="14">
        <f t="shared" si="91"/>
        <v>50.098797801035651</v>
      </c>
      <c r="BG73" s="22">
        <f t="shared" si="61"/>
        <v>438.40048617013719</v>
      </c>
      <c r="BH73" s="62">
        <f t="shared" si="62"/>
        <v>722.30909328475718</v>
      </c>
      <c r="BI73" s="62">
        <f ca="1">AVERAGE(OFFSET($BH$3,0,0,'Données projet'!$E$11+1,1))-AVERAGE(OFFSET($H$3,0,0,'Données projet'!$E$11+1,1))</f>
        <v>364.96458059055169</v>
      </c>
      <c r="BJ73" s="62">
        <f t="shared" si="92"/>
        <v>246.27159120786257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projet'!$B$11,Paramètres!$A$1:$I$88,7,0))</f>
        <v>0</v>
      </c>
      <c r="BN73" s="17">
        <f>IF(ISNA(VLOOKUP(A73,'Données projet'!$A$87:$I$107,6,0)),0%,VLOOKUP(A73,'Données projet'!$A$87:$I$107,6,0)*VLOOKUP('Données projet'!$B$11,Paramètres!$A$1:$I$88,7,0))</f>
        <v>0</v>
      </c>
      <c r="BO73" s="17">
        <f>IF(ISNA(VLOOKUP(A73,'Données projet'!$A$87:$I$107,7,0)),0%,VLOOKUP(A73,'Données projet'!$A$87:$I$107,7,0))</f>
        <v>0</v>
      </c>
      <c r="BP73" s="23">
        <f>EXP(-LN(2)/35)*BP72+(1-EXP(-LN(2)/35))/(LN(2)/35)*BL73*BM73*VLOOKUP('Données projet'!$B$11,Paramètres!$A$1:$I$88,3,0)*0.475*44/12</f>
        <v>49.612992267254</v>
      </c>
      <c r="BQ73" s="23">
        <f>EXP(-LN(2)/25)*BQ72+(1-EXP(-LN(2)/25))/(LN(2)/25)*Calculateur!BL73*Calculateur!BN73*VLOOKUP('Données projet'!$B$11,Paramètres!$A$1:$I$88,3,0)*0.475*44/12</f>
        <v>24.438432696116301</v>
      </c>
      <c r="BR73" s="23">
        <f>EXP(-LN(2)/2)*BR72+(1-EXP(-LN(2)/2))/(LN(2)/2)*BL73*BO73*VLOOKUP('Données projet'!$B$11,Paramètres!$A$1:$I$88,3,0)*0.475*44/12</f>
        <v>0</v>
      </c>
      <c r="BS73" s="24">
        <f t="shared" si="63"/>
        <v>74.051424963370295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67.429620122169084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-1.1368683772161603E-13</v>
      </c>
      <c r="BZ73" s="14">
        <f>BY73*VLOOKUP('Données projet'!$B$12,Paramètres!$A$1:$I$88,3,0)*VLOOKUP('Données projet'!$B$12,Paramètres!$A$1:$I$88,5,0)</f>
        <v>-1.1527845344971866E-13</v>
      </c>
      <c r="CA73" s="14" t="e">
        <f t="shared" si="93"/>
        <v>#NUM!</v>
      </c>
      <c r="CB73" s="22" t="e">
        <f t="shared" si="64"/>
        <v>#NUM!</v>
      </c>
      <c r="CC73" s="62" t="e">
        <f t="shared" si="65"/>
        <v>#NUM!</v>
      </c>
      <c r="CD73" s="62">
        <f ca="1">AVERAGE(OFFSET($CC$3,0,0,'Données projet'!$E$12+1,1))-AVERAGE(OFFSET($H$3,0,0,'Données projet'!$E$12+1,1))</f>
        <v>310.53598044763282</v>
      </c>
      <c r="CE73" s="62">
        <f t="shared" si="94"/>
        <v>322.01096634040596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projet'!$B$12,Paramètres!$A$1:$I$88,7,0))</f>
        <v>0</v>
      </c>
      <c r="CI73" s="17">
        <f>IF(ISNA(VLOOKUP(A73,'Données projet'!$A$113:$I$133,6,0)),0%,VLOOKUP(A73,'Données projet'!$A$113:$I$133,6,0)*VLOOKUP('Données projet'!$B$12,Paramètres!$A$1:$I$88,7,0))</f>
        <v>0</v>
      </c>
      <c r="CJ73" s="17">
        <f>IF(ISNA(VLOOKUP(A73,'Données projet'!$A$113:$I$133,7,0)),0%,VLOOKUP(A73,'Données projet'!$A$113:$I$133,7,0))</f>
        <v>0</v>
      </c>
      <c r="CK73" s="23">
        <f>EXP(-LN(2)/35)*CK72+(1-EXP(-LN(2)/35))/(LN(2)/35)*CG73*CH73*VLOOKUP('Données projet'!$B$12,Paramètres!$A$1:$I$88,3,0)*0.475*44/12</f>
        <v>59.311132057703134</v>
      </c>
      <c r="CL73" s="23">
        <f>EXP(-LN(2)/25)*CL72+(1-EXP(-LN(2)/25))/(LN(2)/25)*Calculateur!CG73*Calculateur!CI73*VLOOKUP('Données projet'!$B$12,Paramètres!$A$1:$I$88,3,0)*0.475*44/12</f>
        <v>0</v>
      </c>
      <c r="CM73" s="23">
        <f>EXP(-LN(2)/2)*CM72+(1-EXP(-LN(2)/2))/(LN(2)/2)*CG73*CJ73*VLOOKUP('Données projet'!$B$12,Paramètres!$A$1:$I$88,3,0)*0.475*44/12</f>
        <v>0</v>
      </c>
      <c r="CN73" s="24">
        <f t="shared" si="66"/>
        <v>59.311132057703134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67.429620122169084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projet'!$B$13,Paramètres!$A$1:$I$88,3,0)*VLOOKUP('Données projet'!$B$13,Paramètres!$A$1:$I$88,5,0)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projet'!$B$13,Paramètres!$A$1:$I$88,7,0))</f>
        <v>0</v>
      </c>
      <c r="DD73" s="17">
        <f>IF(ISNA(VLOOKUP(A73,'Données projet'!$A$139:$I$159,6,0)),0%,VLOOKUP(A73,'Données projet'!$A$139:$I$159,6,0)*VLOOKUP('Données projet'!$B$13,Paramètres!$A$1:$I$88,7,0))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projet'!$B$13,Paramètres!$A$1:$I$88,3,0)*0.475*44/12</f>
        <v>#N/A</v>
      </c>
      <c r="DG73" s="23" t="e">
        <f>EXP(-LN(2)/25)*DG72+(1-EXP(-LN(2)/25))/(LN(2)/25)*Calculateur!DB73*Calculateur!DD73*VLOOKUP('Données projet'!$B$13,Paramètres!$A$1:$I$88,3,0)*0.475*44/12</f>
        <v>#N/A</v>
      </c>
      <c r="DH73" s="23" t="e">
        <f>EXP(-LN(2)/2)*DH72+(1-EXP(-LN(2)/2))/(LN(2)/2)*DB73*DE73*VLOOKUP('Données projet'!$B$13,Paramètres!$A$1:$I$88,3,0)*0.475*44/12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67.429620122169084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projet'!$B$14,Paramètres!$A$1:$I$88,3,0)*VLOOKUP('Données projet'!$B$14,Paramètres!$A$1:$I$88,5,0)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projet'!$B$14,Paramètres!$A$1:$I$88,7,0))</f>
        <v>0</v>
      </c>
      <c r="DY73" s="17">
        <f>IF(ISNA(VLOOKUP(A73,'Données projet'!$A$165:$I$185,6,0)),0%,VLOOKUP(A73,'Données projet'!$A$165:$I$185,6,0)*VLOOKUP('Données projet'!$B$14,Paramètres!$A$1:$I$88,7,0))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projet'!$B$14,Paramètres!$A$1:$I$88,3,0)*0.475*44/12</f>
        <v>#N/A</v>
      </c>
      <c r="EB73" s="23" t="e">
        <f>EXP(-LN(2)/25)*EB72+(1-EXP(-LN(2)/25))/(LN(2)/25)*Calculateur!DW73*Calculateur!DY73*VLOOKUP('Données projet'!$B$14,Paramètres!$A$1:$I$88,3,0)*0.475*44/12</f>
        <v>#N/A</v>
      </c>
      <c r="EC73" s="23" t="e">
        <f>EXP(-LN(2)/2)*EC72+(1-EXP(-LN(2)/2))/(LN(2)/2)*DW73*DZ73*VLOOKUP('Données projet'!$B$14,Paramètres!$A$1:$I$88,3,0)*0.475*44/12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67.429620122169084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projet'!$B$15,Paramètres!$A$1:$I$88,3,0)*VLOOKUP('Données projet'!$B$15,Paramètres!$A$1:$I$88,5,0)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projet'!$B$15,Paramètres!$A$1:$I$88,7,0))</f>
        <v>0</v>
      </c>
      <c r="ET73" s="17">
        <f>IF(ISNA(VLOOKUP(A73,'Données projet'!$A$191:$I$211,6,0)),0%,VLOOKUP(A73,'Données projet'!$A$191:$I$211,6,0)*VLOOKUP('Données projet'!$B$15,Paramètres!$A$1:$I$88,7,0))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projet'!$B$15,Paramètres!$A$1:$I$88,3,0)*0.475*44/12</f>
        <v>#N/A</v>
      </c>
      <c r="EW73" s="23" t="e">
        <f>EXP(-LN(2)/25)*EW72+(1-EXP(-LN(2)/25))/(LN(2)/25)*Calculateur!ER73*Calculateur!ET73*VLOOKUP('Données projet'!$B$15,Paramètres!$A$1:$I$88,3,0)*0.475*44/12</f>
        <v>#N/A</v>
      </c>
      <c r="EX73" s="23" t="e">
        <f>EXP(-LN(2)/2)*EX72+(1-EXP(-LN(2)/2))/(LN(2)/2)*ER73*EU73*VLOOKUP('Données projet'!$B$15,Paramètres!$A$1:$I$88,3,0)*0.475*44/12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67.429620122169084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projet'!$B$16,Paramètres!$A$1:$I$88,3,0)*VLOOKUP('Données projet'!$B$16,Paramètres!$A$1:$I$88,5,0)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projet'!$B$16,Paramètres!$A$1:$I$88,7,0))</f>
        <v>0</v>
      </c>
      <c r="FO73" s="17">
        <f>IF(ISNA(VLOOKUP(A73,'Données projet'!$A$217:$I$237,6,0)),0%,VLOOKUP(A73,'Données projet'!$A$217:$I$237,6,0)*VLOOKUP('Données projet'!$B$16,Paramètres!$A$1:$I$88,7,0))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projet'!$B$16,Paramètres!$A$1:$I$88,3,0)*0.475*44/12</f>
        <v>#N/A</v>
      </c>
      <c r="FR73" s="23" t="e">
        <f>EXP(-LN(2)/25)*FR72+(1-EXP(-LN(2)/25))/(LN(2)/25)*Calculateur!FM73*Calculateur!FO73*VLOOKUP('Données projet'!$B$16,Paramètres!$A$1:$I$88,3,0)*0.475*44/12</f>
        <v>#N/A</v>
      </c>
      <c r="FS73" s="23" t="e">
        <f>EXP(-LN(2)/2)*FS72+(1-EXP(-LN(2)/2))/(LN(2)/2)*FM73*FP73*VLOOKUP('Données projet'!$B$16,Paramètres!$A$1:$I$88,3,0)*0.475*44/12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67.429620122169084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projet'!$B$17,Paramètres!$A$1:$I$88,3,0)*VLOOKUP('Données projet'!$B$17,Paramètres!$A$1:$I$88,5,0)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projet'!$B$17,Paramètres!$A$1:$I$88,7,0))</f>
        <v>0</v>
      </c>
      <c r="GJ73" s="17">
        <f>IF(ISNA(VLOOKUP(A73,'Données projet'!$A$243:$I$263,6,0)),0%,VLOOKUP(A73,'Données projet'!$A$243:$I$263,6,0)*VLOOKUP('Données projet'!$B$17,Paramètres!$A$1:$I$88,7,0))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projet'!$B$17,Paramètres!$A$1:$I$88,3,0)*0.475*44/12</f>
        <v>#N/A</v>
      </c>
      <c r="GM73" s="23" t="e">
        <f>EXP(-LN(2)/25)*GM72+(1-EXP(-LN(2)/25))/(LN(2)/25)*Calculateur!GH73*Calculateur!GJ73*VLOOKUP('Données projet'!$B$17,Paramètres!$A$1:$I$88,3,0)*0.475*44/12</f>
        <v>#N/A</v>
      </c>
      <c r="GN73" s="23" t="e">
        <f>EXP(-LN(2)/2)*GN72+(1-EXP(-LN(2)/2))/(LN(2)/2)*GH73*GK73*VLOOKUP('Données projet'!$B$17,Paramètres!$A$1:$I$88,3,0)*0.475*44/12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67.429620122169084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projet'!$B$18,Paramètres!$A$1:$I$88,3,0)*VLOOKUP('Données projet'!$B$18,Paramètres!$A$1:$I$88,5,0)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projet'!$B$18,Paramètres!$A$1:$I$88,7,0))</f>
        <v>0</v>
      </c>
      <c r="HE73" s="17">
        <f>IF(ISNA(VLOOKUP(A73,'Données projet'!$A$269:$I$289,6,0)),0%,VLOOKUP(A73,'Données projet'!$A$269:$I$289,6,0)*VLOOKUP('Données projet'!$B$18,Paramètres!$A$1:$I$88,7,0))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projet'!$B$18,Paramètres!$A$1:$I$88,3,0)*0.475*44/12</f>
        <v>#N/A</v>
      </c>
      <c r="HH73" s="23" t="e">
        <f>EXP(-LN(2)/25)*HH72+(1-EXP(-LN(2)/25))/(LN(2)/25)*Calculateur!HC73*Calculateur!HE73*VLOOKUP('Données projet'!$B$18,Paramètres!$A$1:$I$88,3,0)*0.475*44/12</f>
        <v>#N/A</v>
      </c>
      <c r="HI73" s="23" t="e">
        <f>EXP(-LN(2)/2)*HI72+(1-EXP(-LN(2)/2))/(LN(2)/2)*HC73*HF73*VLOOKUP('Données projet'!$B$18,Paramètres!$A$1:$I$88,3,0)*0.475*44/12</f>
        <v>#N/A</v>
      </c>
      <c r="HJ73" s="24" t="e">
        <f t="shared" si="84"/>
        <v>#N/A</v>
      </c>
    </row>
    <row r="74" spans="1:218" s="5" customFormat="1" x14ac:dyDescent="0.35">
      <c r="A74" s="11">
        <f t="shared" si="85"/>
        <v>71</v>
      </c>
      <c r="B74" s="77">
        <f>'Scénario référence'!$B$16*5+'Scénario référence'!$B$17*0+'Scénario référence'!$B$18*5</f>
        <v>1.75</v>
      </c>
      <c r="C74" s="20">
        <f>Calculateur!C73+'Scénario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74" s="12">
        <f t="shared" si="86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6.416666666666667</v>
      </c>
      <c r="H74" s="70">
        <f t="shared" si="56"/>
        <v>231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67.474210466540939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3.4106051316484809E-13</v>
      </c>
      <c r="O74" s="14">
        <f>N74*VLOOKUP('Données projet'!$B$9,Paramètres!$A$1:$I$88,3,0)*VLOOKUP('Données projet'!$B$9,Paramètres!$A$1:$I$88,5,0)</f>
        <v>1.9065282685915009E-13</v>
      </c>
      <c r="P74" s="14">
        <f t="shared" si="87"/>
        <v>2.6568987209435707E-12</v>
      </c>
      <c r="Q74" s="22">
        <f t="shared" si="54"/>
        <v>4.959485612423072E-12</v>
      </c>
      <c r="R74" s="62">
        <f t="shared" si="55"/>
        <v>284.07210504398836</v>
      </c>
      <c r="S74" s="62">
        <f ca="1">AVERAGE(OFFSET($R$3,0,0,'Données projet'!$E$9+1,1))-AVERAGE(OFFSET($H$3,0,0,'Données projet'!$E$9+1,1))</f>
        <v>341.05096821796769</v>
      </c>
      <c r="T74" s="62">
        <f t="shared" si="88"/>
        <v>400.72519822215168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projet'!$B$9,Paramètres!$A$1:$I$88,7,0))</f>
        <v>0</v>
      </c>
      <c r="X74" s="17">
        <f>IF(ISNA(VLOOKUP(A74,'Données projet'!$A$35:$I$55,6,0)),0%,VLOOKUP(A74,'Données projet'!$A$35:$I$55,6,0)*VLOOKUP('Données projet'!$B$9,Paramètres!$A$1:$I$88,7,0))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projet'!$B$9,Paramètres!$A$1:$I$88,3,0)*0.475*44/12</f>
        <v>192.71854145960879</v>
      </c>
      <c r="AA74" s="23">
        <f>EXP(-LN(2)/25)*AA73+(1-EXP(-LN(2)/25))/(LN(2)/25)*Calculateur!V74*Calculateur!X74*VLOOKUP('Données projet'!$B$9,Paramètres!$A$1:$I$88,3,0)*0.475*44/12</f>
        <v>97.68829818924408</v>
      </c>
      <c r="AB74" s="23">
        <f>EXP(-LN(2)/2)*AB73+(1-EXP(-LN(2)/2))/(LN(2)/2)*V74*Y74*VLOOKUP('Données projet'!$B$9,Paramètres!$A$1:$I$88,3,0)*0.475*44/12</f>
        <v>0</v>
      </c>
      <c r="AC74" s="24">
        <f t="shared" si="57"/>
        <v>290.40683964885284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67.474210466540939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5.6843418860808015E-14</v>
      </c>
      <c r="AJ74" s="14">
        <f>AI74*VLOOKUP('Données projet'!$B$10,Paramètres!$A$1:$I$88,3,0)*VLOOKUP('Données projet'!$B$10,Paramètres!$A$1:$I$88,5,0)</f>
        <v>3.3992364478763198E-14</v>
      </c>
      <c r="AK74" s="14">
        <f t="shared" si="89"/>
        <v>5.790027782444094E-13</v>
      </c>
      <c r="AL74" s="22">
        <f t="shared" si="58"/>
        <v>1.0676332069095257E-12</v>
      </c>
      <c r="AM74" s="62">
        <f t="shared" si="59"/>
        <v>284.07210504398449</v>
      </c>
      <c r="AN74" s="62">
        <f ca="1">AVERAGE(OFFSET($AM$3,0,0,'Données projet'!$E$10+1,1))-AVERAGE(OFFSET($H$3,0,0,'Données projet'!$E$10+1,1))</f>
        <v>231.96474801342879</v>
      </c>
      <c r="AO74" s="62">
        <f t="shared" si="90"/>
        <v>237.75726086383668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projet'!$B$10,Paramètres!$A$1:$I$88,7,0))</f>
        <v>0</v>
      </c>
      <c r="AS74" s="17">
        <f>IF(ISNA(VLOOKUP(A74,'Données projet'!$A$61:$I$81,6,0)),0%,VLOOKUP(A74,'Données projet'!$A$61:$I$81,6,0)*VLOOKUP('Données projet'!$B$10,Paramètres!$A$1:$I$88,7,0))</f>
        <v>0</v>
      </c>
      <c r="AT74" s="17">
        <f>IF(ISNA(VLOOKUP(A74,'Données projet'!$A$61:$I$81,7,0)),0%,VLOOKUP(A74,'Données projet'!$A$61:$I$81,7,0))</f>
        <v>0</v>
      </c>
      <c r="AU74" s="23">
        <f>EXP(-LN(2)/35)*AU73+(1-EXP(-LN(2)/35))/(LN(2)/35)*AQ74*AR74*VLOOKUP('Données projet'!$B$10,Paramètres!$A$1:$I$88,3,0)*0.475*44/12</f>
        <v>75.998466481918783</v>
      </c>
      <c r="AV74" s="23">
        <f>EXP(-LN(2)/25)*AV73+(1-EXP(-LN(2)/25))/(LN(2)/25)*Calculateur!AQ74*Calculateur!AS74*VLOOKUP('Données projet'!$B$10,Paramètres!$A$1:$I$88,3,0)*0.475*44/12</f>
        <v>41.25129841774109</v>
      </c>
      <c r="AW74" s="23">
        <f>EXP(-LN(2)/2)*AW73+(1-EXP(-LN(2)/2))/(LN(2)/2)*AQ74*AT74*VLOOKUP('Données projet'!$B$10,Paramètres!$A$1:$I$88,3,0)*0.475*44/12</f>
        <v>0</v>
      </c>
      <c r="AX74" s="23">
        <f t="shared" si="60"/>
        <v>117.24976489965988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67.474210466540939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16.7</v>
      </c>
      <c r="BD74" s="13">
        <f>IF('Données projet'!$A$88&gt;35,BD73+BC74-BL73,IF(A74&lt;'Données projet'!$A$88,$BA$205^A74,IF(A74='Données projet'!$A$88,'Données projet'!$B$88,BD73+BC74-BL73)))</f>
        <v>447.50000000000017</v>
      </c>
      <c r="BE74" s="14">
        <f>BD74*VLOOKUP('Données projet'!$B$11,Paramètres!$A$1:$I$88,3,0)*VLOOKUP('Données projet'!$B$11,Paramètres!$A$1:$I$88,5,0)</f>
        <v>209.43000000000006</v>
      </c>
      <c r="BF74" s="14">
        <f t="shared" si="91"/>
        <v>51.811006660589207</v>
      </c>
      <c r="BG74" s="22">
        <f t="shared" si="61"/>
        <v>454.99475326719295</v>
      </c>
      <c r="BH74" s="62">
        <f t="shared" si="62"/>
        <v>739.06685831117636</v>
      </c>
      <c r="BI74" s="62">
        <f ca="1">AVERAGE(OFFSET($BH$3,0,0,'Données projet'!$E$11+1,1))-AVERAGE(OFFSET($H$3,0,0,'Données projet'!$E$11+1,1))</f>
        <v>364.96458059055169</v>
      </c>
      <c r="BJ74" s="62">
        <f t="shared" si="92"/>
        <v>246.27159120786257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projet'!$B$11,Paramètres!$A$1:$I$88,7,0))</f>
        <v>0</v>
      </c>
      <c r="BN74" s="17">
        <f>IF(ISNA(VLOOKUP(A74,'Données projet'!$A$87:$I$107,6,0)),0%,VLOOKUP(A74,'Données projet'!$A$87:$I$107,6,0)*VLOOKUP('Données projet'!$B$11,Paramètres!$A$1:$I$88,7,0))</f>
        <v>0</v>
      </c>
      <c r="BO74" s="17">
        <f>IF(ISNA(VLOOKUP(A74,'Données projet'!$A$87:$I$107,7,0)),0%,VLOOKUP(A74,'Données projet'!$A$87:$I$107,7,0))</f>
        <v>0</v>
      </c>
      <c r="BP74" s="23">
        <f>EXP(-LN(2)/35)*BP73+(1-EXP(-LN(2)/35))/(LN(2)/35)*BL74*BM74*VLOOKUP('Données projet'!$B$11,Paramètres!$A$1:$I$88,3,0)*0.475*44/12</f>
        <v>48.64011174983041</v>
      </c>
      <c r="BQ74" s="23">
        <f>EXP(-LN(2)/25)*BQ73+(1-EXP(-LN(2)/25))/(LN(2)/25)*Calculateur!BL74*Calculateur!BN74*VLOOKUP('Données projet'!$B$11,Paramètres!$A$1:$I$88,3,0)*0.475*44/12</f>
        <v>23.770162468879679</v>
      </c>
      <c r="BR74" s="23">
        <f>EXP(-LN(2)/2)*BR73+(1-EXP(-LN(2)/2))/(LN(2)/2)*BL74*BO74*VLOOKUP('Données projet'!$B$11,Paramètres!$A$1:$I$88,3,0)*0.475*44/12</f>
        <v>0</v>
      </c>
      <c r="BS74" s="24">
        <f t="shared" si="63"/>
        <v>72.410274218710086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67.474210466540939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-1.1368683772161603E-13</v>
      </c>
      <c r="BZ74" s="14">
        <f>BY74*VLOOKUP('Données projet'!$B$12,Paramètres!$A$1:$I$88,3,0)*VLOOKUP('Données projet'!$B$12,Paramètres!$A$1:$I$88,5,0)</f>
        <v>-1.1527845344971866E-13</v>
      </c>
      <c r="CA74" s="14" t="e">
        <f t="shared" si="93"/>
        <v>#NUM!</v>
      </c>
      <c r="CB74" s="22" t="e">
        <f t="shared" si="64"/>
        <v>#NUM!</v>
      </c>
      <c r="CC74" s="62" t="e">
        <f t="shared" si="65"/>
        <v>#NUM!</v>
      </c>
      <c r="CD74" s="62">
        <f ca="1">AVERAGE(OFFSET($CC$3,0,0,'Données projet'!$E$12+1,1))-AVERAGE(OFFSET($H$3,0,0,'Données projet'!$E$12+1,1))</f>
        <v>310.53598044763282</v>
      </c>
      <c r="CE74" s="62">
        <f t="shared" si="94"/>
        <v>322.01096634040596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projet'!$B$12,Paramètres!$A$1:$I$88,7,0))</f>
        <v>0</v>
      </c>
      <c r="CI74" s="17">
        <f>IF(ISNA(VLOOKUP(A74,'Données projet'!$A$113:$I$133,6,0)),0%,VLOOKUP(A74,'Données projet'!$A$113:$I$133,6,0)*VLOOKUP('Données projet'!$B$12,Paramètres!$A$1:$I$88,7,0))</f>
        <v>0</v>
      </c>
      <c r="CJ74" s="17">
        <f>IF(ISNA(VLOOKUP(A74,'Données projet'!$A$113:$I$133,7,0)),0%,VLOOKUP(A74,'Données projet'!$A$113:$I$133,7,0))</f>
        <v>0</v>
      </c>
      <c r="CK74" s="23">
        <f>EXP(-LN(2)/35)*CK73+(1-EXP(-LN(2)/35))/(LN(2)/35)*CG74*CH74*VLOOKUP('Données projet'!$B$12,Paramètres!$A$1:$I$88,3,0)*0.475*44/12</f>
        <v>58.148076934270023</v>
      </c>
      <c r="CL74" s="23">
        <f>EXP(-LN(2)/25)*CL73+(1-EXP(-LN(2)/25))/(LN(2)/25)*Calculateur!CG74*Calculateur!CI74*VLOOKUP('Données projet'!$B$12,Paramètres!$A$1:$I$88,3,0)*0.475*44/12</f>
        <v>0</v>
      </c>
      <c r="CM74" s="23">
        <f>EXP(-LN(2)/2)*CM73+(1-EXP(-LN(2)/2))/(LN(2)/2)*CG74*CJ74*VLOOKUP('Données projet'!$B$12,Paramètres!$A$1:$I$88,3,0)*0.475*44/12</f>
        <v>0</v>
      </c>
      <c r="CN74" s="24">
        <f t="shared" si="66"/>
        <v>58.148076934270023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67.474210466540939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projet'!$B$13,Paramètres!$A$1:$I$88,3,0)*VLOOKUP('Données projet'!$B$13,Paramètres!$A$1:$I$88,5,0)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projet'!$B$13,Paramètres!$A$1:$I$88,7,0))</f>
        <v>0</v>
      </c>
      <c r="DD74" s="17">
        <f>IF(ISNA(VLOOKUP(A74,'Données projet'!$A$139:$I$159,6,0)),0%,VLOOKUP(A74,'Données projet'!$A$139:$I$159,6,0)*VLOOKUP('Données projet'!$B$13,Paramètres!$A$1:$I$88,7,0))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projet'!$B$13,Paramètres!$A$1:$I$88,3,0)*0.475*44/12</f>
        <v>#N/A</v>
      </c>
      <c r="DG74" s="23" t="e">
        <f>EXP(-LN(2)/25)*DG73+(1-EXP(-LN(2)/25))/(LN(2)/25)*Calculateur!DB74*Calculateur!DD74*VLOOKUP('Données projet'!$B$13,Paramètres!$A$1:$I$88,3,0)*0.475*44/12</f>
        <v>#N/A</v>
      </c>
      <c r="DH74" s="23" t="e">
        <f>EXP(-LN(2)/2)*DH73+(1-EXP(-LN(2)/2))/(LN(2)/2)*DB74*DE74*VLOOKUP('Données projet'!$B$13,Paramètres!$A$1:$I$88,3,0)*0.475*44/12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67.474210466540939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projet'!$B$14,Paramètres!$A$1:$I$88,3,0)*VLOOKUP('Données projet'!$B$14,Paramètres!$A$1:$I$88,5,0)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projet'!$B$14,Paramètres!$A$1:$I$88,7,0))</f>
        <v>0</v>
      </c>
      <c r="DY74" s="17">
        <f>IF(ISNA(VLOOKUP(A74,'Données projet'!$A$165:$I$185,6,0)),0%,VLOOKUP(A74,'Données projet'!$A$165:$I$185,6,0)*VLOOKUP('Données projet'!$B$14,Paramètres!$A$1:$I$88,7,0))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projet'!$B$14,Paramètres!$A$1:$I$88,3,0)*0.475*44/12</f>
        <v>#N/A</v>
      </c>
      <c r="EB74" s="23" t="e">
        <f>EXP(-LN(2)/25)*EB73+(1-EXP(-LN(2)/25))/(LN(2)/25)*Calculateur!DW74*Calculateur!DY74*VLOOKUP('Données projet'!$B$14,Paramètres!$A$1:$I$88,3,0)*0.475*44/12</f>
        <v>#N/A</v>
      </c>
      <c r="EC74" s="23" t="e">
        <f>EXP(-LN(2)/2)*EC73+(1-EXP(-LN(2)/2))/(LN(2)/2)*DW74*DZ74*VLOOKUP('Données projet'!$B$14,Paramètres!$A$1:$I$88,3,0)*0.475*44/12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67.474210466540939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projet'!$B$15,Paramètres!$A$1:$I$88,3,0)*VLOOKUP('Données projet'!$B$15,Paramètres!$A$1:$I$88,5,0)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projet'!$B$15,Paramètres!$A$1:$I$88,7,0))</f>
        <v>0</v>
      </c>
      <c r="ET74" s="17">
        <f>IF(ISNA(VLOOKUP(A74,'Données projet'!$A$191:$I$211,6,0)),0%,VLOOKUP(A74,'Données projet'!$A$191:$I$211,6,0)*VLOOKUP('Données projet'!$B$15,Paramètres!$A$1:$I$88,7,0))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projet'!$B$15,Paramètres!$A$1:$I$88,3,0)*0.475*44/12</f>
        <v>#N/A</v>
      </c>
      <c r="EW74" s="23" t="e">
        <f>EXP(-LN(2)/25)*EW73+(1-EXP(-LN(2)/25))/(LN(2)/25)*Calculateur!ER74*Calculateur!ET74*VLOOKUP('Données projet'!$B$15,Paramètres!$A$1:$I$88,3,0)*0.475*44/12</f>
        <v>#N/A</v>
      </c>
      <c r="EX74" s="23" t="e">
        <f>EXP(-LN(2)/2)*EX73+(1-EXP(-LN(2)/2))/(LN(2)/2)*ER74*EU74*VLOOKUP('Données projet'!$B$15,Paramètres!$A$1:$I$88,3,0)*0.475*44/12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67.474210466540939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projet'!$B$16,Paramètres!$A$1:$I$88,3,0)*VLOOKUP('Données projet'!$B$16,Paramètres!$A$1:$I$88,5,0)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projet'!$B$16,Paramètres!$A$1:$I$88,7,0))</f>
        <v>0</v>
      </c>
      <c r="FO74" s="17">
        <f>IF(ISNA(VLOOKUP(A74,'Données projet'!$A$217:$I$237,6,0)),0%,VLOOKUP(A74,'Données projet'!$A$217:$I$237,6,0)*VLOOKUP('Données projet'!$B$16,Paramètres!$A$1:$I$88,7,0))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projet'!$B$16,Paramètres!$A$1:$I$88,3,0)*0.475*44/12</f>
        <v>#N/A</v>
      </c>
      <c r="FR74" s="23" t="e">
        <f>EXP(-LN(2)/25)*FR73+(1-EXP(-LN(2)/25))/(LN(2)/25)*Calculateur!FM74*Calculateur!FO74*VLOOKUP('Données projet'!$B$16,Paramètres!$A$1:$I$88,3,0)*0.475*44/12</f>
        <v>#N/A</v>
      </c>
      <c r="FS74" s="23" t="e">
        <f>EXP(-LN(2)/2)*FS73+(1-EXP(-LN(2)/2))/(LN(2)/2)*FM74*FP74*VLOOKUP('Données projet'!$B$16,Paramètres!$A$1:$I$88,3,0)*0.475*44/12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67.474210466540939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projet'!$B$17,Paramètres!$A$1:$I$88,3,0)*VLOOKUP('Données projet'!$B$17,Paramètres!$A$1:$I$88,5,0)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projet'!$B$17,Paramètres!$A$1:$I$88,7,0))</f>
        <v>0</v>
      </c>
      <c r="GJ74" s="17">
        <f>IF(ISNA(VLOOKUP(A74,'Données projet'!$A$243:$I$263,6,0)),0%,VLOOKUP(A74,'Données projet'!$A$243:$I$263,6,0)*VLOOKUP('Données projet'!$B$17,Paramètres!$A$1:$I$88,7,0))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projet'!$B$17,Paramètres!$A$1:$I$88,3,0)*0.475*44/12</f>
        <v>#N/A</v>
      </c>
      <c r="GM74" s="23" t="e">
        <f>EXP(-LN(2)/25)*GM73+(1-EXP(-LN(2)/25))/(LN(2)/25)*Calculateur!GH74*Calculateur!GJ74*VLOOKUP('Données projet'!$B$17,Paramètres!$A$1:$I$88,3,0)*0.475*44/12</f>
        <v>#N/A</v>
      </c>
      <c r="GN74" s="23" t="e">
        <f>EXP(-LN(2)/2)*GN73+(1-EXP(-LN(2)/2))/(LN(2)/2)*GH74*GK74*VLOOKUP('Données projet'!$B$17,Paramètres!$A$1:$I$88,3,0)*0.475*44/12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67.474210466540939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projet'!$B$18,Paramètres!$A$1:$I$88,3,0)*VLOOKUP('Données projet'!$B$18,Paramètres!$A$1:$I$88,5,0)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projet'!$B$18,Paramètres!$A$1:$I$88,7,0))</f>
        <v>0</v>
      </c>
      <c r="HE74" s="17">
        <f>IF(ISNA(VLOOKUP(A74,'Données projet'!$A$269:$I$289,6,0)),0%,VLOOKUP(A74,'Données projet'!$A$269:$I$289,6,0)*VLOOKUP('Données projet'!$B$18,Paramètres!$A$1:$I$88,7,0))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projet'!$B$18,Paramètres!$A$1:$I$88,3,0)*0.475*44/12</f>
        <v>#N/A</v>
      </c>
      <c r="HH74" s="23" t="e">
        <f>EXP(-LN(2)/25)*HH73+(1-EXP(-LN(2)/25))/(LN(2)/25)*Calculateur!HC74*Calculateur!HE74*VLOOKUP('Données projet'!$B$18,Paramètres!$A$1:$I$88,3,0)*0.475*44/12</f>
        <v>#N/A</v>
      </c>
      <c r="HI74" s="23" t="e">
        <f>EXP(-LN(2)/2)*HI73+(1-EXP(-LN(2)/2))/(LN(2)/2)*HC74*HF74*VLOOKUP('Données projet'!$B$18,Paramètres!$A$1:$I$88,3,0)*0.475*44/12</f>
        <v>#N/A</v>
      </c>
      <c r="HJ74" s="24" t="e">
        <f t="shared" si="84"/>
        <v>#N/A</v>
      </c>
    </row>
    <row r="75" spans="1:218" s="5" customFormat="1" x14ac:dyDescent="0.35">
      <c r="A75" s="11">
        <f t="shared" si="85"/>
        <v>72</v>
      </c>
      <c r="B75" s="77">
        <f>'Scénario référence'!$B$16*5+'Scénario référence'!$B$17*0+'Scénario référence'!$B$18*5</f>
        <v>1.75</v>
      </c>
      <c r="C75" s="20">
        <f>Calculateur!C74+'Scénario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75" s="12">
        <f t="shared" si="86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6.416666666666667</v>
      </c>
      <c r="H75" s="70">
        <f t="shared" si="56"/>
        <v>231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67.518027268127014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3.4106051316484809E-13</v>
      </c>
      <c r="O75" s="14">
        <f>N75*VLOOKUP('Données projet'!$B$9,Paramètres!$A$1:$I$88,3,0)*VLOOKUP('Données projet'!$B$9,Paramètres!$A$1:$I$88,5,0)</f>
        <v>1.9065282685915009E-13</v>
      </c>
      <c r="P75" s="14">
        <f t="shared" si="87"/>
        <v>2.6568987209435707E-12</v>
      </c>
      <c r="Q75" s="22">
        <f t="shared" si="54"/>
        <v>4.959485612423072E-12</v>
      </c>
      <c r="R75" s="62">
        <f t="shared" si="55"/>
        <v>284.23276664980398</v>
      </c>
      <c r="S75" s="62">
        <f ca="1">AVERAGE(OFFSET($R$3,0,0,'Données projet'!$E$9+1,1))-AVERAGE(OFFSET($H$3,0,0,'Données projet'!$E$9+1,1))</f>
        <v>341.05096821796769</v>
      </c>
      <c r="T75" s="62">
        <f t="shared" si="88"/>
        <v>400.72519822215168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projet'!$B$9,Paramètres!$A$1:$I$88,7,0))</f>
        <v>0</v>
      </c>
      <c r="X75" s="17">
        <f>IF(ISNA(VLOOKUP(A75,'Données projet'!$A$35:$I$55,6,0)),0%,VLOOKUP(A75,'Données projet'!$A$35:$I$55,6,0)*VLOOKUP('Données projet'!$B$9,Paramètres!$A$1:$I$88,7,0))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projet'!$B$9,Paramètres!$A$1:$I$88,3,0)*0.475*44/12</f>
        <v>188.93944840828937</v>
      </c>
      <c r="AA75" s="23">
        <f>EXP(-LN(2)/25)*AA74+(1-EXP(-LN(2)/25))/(LN(2)/25)*Calculateur!V75*Calculateur!X75*VLOOKUP('Données projet'!$B$9,Paramètres!$A$1:$I$88,3,0)*0.475*44/12</f>
        <v>95.017006538054872</v>
      </c>
      <c r="AB75" s="23">
        <f>EXP(-LN(2)/2)*AB74+(1-EXP(-LN(2)/2))/(LN(2)/2)*V75*Y75*VLOOKUP('Données projet'!$B$9,Paramètres!$A$1:$I$88,3,0)*0.475*44/12</f>
        <v>0</v>
      </c>
      <c r="AC75" s="24">
        <f t="shared" si="57"/>
        <v>283.95645494634425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67.518027268127014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5.6843418860808015E-14</v>
      </c>
      <c r="AJ75" s="14">
        <f>AI75*VLOOKUP('Données projet'!$B$10,Paramètres!$A$1:$I$88,3,0)*VLOOKUP('Données projet'!$B$10,Paramètres!$A$1:$I$88,5,0)</f>
        <v>3.3992364478763198E-14</v>
      </c>
      <c r="AK75" s="14">
        <f t="shared" si="89"/>
        <v>5.790027782444094E-13</v>
      </c>
      <c r="AL75" s="22">
        <f t="shared" si="58"/>
        <v>1.0676332069095257E-12</v>
      </c>
      <c r="AM75" s="62">
        <f t="shared" si="59"/>
        <v>284.23276664980011</v>
      </c>
      <c r="AN75" s="62">
        <f ca="1">AVERAGE(OFFSET($AM$3,0,0,'Données projet'!$E$10+1,1))-AVERAGE(OFFSET($H$3,0,0,'Données projet'!$E$10+1,1))</f>
        <v>231.96474801342879</v>
      </c>
      <c r="AO75" s="62">
        <f t="shared" si="90"/>
        <v>237.75726086383668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projet'!$B$10,Paramètres!$A$1:$I$88,7,0))</f>
        <v>0</v>
      </c>
      <c r="AS75" s="17">
        <f>IF(ISNA(VLOOKUP(A75,'Données projet'!$A$61:$I$81,6,0)),0%,VLOOKUP(A75,'Données projet'!$A$61:$I$81,6,0)*VLOOKUP('Données projet'!$B$10,Paramètres!$A$1:$I$88,7,0))</f>
        <v>0</v>
      </c>
      <c r="AT75" s="17">
        <f>IF(ISNA(VLOOKUP(A75,'Données projet'!$A$61:$I$81,7,0)),0%,VLOOKUP(A75,'Données projet'!$A$61:$I$81,7,0))</f>
        <v>0</v>
      </c>
      <c r="AU75" s="23">
        <f>EXP(-LN(2)/35)*AU74+(1-EXP(-LN(2)/35))/(LN(2)/35)*AQ75*AR75*VLOOKUP('Données projet'!$B$10,Paramètres!$A$1:$I$88,3,0)*0.475*44/12</f>
        <v>74.508182908695787</v>
      </c>
      <c r="AV75" s="23">
        <f>EXP(-LN(2)/25)*AV74+(1-EXP(-LN(2)/25))/(LN(2)/25)*Calculateur!AQ75*Calculateur!AS75*VLOOKUP('Données projet'!$B$10,Paramètres!$A$1:$I$88,3,0)*0.475*44/12</f>
        <v>40.123279493196456</v>
      </c>
      <c r="AW75" s="23">
        <f>EXP(-LN(2)/2)*AW74+(1-EXP(-LN(2)/2))/(LN(2)/2)*AQ75*AT75*VLOOKUP('Données projet'!$B$10,Paramètres!$A$1:$I$88,3,0)*0.475*44/12</f>
        <v>0</v>
      </c>
      <c r="AX75" s="23">
        <f t="shared" si="60"/>
        <v>114.63146240189224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67.518027268127014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16.7</v>
      </c>
      <c r="BD75" s="13">
        <f>IF('Données projet'!$A$88&gt;35,BD74+BC75-BL74,IF(A75&lt;'Données projet'!$A$88,$BA$205^A75,IF(A75='Données projet'!$A$88,'Données projet'!$B$88,BD74+BC75-BL74)))</f>
        <v>464.20000000000016</v>
      </c>
      <c r="BE75" s="14">
        <f>BD75*VLOOKUP('Données projet'!$B$11,Paramètres!$A$1:$I$88,3,0)*VLOOKUP('Données projet'!$B$11,Paramètres!$A$1:$I$88,5,0)</f>
        <v>217.24560000000008</v>
      </c>
      <c r="BF75" s="14">
        <f t="shared" si="91"/>
        <v>53.515792225077377</v>
      </c>
      <c r="BG75" s="22">
        <f t="shared" si="61"/>
        <v>471.5760914586765</v>
      </c>
      <c r="BH75" s="62">
        <f t="shared" si="62"/>
        <v>755.80885810847553</v>
      </c>
      <c r="BI75" s="62">
        <f ca="1">AVERAGE(OFFSET($BH$3,0,0,'Données projet'!$E$11+1,1))-AVERAGE(OFFSET($H$3,0,0,'Données projet'!$E$11+1,1))</f>
        <v>364.96458059055169</v>
      </c>
      <c r="BJ75" s="62">
        <f t="shared" si="92"/>
        <v>246.27159120786257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projet'!$B$11,Paramètres!$A$1:$I$88,7,0))</f>
        <v>0</v>
      </c>
      <c r="BN75" s="17">
        <f>IF(ISNA(VLOOKUP(A75,'Données projet'!$A$87:$I$107,6,0)),0%,VLOOKUP(A75,'Données projet'!$A$87:$I$107,6,0)*VLOOKUP('Données projet'!$B$11,Paramètres!$A$1:$I$88,7,0))</f>
        <v>0</v>
      </c>
      <c r="BO75" s="17">
        <f>IF(ISNA(VLOOKUP(A75,'Données projet'!$A$87:$I$107,7,0)),0%,VLOOKUP(A75,'Données projet'!$A$87:$I$107,7,0))</f>
        <v>0</v>
      </c>
      <c r="BP75" s="23">
        <f>EXP(-LN(2)/35)*BP74+(1-EXP(-LN(2)/35))/(LN(2)/35)*BL75*BM75*VLOOKUP('Données projet'!$B$11,Paramètres!$A$1:$I$88,3,0)*0.475*44/12</f>
        <v>47.686308825954974</v>
      </c>
      <c r="BQ75" s="23">
        <f>EXP(-LN(2)/25)*BQ74+(1-EXP(-LN(2)/25))/(LN(2)/25)*Calculateur!BL75*Calculateur!BN75*VLOOKUP('Données projet'!$B$11,Paramètres!$A$1:$I$88,3,0)*0.475*44/12</f>
        <v>23.120166126149648</v>
      </c>
      <c r="BR75" s="23">
        <f>EXP(-LN(2)/2)*BR74+(1-EXP(-LN(2)/2))/(LN(2)/2)*BL75*BO75*VLOOKUP('Données projet'!$B$11,Paramètres!$A$1:$I$88,3,0)*0.475*44/12</f>
        <v>0</v>
      </c>
      <c r="BS75" s="24">
        <f t="shared" si="63"/>
        <v>70.806474952104622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67.518027268127014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-1.1368683772161603E-13</v>
      </c>
      <c r="BZ75" s="14">
        <f>BY75*VLOOKUP('Données projet'!$B$12,Paramètres!$A$1:$I$88,3,0)*VLOOKUP('Données projet'!$B$12,Paramètres!$A$1:$I$88,5,0)</f>
        <v>-1.1527845344971866E-13</v>
      </c>
      <c r="CA75" s="14" t="e">
        <f t="shared" si="93"/>
        <v>#NUM!</v>
      </c>
      <c r="CB75" s="22" t="e">
        <f t="shared" si="64"/>
        <v>#NUM!</v>
      </c>
      <c r="CC75" s="62" t="e">
        <f t="shared" si="65"/>
        <v>#NUM!</v>
      </c>
      <c r="CD75" s="62">
        <f ca="1">AVERAGE(OFFSET($CC$3,0,0,'Données projet'!$E$12+1,1))-AVERAGE(OFFSET($H$3,0,0,'Données projet'!$E$12+1,1))</f>
        <v>310.53598044763282</v>
      </c>
      <c r="CE75" s="62">
        <f t="shared" si="94"/>
        <v>322.01096634040596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projet'!$B$12,Paramètres!$A$1:$I$88,7,0))</f>
        <v>0</v>
      </c>
      <c r="CI75" s="17">
        <f>IF(ISNA(VLOOKUP(A75,'Données projet'!$A$113:$I$133,6,0)),0%,VLOOKUP(A75,'Données projet'!$A$113:$I$133,6,0)*VLOOKUP('Données projet'!$B$12,Paramètres!$A$1:$I$88,7,0))</f>
        <v>0</v>
      </c>
      <c r="CJ75" s="17">
        <f>IF(ISNA(VLOOKUP(A75,'Données projet'!$A$113:$I$133,7,0)),0%,VLOOKUP(A75,'Données projet'!$A$113:$I$133,7,0))</f>
        <v>0</v>
      </c>
      <c r="CK75" s="23">
        <f>EXP(-LN(2)/35)*CK74+(1-EXP(-LN(2)/35))/(LN(2)/35)*CG75*CH75*VLOOKUP('Données projet'!$B$12,Paramètres!$A$1:$I$88,3,0)*0.475*44/12</f>
        <v>57.00782861241386</v>
      </c>
      <c r="CL75" s="23">
        <f>EXP(-LN(2)/25)*CL74+(1-EXP(-LN(2)/25))/(LN(2)/25)*Calculateur!CG75*Calculateur!CI75*VLOOKUP('Données projet'!$B$12,Paramètres!$A$1:$I$88,3,0)*0.475*44/12</f>
        <v>0</v>
      </c>
      <c r="CM75" s="23">
        <f>EXP(-LN(2)/2)*CM74+(1-EXP(-LN(2)/2))/(LN(2)/2)*CG75*CJ75*VLOOKUP('Données projet'!$B$12,Paramètres!$A$1:$I$88,3,0)*0.475*44/12</f>
        <v>0</v>
      </c>
      <c r="CN75" s="24">
        <f t="shared" si="66"/>
        <v>57.00782861241386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67.518027268127014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projet'!$B$13,Paramètres!$A$1:$I$88,3,0)*VLOOKUP('Données projet'!$B$13,Paramètres!$A$1:$I$88,5,0)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projet'!$B$13,Paramètres!$A$1:$I$88,7,0))</f>
        <v>0</v>
      </c>
      <c r="DD75" s="17">
        <f>IF(ISNA(VLOOKUP(A75,'Données projet'!$A$139:$I$159,6,0)),0%,VLOOKUP(A75,'Données projet'!$A$139:$I$159,6,0)*VLOOKUP('Données projet'!$B$13,Paramètres!$A$1:$I$88,7,0))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projet'!$B$13,Paramètres!$A$1:$I$88,3,0)*0.475*44/12</f>
        <v>#N/A</v>
      </c>
      <c r="DG75" s="23" t="e">
        <f>EXP(-LN(2)/25)*DG74+(1-EXP(-LN(2)/25))/(LN(2)/25)*Calculateur!DB75*Calculateur!DD75*VLOOKUP('Données projet'!$B$13,Paramètres!$A$1:$I$88,3,0)*0.475*44/12</f>
        <v>#N/A</v>
      </c>
      <c r="DH75" s="23" t="e">
        <f>EXP(-LN(2)/2)*DH74+(1-EXP(-LN(2)/2))/(LN(2)/2)*DB75*DE75*VLOOKUP('Données projet'!$B$13,Paramètres!$A$1:$I$88,3,0)*0.475*44/12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67.518027268127014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projet'!$B$14,Paramètres!$A$1:$I$88,3,0)*VLOOKUP('Données projet'!$B$14,Paramètres!$A$1:$I$88,5,0)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projet'!$B$14,Paramètres!$A$1:$I$88,7,0))</f>
        <v>0</v>
      </c>
      <c r="DY75" s="17">
        <f>IF(ISNA(VLOOKUP(A75,'Données projet'!$A$165:$I$185,6,0)),0%,VLOOKUP(A75,'Données projet'!$A$165:$I$185,6,0)*VLOOKUP('Données projet'!$B$14,Paramètres!$A$1:$I$88,7,0))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projet'!$B$14,Paramètres!$A$1:$I$88,3,0)*0.475*44/12</f>
        <v>#N/A</v>
      </c>
      <c r="EB75" s="23" t="e">
        <f>EXP(-LN(2)/25)*EB74+(1-EXP(-LN(2)/25))/(LN(2)/25)*Calculateur!DW75*Calculateur!DY75*VLOOKUP('Données projet'!$B$14,Paramètres!$A$1:$I$88,3,0)*0.475*44/12</f>
        <v>#N/A</v>
      </c>
      <c r="EC75" s="23" t="e">
        <f>EXP(-LN(2)/2)*EC74+(1-EXP(-LN(2)/2))/(LN(2)/2)*DW75*DZ75*VLOOKUP('Données projet'!$B$14,Paramètres!$A$1:$I$88,3,0)*0.475*44/12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67.518027268127014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projet'!$B$15,Paramètres!$A$1:$I$88,3,0)*VLOOKUP('Données projet'!$B$15,Paramètres!$A$1:$I$88,5,0)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projet'!$B$15,Paramètres!$A$1:$I$88,7,0))</f>
        <v>0</v>
      </c>
      <c r="ET75" s="17">
        <f>IF(ISNA(VLOOKUP(A75,'Données projet'!$A$191:$I$211,6,0)),0%,VLOOKUP(A75,'Données projet'!$A$191:$I$211,6,0)*VLOOKUP('Données projet'!$B$15,Paramètres!$A$1:$I$88,7,0))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projet'!$B$15,Paramètres!$A$1:$I$88,3,0)*0.475*44/12</f>
        <v>#N/A</v>
      </c>
      <c r="EW75" s="23" t="e">
        <f>EXP(-LN(2)/25)*EW74+(1-EXP(-LN(2)/25))/(LN(2)/25)*Calculateur!ER75*Calculateur!ET75*VLOOKUP('Données projet'!$B$15,Paramètres!$A$1:$I$88,3,0)*0.475*44/12</f>
        <v>#N/A</v>
      </c>
      <c r="EX75" s="23" t="e">
        <f>EXP(-LN(2)/2)*EX74+(1-EXP(-LN(2)/2))/(LN(2)/2)*ER75*EU75*VLOOKUP('Données projet'!$B$15,Paramètres!$A$1:$I$88,3,0)*0.475*44/12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67.518027268127014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projet'!$B$16,Paramètres!$A$1:$I$88,3,0)*VLOOKUP('Données projet'!$B$16,Paramètres!$A$1:$I$88,5,0)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projet'!$B$16,Paramètres!$A$1:$I$88,7,0))</f>
        <v>0</v>
      </c>
      <c r="FO75" s="17">
        <f>IF(ISNA(VLOOKUP(A75,'Données projet'!$A$217:$I$237,6,0)),0%,VLOOKUP(A75,'Données projet'!$A$217:$I$237,6,0)*VLOOKUP('Données projet'!$B$16,Paramètres!$A$1:$I$88,7,0))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projet'!$B$16,Paramètres!$A$1:$I$88,3,0)*0.475*44/12</f>
        <v>#N/A</v>
      </c>
      <c r="FR75" s="23" t="e">
        <f>EXP(-LN(2)/25)*FR74+(1-EXP(-LN(2)/25))/(LN(2)/25)*Calculateur!FM75*Calculateur!FO75*VLOOKUP('Données projet'!$B$16,Paramètres!$A$1:$I$88,3,0)*0.475*44/12</f>
        <v>#N/A</v>
      </c>
      <c r="FS75" s="23" t="e">
        <f>EXP(-LN(2)/2)*FS74+(1-EXP(-LN(2)/2))/(LN(2)/2)*FM75*FP75*VLOOKUP('Données projet'!$B$16,Paramètres!$A$1:$I$88,3,0)*0.475*44/12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67.518027268127014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projet'!$B$17,Paramètres!$A$1:$I$88,3,0)*VLOOKUP('Données projet'!$B$17,Paramètres!$A$1:$I$88,5,0)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projet'!$B$17,Paramètres!$A$1:$I$88,7,0))</f>
        <v>0</v>
      </c>
      <c r="GJ75" s="17">
        <f>IF(ISNA(VLOOKUP(A75,'Données projet'!$A$243:$I$263,6,0)),0%,VLOOKUP(A75,'Données projet'!$A$243:$I$263,6,0)*VLOOKUP('Données projet'!$B$17,Paramètres!$A$1:$I$88,7,0))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projet'!$B$17,Paramètres!$A$1:$I$88,3,0)*0.475*44/12</f>
        <v>#N/A</v>
      </c>
      <c r="GM75" s="23" t="e">
        <f>EXP(-LN(2)/25)*GM74+(1-EXP(-LN(2)/25))/(LN(2)/25)*Calculateur!GH75*Calculateur!GJ75*VLOOKUP('Données projet'!$B$17,Paramètres!$A$1:$I$88,3,0)*0.475*44/12</f>
        <v>#N/A</v>
      </c>
      <c r="GN75" s="23" t="e">
        <f>EXP(-LN(2)/2)*GN74+(1-EXP(-LN(2)/2))/(LN(2)/2)*GH75*GK75*VLOOKUP('Données projet'!$B$17,Paramètres!$A$1:$I$88,3,0)*0.475*44/12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67.518027268127014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projet'!$B$18,Paramètres!$A$1:$I$88,3,0)*VLOOKUP('Données projet'!$B$18,Paramètres!$A$1:$I$88,5,0)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projet'!$B$18,Paramètres!$A$1:$I$88,7,0))</f>
        <v>0</v>
      </c>
      <c r="HE75" s="17">
        <f>IF(ISNA(VLOOKUP(A75,'Données projet'!$A$269:$I$289,6,0)),0%,VLOOKUP(A75,'Données projet'!$A$269:$I$289,6,0)*VLOOKUP('Données projet'!$B$18,Paramètres!$A$1:$I$88,7,0))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projet'!$B$18,Paramètres!$A$1:$I$88,3,0)*0.475*44/12</f>
        <v>#N/A</v>
      </c>
      <c r="HH75" s="23" t="e">
        <f>EXP(-LN(2)/25)*HH74+(1-EXP(-LN(2)/25))/(LN(2)/25)*Calculateur!HC75*Calculateur!HE75*VLOOKUP('Données projet'!$B$18,Paramètres!$A$1:$I$88,3,0)*0.475*44/12</f>
        <v>#N/A</v>
      </c>
      <c r="HI75" s="23" t="e">
        <f>EXP(-LN(2)/2)*HI74+(1-EXP(-LN(2)/2))/(LN(2)/2)*HC75*HF75*VLOOKUP('Données projet'!$B$18,Paramètres!$A$1:$I$88,3,0)*0.475*44/12</f>
        <v>#N/A</v>
      </c>
      <c r="HJ75" s="24" t="e">
        <f t="shared" si="84"/>
        <v>#N/A</v>
      </c>
    </row>
    <row r="76" spans="1:218" s="5" customFormat="1" x14ac:dyDescent="0.35">
      <c r="A76" s="11">
        <f t="shared" si="85"/>
        <v>73</v>
      </c>
      <c r="B76" s="77">
        <f>'Scénario référence'!$B$16*5+'Scénario référence'!$B$17*0+'Scénario référence'!$B$18*5</f>
        <v>1.75</v>
      </c>
      <c r="C76" s="20">
        <f>Calculateur!C75+'Scénario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76" s="12">
        <f t="shared" si="86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6.416666666666667</v>
      </c>
      <c r="H76" s="70">
        <f t="shared" si="56"/>
        <v>231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67.561083946165255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3.4106051316484809E-13</v>
      </c>
      <c r="O76" s="14">
        <f>N76*VLOOKUP('Données projet'!$B$9,Paramètres!$A$1:$I$88,3,0)*VLOOKUP('Données projet'!$B$9,Paramètres!$A$1:$I$88,5,0)</f>
        <v>1.9065282685915009E-13</v>
      </c>
      <c r="P76" s="14">
        <f t="shared" si="87"/>
        <v>2.6568987209435707E-12</v>
      </c>
      <c r="Q76" s="22">
        <f t="shared" si="54"/>
        <v>4.959485612423072E-12</v>
      </c>
      <c r="R76" s="62">
        <f t="shared" si="55"/>
        <v>284.39064113594418</v>
      </c>
      <c r="S76" s="62">
        <f ca="1">AVERAGE(OFFSET($R$3,0,0,'Données projet'!$E$9+1,1))-AVERAGE(OFFSET($H$3,0,0,'Données projet'!$E$9+1,1))</f>
        <v>341.05096821796769</v>
      </c>
      <c r="T76" s="62">
        <f t="shared" si="88"/>
        <v>400.72519822215168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projet'!$B$9,Paramètres!$A$1:$I$88,7,0))</f>
        <v>0</v>
      </c>
      <c r="X76" s="17">
        <f>IF(ISNA(VLOOKUP(A76,'Données projet'!$A$35:$I$55,6,0)),0%,VLOOKUP(A76,'Données projet'!$A$35:$I$55,6,0)*VLOOKUP('Données projet'!$B$9,Paramètres!$A$1:$I$88,7,0))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projet'!$B$9,Paramètres!$A$1:$I$88,3,0)*0.475*44/12</f>
        <v>185.23446106668717</v>
      </c>
      <c r="AA76" s="23">
        <f>EXP(-LN(2)/25)*AA75+(1-EXP(-LN(2)/25))/(LN(2)/25)*Calculateur!V76*Calculateur!X76*VLOOKUP('Données projet'!$B$9,Paramètres!$A$1:$I$88,3,0)*0.475*44/12</f>
        <v>92.418761497544551</v>
      </c>
      <c r="AB76" s="23">
        <f>EXP(-LN(2)/2)*AB75+(1-EXP(-LN(2)/2))/(LN(2)/2)*V76*Y76*VLOOKUP('Données projet'!$B$9,Paramètres!$A$1:$I$88,3,0)*0.475*44/12</f>
        <v>0</v>
      </c>
      <c r="AC76" s="24">
        <f t="shared" si="57"/>
        <v>277.65322256423173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67.561083946165255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5.6843418860808015E-14</v>
      </c>
      <c r="AJ76" s="14">
        <f>AI76*VLOOKUP('Données projet'!$B$10,Paramètres!$A$1:$I$88,3,0)*VLOOKUP('Données projet'!$B$10,Paramètres!$A$1:$I$88,5,0)</f>
        <v>3.3992364478763198E-14</v>
      </c>
      <c r="AK76" s="14">
        <f t="shared" si="89"/>
        <v>5.790027782444094E-13</v>
      </c>
      <c r="AL76" s="22">
        <f t="shared" si="58"/>
        <v>1.0676332069095257E-12</v>
      </c>
      <c r="AM76" s="62">
        <f t="shared" si="59"/>
        <v>284.39064113594031</v>
      </c>
      <c r="AN76" s="62">
        <f ca="1">AVERAGE(OFFSET($AM$3,0,0,'Données projet'!$E$10+1,1))-AVERAGE(OFFSET($H$3,0,0,'Données projet'!$E$10+1,1))</f>
        <v>231.96474801342879</v>
      </c>
      <c r="AO76" s="62">
        <f t="shared" si="90"/>
        <v>237.75726086383668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projet'!$B$10,Paramètres!$A$1:$I$88,7,0))</f>
        <v>0</v>
      </c>
      <c r="AS76" s="17">
        <f>IF(ISNA(VLOOKUP(A76,'Données projet'!$A$61:$I$81,6,0)),0%,VLOOKUP(A76,'Données projet'!$A$61:$I$81,6,0)*VLOOKUP('Données projet'!$B$10,Paramètres!$A$1:$I$88,7,0))</f>
        <v>0</v>
      </c>
      <c r="AT76" s="17">
        <f>IF(ISNA(VLOOKUP(A76,'Données projet'!$A$61:$I$81,7,0)),0%,VLOOKUP(A76,'Données projet'!$A$61:$I$81,7,0))</f>
        <v>0</v>
      </c>
      <c r="AU76" s="23">
        <f>EXP(-LN(2)/35)*AU75+(1-EXP(-LN(2)/35))/(LN(2)/35)*AQ76*AR76*VLOOKUP('Données projet'!$B$10,Paramètres!$A$1:$I$88,3,0)*0.475*44/12</f>
        <v>73.047122887360459</v>
      </c>
      <c r="AV76" s="23">
        <f>EXP(-LN(2)/25)*AV75+(1-EXP(-LN(2)/25))/(LN(2)/25)*Calculateur!AQ76*Calculateur!AS76*VLOOKUP('Données projet'!$B$10,Paramètres!$A$1:$I$88,3,0)*0.475*44/12</f>
        <v>39.026106305463436</v>
      </c>
      <c r="AW76" s="23">
        <f>EXP(-LN(2)/2)*AW75+(1-EXP(-LN(2)/2))/(LN(2)/2)*AQ76*AT76*VLOOKUP('Données projet'!$B$10,Paramètres!$A$1:$I$88,3,0)*0.475*44/12</f>
        <v>0</v>
      </c>
      <c r="AX76" s="23">
        <f t="shared" si="60"/>
        <v>112.0732291928239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67.561083946165255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16.7</v>
      </c>
      <c r="BD76" s="13">
        <f>IF('Données projet'!$A$88&gt;35,BD75+BC76-BL75,IF(A76&lt;'Données projet'!$A$88,$BA$205^A76,IF(A76='Données projet'!$A$88,'Données projet'!$B$88,BD75+BC76-BL75)))</f>
        <v>480.90000000000015</v>
      </c>
      <c r="BE76" s="14">
        <f>BD76*VLOOKUP('Données projet'!$B$11,Paramètres!$A$1:$I$88,3,0)*VLOOKUP('Données projet'!$B$11,Paramètres!$A$1:$I$88,5,0)</f>
        <v>225.06120000000007</v>
      </c>
      <c r="BF76" s="14">
        <f t="shared" si="91"/>
        <v>55.213452146942849</v>
      </c>
      <c r="BG76" s="22">
        <f t="shared" si="61"/>
        <v>488.14501915592558</v>
      </c>
      <c r="BH76" s="62">
        <f t="shared" si="62"/>
        <v>772.53566029186482</v>
      </c>
      <c r="BI76" s="62">
        <f ca="1">AVERAGE(OFFSET($BH$3,0,0,'Données projet'!$E$11+1,1))-AVERAGE(OFFSET($H$3,0,0,'Données projet'!$E$11+1,1))</f>
        <v>364.96458059055169</v>
      </c>
      <c r="BJ76" s="62">
        <f t="shared" si="92"/>
        <v>246.27159120786257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projet'!$B$11,Paramètres!$A$1:$I$88,7,0))</f>
        <v>0</v>
      </c>
      <c r="BN76" s="17">
        <f>IF(ISNA(VLOOKUP(A76,'Données projet'!$A$87:$I$107,6,0)),0%,VLOOKUP(A76,'Données projet'!$A$87:$I$107,6,0)*VLOOKUP('Données projet'!$B$11,Paramètres!$A$1:$I$88,7,0))</f>
        <v>0</v>
      </c>
      <c r="BO76" s="17">
        <f>IF(ISNA(VLOOKUP(A76,'Données projet'!$A$87:$I$107,7,0)),0%,VLOOKUP(A76,'Données projet'!$A$87:$I$107,7,0))</f>
        <v>0</v>
      </c>
      <c r="BP76" s="23">
        <f>EXP(-LN(2)/35)*BP75+(1-EXP(-LN(2)/35))/(LN(2)/35)*BL76*BM76*VLOOKUP('Données projet'!$B$11,Paramètres!$A$1:$I$88,3,0)*0.475*44/12</f>
        <v>46.751209395654399</v>
      </c>
      <c r="BQ76" s="23">
        <f>EXP(-LN(2)/25)*BQ75+(1-EXP(-LN(2)/25))/(LN(2)/25)*Calculateur!BL76*Calculateur!BN76*VLOOKUP('Données projet'!$B$11,Paramètres!$A$1:$I$88,3,0)*0.475*44/12</f>
        <v>22.487943967593392</v>
      </c>
      <c r="BR76" s="23">
        <f>EXP(-LN(2)/2)*BR75+(1-EXP(-LN(2)/2))/(LN(2)/2)*BL76*BO76*VLOOKUP('Données projet'!$B$11,Paramètres!$A$1:$I$88,3,0)*0.475*44/12</f>
        <v>0</v>
      </c>
      <c r="BS76" s="24">
        <f t="shared" si="63"/>
        <v>69.239153363247794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67.561083946165255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-1.1368683772161603E-13</v>
      </c>
      <c r="BZ76" s="14">
        <f>BY76*VLOOKUP('Données projet'!$B$12,Paramètres!$A$1:$I$88,3,0)*VLOOKUP('Données projet'!$B$12,Paramètres!$A$1:$I$88,5,0)</f>
        <v>-1.1527845344971866E-13</v>
      </c>
      <c r="CA76" s="14" t="e">
        <f t="shared" si="93"/>
        <v>#NUM!</v>
      </c>
      <c r="CB76" s="22" t="e">
        <f t="shared" si="64"/>
        <v>#NUM!</v>
      </c>
      <c r="CC76" s="62" t="e">
        <f t="shared" si="65"/>
        <v>#NUM!</v>
      </c>
      <c r="CD76" s="62">
        <f ca="1">AVERAGE(OFFSET($CC$3,0,0,'Données projet'!$E$12+1,1))-AVERAGE(OFFSET($H$3,0,0,'Données projet'!$E$12+1,1))</f>
        <v>310.53598044763282</v>
      </c>
      <c r="CE76" s="62">
        <f t="shared" si="94"/>
        <v>322.01096634040596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projet'!$B$12,Paramètres!$A$1:$I$88,7,0))</f>
        <v>0</v>
      </c>
      <c r="CI76" s="17">
        <f>IF(ISNA(VLOOKUP(A76,'Données projet'!$A$113:$I$133,6,0)),0%,VLOOKUP(A76,'Données projet'!$A$113:$I$133,6,0)*VLOOKUP('Données projet'!$B$12,Paramètres!$A$1:$I$88,7,0))</f>
        <v>0</v>
      </c>
      <c r="CJ76" s="17">
        <f>IF(ISNA(VLOOKUP(A76,'Données projet'!$A$113:$I$133,7,0)),0%,VLOOKUP(A76,'Données projet'!$A$113:$I$133,7,0))</f>
        <v>0</v>
      </c>
      <c r="CK76" s="23">
        <f>EXP(-LN(2)/35)*CK75+(1-EXP(-LN(2)/35))/(LN(2)/35)*CG76*CH76*VLOOKUP('Données projet'!$B$12,Paramètres!$A$1:$I$88,3,0)*0.475*44/12</f>
        <v>55.889939864666495</v>
      </c>
      <c r="CL76" s="23">
        <f>EXP(-LN(2)/25)*CL75+(1-EXP(-LN(2)/25))/(LN(2)/25)*Calculateur!CG76*Calculateur!CI76*VLOOKUP('Données projet'!$B$12,Paramètres!$A$1:$I$88,3,0)*0.475*44/12</f>
        <v>0</v>
      </c>
      <c r="CM76" s="23">
        <f>EXP(-LN(2)/2)*CM75+(1-EXP(-LN(2)/2))/(LN(2)/2)*CG76*CJ76*VLOOKUP('Données projet'!$B$12,Paramètres!$A$1:$I$88,3,0)*0.475*44/12</f>
        <v>0</v>
      </c>
      <c r="CN76" s="24">
        <f t="shared" si="66"/>
        <v>55.889939864666495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67.561083946165255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projet'!$B$13,Paramètres!$A$1:$I$88,3,0)*VLOOKUP('Données projet'!$B$13,Paramètres!$A$1:$I$88,5,0)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projet'!$B$13,Paramètres!$A$1:$I$88,7,0))</f>
        <v>0</v>
      </c>
      <c r="DD76" s="17">
        <f>IF(ISNA(VLOOKUP(A76,'Données projet'!$A$139:$I$159,6,0)),0%,VLOOKUP(A76,'Données projet'!$A$139:$I$159,6,0)*VLOOKUP('Données projet'!$B$13,Paramètres!$A$1:$I$88,7,0))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projet'!$B$13,Paramètres!$A$1:$I$88,3,0)*0.475*44/12</f>
        <v>#N/A</v>
      </c>
      <c r="DG76" s="23" t="e">
        <f>EXP(-LN(2)/25)*DG75+(1-EXP(-LN(2)/25))/(LN(2)/25)*Calculateur!DB76*Calculateur!DD76*VLOOKUP('Données projet'!$B$13,Paramètres!$A$1:$I$88,3,0)*0.475*44/12</f>
        <v>#N/A</v>
      </c>
      <c r="DH76" s="23" t="e">
        <f>EXP(-LN(2)/2)*DH75+(1-EXP(-LN(2)/2))/(LN(2)/2)*DB76*DE76*VLOOKUP('Données projet'!$B$13,Paramètres!$A$1:$I$88,3,0)*0.475*44/12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67.561083946165255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projet'!$B$14,Paramètres!$A$1:$I$88,3,0)*VLOOKUP('Données projet'!$B$14,Paramètres!$A$1:$I$88,5,0)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projet'!$B$14,Paramètres!$A$1:$I$88,7,0))</f>
        <v>0</v>
      </c>
      <c r="DY76" s="17">
        <f>IF(ISNA(VLOOKUP(A76,'Données projet'!$A$165:$I$185,6,0)),0%,VLOOKUP(A76,'Données projet'!$A$165:$I$185,6,0)*VLOOKUP('Données projet'!$B$14,Paramètres!$A$1:$I$88,7,0))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projet'!$B$14,Paramètres!$A$1:$I$88,3,0)*0.475*44/12</f>
        <v>#N/A</v>
      </c>
      <c r="EB76" s="23" t="e">
        <f>EXP(-LN(2)/25)*EB75+(1-EXP(-LN(2)/25))/(LN(2)/25)*Calculateur!DW76*Calculateur!DY76*VLOOKUP('Données projet'!$B$14,Paramètres!$A$1:$I$88,3,0)*0.475*44/12</f>
        <v>#N/A</v>
      </c>
      <c r="EC76" s="23" t="e">
        <f>EXP(-LN(2)/2)*EC75+(1-EXP(-LN(2)/2))/(LN(2)/2)*DW76*DZ76*VLOOKUP('Données projet'!$B$14,Paramètres!$A$1:$I$88,3,0)*0.475*44/12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67.561083946165255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projet'!$B$15,Paramètres!$A$1:$I$88,3,0)*VLOOKUP('Données projet'!$B$15,Paramètres!$A$1:$I$88,5,0)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projet'!$B$15,Paramètres!$A$1:$I$88,7,0))</f>
        <v>0</v>
      </c>
      <c r="ET76" s="17">
        <f>IF(ISNA(VLOOKUP(A76,'Données projet'!$A$191:$I$211,6,0)),0%,VLOOKUP(A76,'Données projet'!$A$191:$I$211,6,0)*VLOOKUP('Données projet'!$B$15,Paramètres!$A$1:$I$88,7,0))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projet'!$B$15,Paramètres!$A$1:$I$88,3,0)*0.475*44/12</f>
        <v>#N/A</v>
      </c>
      <c r="EW76" s="23" t="e">
        <f>EXP(-LN(2)/25)*EW75+(1-EXP(-LN(2)/25))/(LN(2)/25)*Calculateur!ER76*Calculateur!ET76*VLOOKUP('Données projet'!$B$15,Paramètres!$A$1:$I$88,3,0)*0.475*44/12</f>
        <v>#N/A</v>
      </c>
      <c r="EX76" s="23" t="e">
        <f>EXP(-LN(2)/2)*EX75+(1-EXP(-LN(2)/2))/(LN(2)/2)*ER76*EU76*VLOOKUP('Données projet'!$B$15,Paramètres!$A$1:$I$88,3,0)*0.475*44/12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67.561083946165255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projet'!$B$16,Paramètres!$A$1:$I$88,3,0)*VLOOKUP('Données projet'!$B$16,Paramètres!$A$1:$I$88,5,0)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projet'!$B$16,Paramètres!$A$1:$I$88,7,0))</f>
        <v>0</v>
      </c>
      <c r="FO76" s="17">
        <f>IF(ISNA(VLOOKUP(A76,'Données projet'!$A$217:$I$237,6,0)),0%,VLOOKUP(A76,'Données projet'!$A$217:$I$237,6,0)*VLOOKUP('Données projet'!$B$16,Paramètres!$A$1:$I$88,7,0))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projet'!$B$16,Paramètres!$A$1:$I$88,3,0)*0.475*44/12</f>
        <v>#N/A</v>
      </c>
      <c r="FR76" s="23" t="e">
        <f>EXP(-LN(2)/25)*FR75+(1-EXP(-LN(2)/25))/(LN(2)/25)*Calculateur!FM76*Calculateur!FO76*VLOOKUP('Données projet'!$B$16,Paramètres!$A$1:$I$88,3,0)*0.475*44/12</f>
        <v>#N/A</v>
      </c>
      <c r="FS76" s="23" t="e">
        <f>EXP(-LN(2)/2)*FS75+(1-EXP(-LN(2)/2))/(LN(2)/2)*FM76*FP76*VLOOKUP('Données projet'!$B$16,Paramètres!$A$1:$I$88,3,0)*0.475*44/12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67.561083946165255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projet'!$B$17,Paramètres!$A$1:$I$88,3,0)*VLOOKUP('Données projet'!$B$17,Paramètres!$A$1:$I$88,5,0)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projet'!$B$17,Paramètres!$A$1:$I$88,7,0))</f>
        <v>0</v>
      </c>
      <c r="GJ76" s="17">
        <f>IF(ISNA(VLOOKUP(A76,'Données projet'!$A$243:$I$263,6,0)),0%,VLOOKUP(A76,'Données projet'!$A$243:$I$263,6,0)*VLOOKUP('Données projet'!$B$17,Paramètres!$A$1:$I$88,7,0))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projet'!$B$17,Paramètres!$A$1:$I$88,3,0)*0.475*44/12</f>
        <v>#N/A</v>
      </c>
      <c r="GM76" s="23" t="e">
        <f>EXP(-LN(2)/25)*GM75+(1-EXP(-LN(2)/25))/(LN(2)/25)*Calculateur!GH76*Calculateur!GJ76*VLOOKUP('Données projet'!$B$17,Paramètres!$A$1:$I$88,3,0)*0.475*44/12</f>
        <v>#N/A</v>
      </c>
      <c r="GN76" s="23" t="e">
        <f>EXP(-LN(2)/2)*GN75+(1-EXP(-LN(2)/2))/(LN(2)/2)*GH76*GK76*VLOOKUP('Données projet'!$B$17,Paramètres!$A$1:$I$88,3,0)*0.475*44/12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67.561083946165255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projet'!$B$18,Paramètres!$A$1:$I$88,3,0)*VLOOKUP('Données projet'!$B$18,Paramètres!$A$1:$I$88,5,0)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projet'!$B$18,Paramètres!$A$1:$I$88,7,0))</f>
        <v>0</v>
      </c>
      <c r="HE76" s="17">
        <f>IF(ISNA(VLOOKUP(A76,'Données projet'!$A$269:$I$289,6,0)),0%,VLOOKUP(A76,'Données projet'!$A$269:$I$289,6,0)*VLOOKUP('Données projet'!$B$18,Paramètres!$A$1:$I$88,7,0))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projet'!$B$18,Paramètres!$A$1:$I$88,3,0)*0.475*44/12</f>
        <v>#N/A</v>
      </c>
      <c r="HH76" s="23" t="e">
        <f>EXP(-LN(2)/25)*HH75+(1-EXP(-LN(2)/25))/(LN(2)/25)*Calculateur!HC76*Calculateur!HE76*VLOOKUP('Données projet'!$B$18,Paramètres!$A$1:$I$88,3,0)*0.475*44/12</f>
        <v>#N/A</v>
      </c>
      <c r="HI76" s="23" t="e">
        <f>EXP(-LN(2)/2)*HI75+(1-EXP(-LN(2)/2))/(LN(2)/2)*HC76*HF76*VLOOKUP('Données projet'!$B$18,Paramètres!$A$1:$I$88,3,0)*0.475*44/12</f>
        <v>#N/A</v>
      </c>
      <c r="HJ76" s="24" t="e">
        <f t="shared" si="84"/>
        <v>#N/A</v>
      </c>
    </row>
    <row r="77" spans="1:218" s="5" customFormat="1" x14ac:dyDescent="0.35">
      <c r="A77" s="11">
        <f t="shared" si="85"/>
        <v>74</v>
      </c>
      <c r="B77" s="77">
        <f>'Scénario référence'!$B$16*5+'Scénario référence'!$B$17*0+'Scénario référence'!$B$18*5</f>
        <v>1.75</v>
      </c>
      <c r="C77" s="20">
        <f>Calculateur!C76+'Scénario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77" s="12">
        <f t="shared" si="86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6.416666666666667</v>
      </c>
      <c r="H77" s="70">
        <f t="shared" si="56"/>
        <v>231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67.603393687099853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3.4106051316484809E-13</v>
      </c>
      <c r="O77" s="14">
        <f>N77*VLOOKUP('Données projet'!$B$9,Paramètres!$A$1:$I$88,3,0)*VLOOKUP('Données projet'!$B$9,Paramètres!$A$1:$I$88,5,0)</f>
        <v>1.9065282685915009E-13</v>
      </c>
      <c r="P77" s="14">
        <f t="shared" si="87"/>
        <v>2.6568987209435707E-12</v>
      </c>
      <c r="Q77" s="22">
        <f t="shared" si="54"/>
        <v>4.959485612423072E-12</v>
      </c>
      <c r="R77" s="62">
        <f t="shared" si="55"/>
        <v>284.54577685270442</v>
      </c>
      <c r="S77" s="62">
        <f ca="1">AVERAGE(OFFSET($R$3,0,0,'Données projet'!$E$9+1,1))-AVERAGE(OFFSET($H$3,0,0,'Données projet'!$E$9+1,1))</f>
        <v>341.05096821796769</v>
      </c>
      <c r="T77" s="62">
        <f t="shared" si="88"/>
        <v>400.72519822215168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projet'!$B$9,Paramètres!$A$1:$I$88,7,0))</f>
        <v>0</v>
      </c>
      <c r="X77" s="17">
        <f>IF(ISNA(VLOOKUP(A77,'Données projet'!$A$35:$I$55,6,0)),0%,VLOOKUP(A77,'Données projet'!$A$35:$I$55,6,0)*VLOOKUP('Données projet'!$B$9,Paramètres!$A$1:$I$88,7,0))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projet'!$B$9,Paramètres!$A$1:$I$88,3,0)*0.475*44/12</f>
        <v>181.60212626703466</v>
      </c>
      <c r="AA77" s="23">
        <f>EXP(-LN(2)/25)*AA76+(1-EXP(-LN(2)/25))/(LN(2)/25)*Calculateur!V77*Calculateur!X77*VLOOKUP('Données projet'!$B$9,Paramètres!$A$1:$I$88,3,0)*0.475*44/12</f>
        <v>89.891565604302755</v>
      </c>
      <c r="AB77" s="23">
        <f>EXP(-LN(2)/2)*AB76+(1-EXP(-LN(2)/2))/(LN(2)/2)*V77*Y77*VLOOKUP('Données projet'!$B$9,Paramètres!$A$1:$I$88,3,0)*0.475*44/12</f>
        <v>0</v>
      </c>
      <c r="AC77" s="24">
        <f t="shared" si="57"/>
        <v>271.49369187133743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67.603393687099853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5.6843418860808015E-14</v>
      </c>
      <c r="AJ77" s="14">
        <f>AI77*VLOOKUP('Données projet'!$B$10,Paramètres!$A$1:$I$88,3,0)*VLOOKUP('Données projet'!$B$10,Paramètres!$A$1:$I$88,5,0)</f>
        <v>3.3992364478763198E-14</v>
      </c>
      <c r="AK77" s="14">
        <f t="shared" si="89"/>
        <v>5.790027782444094E-13</v>
      </c>
      <c r="AL77" s="22">
        <f t="shared" si="58"/>
        <v>1.0676332069095257E-12</v>
      </c>
      <c r="AM77" s="62">
        <f t="shared" si="59"/>
        <v>284.54577685270056</v>
      </c>
      <c r="AN77" s="62">
        <f ca="1">AVERAGE(OFFSET($AM$3,0,0,'Données projet'!$E$10+1,1))-AVERAGE(OFFSET($H$3,0,0,'Données projet'!$E$10+1,1))</f>
        <v>231.96474801342879</v>
      </c>
      <c r="AO77" s="62">
        <f t="shared" si="90"/>
        <v>237.75726086383668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projet'!$B$10,Paramètres!$A$1:$I$88,7,0))</f>
        <v>0</v>
      </c>
      <c r="AS77" s="17">
        <f>IF(ISNA(VLOOKUP(A77,'Données projet'!$A$61:$I$81,6,0)),0%,VLOOKUP(A77,'Données projet'!$A$61:$I$81,6,0)*VLOOKUP('Données projet'!$B$10,Paramètres!$A$1:$I$88,7,0))</f>
        <v>0</v>
      </c>
      <c r="AT77" s="17">
        <f>IF(ISNA(VLOOKUP(A77,'Données projet'!$A$61:$I$81,7,0)),0%,VLOOKUP(A77,'Données projet'!$A$61:$I$81,7,0))</f>
        <v>0</v>
      </c>
      <c r="AU77" s="23">
        <f>EXP(-LN(2)/35)*AU76+(1-EXP(-LN(2)/35))/(LN(2)/35)*AQ77*AR77*VLOOKUP('Données projet'!$B$10,Paramètres!$A$1:$I$88,3,0)*0.475*44/12</f>
        <v>71.61471336188491</v>
      </c>
      <c r="AV77" s="23">
        <f>EXP(-LN(2)/25)*AV76+(1-EXP(-LN(2)/25))/(LN(2)/25)*Calculateur!AQ77*Calculateur!AS77*VLOOKUP('Données projet'!$B$10,Paramètres!$A$1:$I$88,3,0)*0.475*44/12</f>
        <v>37.958935376246806</v>
      </c>
      <c r="AW77" s="23">
        <f>EXP(-LN(2)/2)*AW76+(1-EXP(-LN(2)/2))/(LN(2)/2)*AQ77*AT77*VLOOKUP('Données projet'!$B$10,Paramètres!$A$1:$I$88,3,0)*0.475*44/12</f>
        <v>0</v>
      </c>
      <c r="AX77" s="23">
        <f t="shared" si="60"/>
        <v>109.57364873813171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67.603393687099853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16.7</v>
      </c>
      <c r="BD77" s="13">
        <f>IF('Données projet'!$A$88&gt;35,BD76+BC77-BL76,IF(A77&lt;'Données projet'!$A$88,$BA$205^A77,IF(A77='Données projet'!$A$88,'Données projet'!$B$88,BD76+BC77-BL76)))</f>
        <v>497.60000000000014</v>
      </c>
      <c r="BE77" s="14">
        <f>BD77*VLOOKUP('Données projet'!$B$11,Paramètres!$A$1:$I$88,3,0)*VLOOKUP('Données projet'!$B$11,Paramètres!$A$1:$I$88,5,0)</f>
        <v>232.87680000000009</v>
      </c>
      <c r="BF77" s="14">
        <f t="shared" si="91"/>
        <v>56.904262233361997</v>
      </c>
      <c r="BG77" s="22">
        <f t="shared" si="61"/>
        <v>504.7020167231056</v>
      </c>
      <c r="BH77" s="62">
        <f t="shared" si="62"/>
        <v>789.24779357580508</v>
      </c>
      <c r="BI77" s="62">
        <f ca="1">AVERAGE(OFFSET($BH$3,0,0,'Données projet'!$E$11+1,1))-AVERAGE(OFFSET($H$3,0,0,'Données projet'!$E$11+1,1))</f>
        <v>364.96458059055169</v>
      </c>
      <c r="BJ77" s="62">
        <f t="shared" si="92"/>
        <v>246.27159120786257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projet'!$B$11,Paramètres!$A$1:$I$88,7,0))</f>
        <v>0</v>
      </c>
      <c r="BN77" s="17">
        <f>IF(ISNA(VLOOKUP(A77,'Données projet'!$A$87:$I$107,6,0)),0%,VLOOKUP(A77,'Données projet'!$A$87:$I$107,6,0)*VLOOKUP('Données projet'!$B$11,Paramètres!$A$1:$I$88,7,0))</f>
        <v>0</v>
      </c>
      <c r="BO77" s="17">
        <f>IF(ISNA(VLOOKUP(A77,'Données projet'!$A$87:$I$107,7,0)),0%,VLOOKUP(A77,'Données projet'!$A$87:$I$107,7,0))</f>
        <v>0</v>
      </c>
      <c r="BP77" s="23">
        <f>EXP(-LN(2)/35)*BP76+(1-EXP(-LN(2)/35))/(LN(2)/35)*BL77*BM77*VLOOKUP('Données projet'!$B$11,Paramètres!$A$1:$I$88,3,0)*0.475*44/12</f>
        <v>45.834446694827683</v>
      </c>
      <c r="BQ77" s="23">
        <f>EXP(-LN(2)/25)*BQ76+(1-EXP(-LN(2)/25))/(LN(2)/25)*Calculateur!BL77*Calculateur!BN77*VLOOKUP('Données projet'!$B$11,Paramètres!$A$1:$I$88,3,0)*0.475*44/12</f>
        <v>21.873009957209973</v>
      </c>
      <c r="BR77" s="23">
        <f>EXP(-LN(2)/2)*BR76+(1-EXP(-LN(2)/2))/(LN(2)/2)*BL77*BO77*VLOOKUP('Données projet'!$B$11,Paramètres!$A$1:$I$88,3,0)*0.475*44/12</f>
        <v>0</v>
      </c>
      <c r="BS77" s="24">
        <f t="shared" si="63"/>
        <v>67.707456652037649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67.603393687099853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-1.1368683772161603E-13</v>
      </c>
      <c r="BZ77" s="14">
        <f>BY77*VLOOKUP('Données projet'!$B$12,Paramètres!$A$1:$I$88,3,0)*VLOOKUP('Données projet'!$B$12,Paramètres!$A$1:$I$88,5,0)</f>
        <v>-1.1527845344971866E-13</v>
      </c>
      <c r="CA77" s="14" t="e">
        <f t="shared" si="93"/>
        <v>#NUM!</v>
      </c>
      <c r="CB77" s="22" t="e">
        <f t="shared" si="64"/>
        <v>#NUM!</v>
      </c>
      <c r="CC77" s="62" t="e">
        <f t="shared" si="65"/>
        <v>#NUM!</v>
      </c>
      <c r="CD77" s="62">
        <f ca="1">AVERAGE(OFFSET($CC$3,0,0,'Données projet'!$E$12+1,1))-AVERAGE(OFFSET($H$3,0,0,'Données projet'!$E$12+1,1))</f>
        <v>310.53598044763282</v>
      </c>
      <c r="CE77" s="62">
        <f t="shared" si="94"/>
        <v>322.01096634040596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projet'!$B$12,Paramètres!$A$1:$I$88,7,0))</f>
        <v>0</v>
      </c>
      <c r="CI77" s="17">
        <f>IF(ISNA(VLOOKUP(A77,'Données projet'!$A$113:$I$133,6,0)),0%,VLOOKUP(A77,'Données projet'!$A$113:$I$133,6,0)*VLOOKUP('Données projet'!$B$12,Paramètres!$A$1:$I$88,7,0))</f>
        <v>0</v>
      </c>
      <c r="CJ77" s="17">
        <f>IF(ISNA(VLOOKUP(A77,'Données projet'!$A$113:$I$133,7,0)),0%,VLOOKUP(A77,'Données projet'!$A$113:$I$133,7,0))</f>
        <v>0</v>
      </c>
      <c r="CK77" s="23">
        <f>EXP(-LN(2)/35)*CK76+(1-EXP(-LN(2)/35))/(LN(2)/35)*CG77*CH77*VLOOKUP('Données projet'!$B$12,Paramètres!$A$1:$I$88,3,0)*0.475*44/12</f>
        <v>54.793972233417641</v>
      </c>
      <c r="CL77" s="23">
        <f>EXP(-LN(2)/25)*CL76+(1-EXP(-LN(2)/25))/(LN(2)/25)*Calculateur!CG77*Calculateur!CI77*VLOOKUP('Données projet'!$B$12,Paramètres!$A$1:$I$88,3,0)*0.475*44/12</f>
        <v>0</v>
      </c>
      <c r="CM77" s="23">
        <f>EXP(-LN(2)/2)*CM76+(1-EXP(-LN(2)/2))/(LN(2)/2)*CG77*CJ77*VLOOKUP('Données projet'!$B$12,Paramètres!$A$1:$I$88,3,0)*0.475*44/12</f>
        <v>0</v>
      </c>
      <c r="CN77" s="24">
        <f t="shared" si="66"/>
        <v>54.793972233417641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67.603393687099853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projet'!$B$13,Paramètres!$A$1:$I$88,3,0)*VLOOKUP('Données projet'!$B$13,Paramètres!$A$1:$I$88,5,0)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projet'!$B$13,Paramètres!$A$1:$I$88,7,0))</f>
        <v>0</v>
      </c>
      <c r="DD77" s="17">
        <f>IF(ISNA(VLOOKUP(A77,'Données projet'!$A$139:$I$159,6,0)),0%,VLOOKUP(A77,'Données projet'!$A$139:$I$159,6,0)*VLOOKUP('Données projet'!$B$13,Paramètres!$A$1:$I$88,7,0))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projet'!$B$13,Paramètres!$A$1:$I$88,3,0)*0.475*44/12</f>
        <v>#N/A</v>
      </c>
      <c r="DG77" s="23" t="e">
        <f>EXP(-LN(2)/25)*DG76+(1-EXP(-LN(2)/25))/(LN(2)/25)*Calculateur!DB77*Calculateur!DD77*VLOOKUP('Données projet'!$B$13,Paramètres!$A$1:$I$88,3,0)*0.475*44/12</f>
        <v>#N/A</v>
      </c>
      <c r="DH77" s="23" t="e">
        <f>EXP(-LN(2)/2)*DH76+(1-EXP(-LN(2)/2))/(LN(2)/2)*DB77*DE77*VLOOKUP('Données projet'!$B$13,Paramètres!$A$1:$I$88,3,0)*0.475*44/12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67.603393687099853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projet'!$B$14,Paramètres!$A$1:$I$88,3,0)*VLOOKUP('Données projet'!$B$14,Paramètres!$A$1:$I$88,5,0)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projet'!$B$14,Paramètres!$A$1:$I$88,7,0))</f>
        <v>0</v>
      </c>
      <c r="DY77" s="17">
        <f>IF(ISNA(VLOOKUP(A77,'Données projet'!$A$165:$I$185,6,0)),0%,VLOOKUP(A77,'Données projet'!$A$165:$I$185,6,0)*VLOOKUP('Données projet'!$B$14,Paramètres!$A$1:$I$88,7,0))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projet'!$B$14,Paramètres!$A$1:$I$88,3,0)*0.475*44/12</f>
        <v>#N/A</v>
      </c>
      <c r="EB77" s="23" t="e">
        <f>EXP(-LN(2)/25)*EB76+(1-EXP(-LN(2)/25))/(LN(2)/25)*Calculateur!DW77*Calculateur!DY77*VLOOKUP('Données projet'!$B$14,Paramètres!$A$1:$I$88,3,0)*0.475*44/12</f>
        <v>#N/A</v>
      </c>
      <c r="EC77" s="23" t="e">
        <f>EXP(-LN(2)/2)*EC76+(1-EXP(-LN(2)/2))/(LN(2)/2)*DW77*DZ77*VLOOKUP('Données projet'!$B$14,Paramètres!$A$1:$I$88,3,0)*0.475*44/12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67.603393687099853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projet'!$B$15,Paramètres!$A$1:$I$88,3,0)*VLOOKUP('Données projet'!$B$15,Paramètres!$A$1:$I$88,5,0)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projet'!$B$15,Paramètres!$A$1:$I$88,7,0))</f>
        <v>0</v>
      </c>
      <c r="ET77" s="17">
        <f>IF(ISNA(VLOOKUP(A77,'Données projet'!$A$191:$I$211,6,0)),0%,VLOOKUP(A77,'Données projet'!$A$191:$I$211,6,0)*VLOOKUP('Données projet'!$B$15,Paramètres!$A$1:$I$88,7,0))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projet'!$B$15,Paramètres!$A$1:$I$88,3,0)*0.475*44/12</f>
        <v>#N/A</v>
      </c>
      <c r="EW77" s="23" t="e">
        <f>EXP(-LN(2)/25)*EW76+(1-EXP(-LN(2)/25))/(LN(2)/25)*Calculateur!ER77*Calculateur!ET77*VLOOKUP('Données projet'!$B$15,Paramètres!$A$1:$I$88,3,0)*0.475*44/12</f>
        <v>#N/A</v>
      </c>
      <c r="EX77" s="23" t="e">
        <f>EXP(-LN(2)/2)*EX76+(1-EXP(-LN(2)/2))/(LN(2)/2)*ER77*EU77*VLOOKUP('Données projet'!$B$15,Paramètres!$A$1:$I$88,3,0)*0.475*44/12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67.603393687099853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projet'!$B$16,Paramètres!$A$1:$I$88,3,0)*VLOOKUP('Données projet'!$B$16,Paramètres!$A$1:$I$88,5,0)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projet'!$B$16,Paramètres!$A$1:$I$88,7,0))</f>
        <v>0</v>
      </c>
      <c r="FO77" s="17">
        <f>IF(ISNA(VLOOKUP(A77,'Données projet'!$A$217:$I$237,6,0)),0%,VLOOKUP(A77,'Données projet'!$A$217:$I$237,6,0)*VLOOKUP('Données projet'!$B$16,Paramètres!$A$1:$I$88,7,0))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projet'!$B$16,Paramètres!$A$1:$I$88,3,0)*0.475*44/12</f>
        <v>#N/A</v>
      </c>
      <c r="FR77" s="23" t="e">
        <f>EXP(-LN(2)/25)*FR76+(1-EXP(-LN(2)/25))/(LN(2)/25)*Calculateur!FM77*Calculateur!FO77*VLOOKUP('Données projet'!$B$16,Paramètres!$A$1:$I$88,3,0)*0.475*44/12</f>
        <v>#N/A</v>
      </c>
      <c r="FS77" s="23" t="e">
        <f>EXP(-LN(2)/2)*FS76+(1-EXP(-LN(2)/2))/(LN(2)/2)*FM77*FP77*VLOOKUP('Données projet'!$B$16,Paramètres!$A$1:$I$88,3,0)*0.475*44/12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67.603393687099853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projet'!$B$17,Paramètres!$A$1:$I$88,3,0)*VLOOKUP('Données projet'!$B$17,Paramètres!$A$1:$I$88,5,0)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projet'!$B$17,Paramètres!$A$1:$I$88,7,0))</f>
        <v>0</v>
      </c>
      <c r="GJ77" s="17">
        <f>IF(ISNA(VLOOKUP(A77,'Données projet'!$A$243:$I$263,6,0)),0%,VLOOKUP(A77,'Données projet'!$A$243:$I$263,6,0)*VLOOKUP('Données projet'!$B$17,Paramètres!$A$1:$I$88,7,0))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projet'!$B$17,Paramètres!$A$1:$I$88,3,0)*0.475*44/12</f>
        <v>#N/A</v>
      </c>
      <c r="GM77" s="23" t="e">
        <f>EXP(-LN(2)/25)*GM76+(1-EXP(-LN(2)/25))/(LN(2)/25)*Calculateur!GH77*Calculateur!GJ77*VLOOKUP('Données projet'!$B$17,Paramètres!$A$1:$I$88,3,0)*0.475*44/12</f>
        <v>#N/A</v>
      </c>
      <c r="GN77" s="23" t="e">
        <f>EXP(-LN(2)/2)*GN76+(1-EXP(-LN(2)/2))/(LN(2)/2)*GH77*GK77*VLOOKUP('Données projet'!$B$17,Paramètres!$A$1:$I$88,3,0)*0.475*44/12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67.603393687099853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projet'!$B$18,Paramètres!$A$1:$I$88,3,0)*VLOOKUP('Données projet'!$B$18,Paramètres!$A$1:$I$88,5,0)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projet'!$B$18,Paramètres!$A$1:$I$88,7,0))</f>
        <v>0</v>
      </c>
      <c r="HE77" s="17">
        <f>IF(ISNA(VLOOKUP(A77,'Données projet'!$A$269:$I$289,6,0)),0%,VLOOKUP(A77,'Données projet'!$A$269:$I$289,6,0)*VLOOKUP('Données projet'!$B$18,Paramètres!$A$1:$I$88,7,0))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projet'!$B$18,Paramètres!$A$1:$I$88,3,0)*0.475*44/12</f>
        <v>#N/A</v>
      </c>
      <c r="HH77" s="23" t="e">
        <f>EXP(-LN(2)/25)*HH76+(1-EXP(-LN(2)/25))/(LN(2)/25)*Calculateur!HC77*Calculateur!HE77*VLOOKUP('Données projet'!$B$18,Paramètres!$A$1:$I$88,3,0)*0.475*44/12</f>
        <v>#N/A</v>
      </c>
      <c r="HI77" s="23" t="e">
        <f>EXP(-LN(2)/2)*HI76+(1-EXP(-LN(2)/2))/(LN(2)/2)*HC77*HF77*VLOOKUP('Données projet'!$B$18,Paramètres!$A$1:$I$88,3,0)*0.475*44/12</f>
        <v>#N/A</v>
      </c>
      <c r="HJ77" s="24" t="e">
        <f t="shared" si="84"/>
        <v>#N/A</v>
      </c>
    </row>
    <row r="78" spans="1:218" s="5" customFormat="1" x14ac:dyDescent="0.35">
      <c r="A78" s="11">
        <f t="shared" si="85"/>
        <v>75</v>
      </c>
      <c r="B78" s="77">
        <f>'Scénario référence'!$B$16*5+'Scénario référence'!$B$17*0+'Scénario référence'!$B$18*5</f>
        <v>1.75</v>
      </c>
      <c r="C78" s="20">
        <f>Calculateur!C77+'Scénario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78" s="12">
        <f t="shared" si="86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6.416666666666667</v>
      </c>
      <c r="H78" s="70">
        <f t="shared" si="56"/>
        <v>231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67.644969448619634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3.4106051316484809E-13</v>
      </c>
      <c r="O78" s="14">
        <f>N78*VLOOKUP('Données projet'!$B$9,Paramètres!$A$1:$I$88,3,0)*VLOOKUP('Données projet'!$B$9,Paramètres!$A$1:$I$88,5,0)</f>
        <v>1.9065282685915009E-13</v>
      </c>
      <c r="P78" s="14">
        <f t="shared" si="87"/>
        <v>2.6568987209435707E-12</v>
      </c>
      <c r="Q78" s="22">
        <f t="shared" si="54"/>
        <v>4.959485612423072E-12</v>
      </c>
      <c r="R78" s="62">
        <f t="shared" si="55"/>
        <v>284.69822131161027</v>
      </c>
      <c r="S78" s="62">
        <f ca="1">AVERAGE(OFFSET($R$3,0,0,'Données projet'!$E$9+1,1))-AVERAGE(OFFSET($H$3,0,0,'Données projet'!$E$9+1,1))</f>
        <v>341.05096821796769</v>
      </c>
      <c r="T78" s="62">
        <f t="shared" si="88"/>
        <v>400.72519822215168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projet'!$B$9,Paramètres!$A$1:$I$88,7,0))</f>
        <v>0</v>
      </c>
      <c r="X78" s="17">
        <f>IF(ISNA(VLOOKUP(A78,'Données projet'!$A$35:$I$55,6,0)),0%,VLOOKUP(A78,'Données projet'!$A$35:$I$55,6,0)*VLOOKUP('Données projet'!$B$9,Paramètres!$A$1:$I$88,7,0))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projet'!$B$9,Paramètres!$A$1:$I$88,3,0)*0.475*44/12</f>
        <v>178.04101933729785</v>
      </c>
      <c r="AA78" s="23">
        <f>EXP(-LN(2)/25)*AA77+(1-EXP(-LN(2)/25))/(LN(2)/25)*Calculateur!V78*Calculateur!X78*VLOOKUP('Données projet'!$B$9,Paramètres!$A$1:$I$88,3,0)*0.475*44/12</f>
        <v>87.433476015661114</v>
      </c>
      <c r="AB78" s="23">
        <f>EXP(-LN(2)/2)*AB77+(1-EXP(-LN(2)/2))/(LN(2)/2)*V78*Y78*VLOOKUP('Données projet'!$B$9,Paramètres!$A$1:$I$88,3,0)*0.475*44/12</f>
        <v>0</v>
      </c>
      <c r="AC78" s="24">
        <f t="shared" si="57"/>
        <v>265.47449535295897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67.644969448619634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5.6843418860808015E-14</v>
      </c>
      <c r="AJ78" s="14">
        <f>AI78*VLOOKUP('Données projet'!$B$10,Paramètres!$A$1:$I$88,3,0)*VLOOKUP('Données projet'!$B$10,Paramètres!$A$1:$I$88,5,0)</f>
        <v>3.3992364478763198E-14</v>
      </c>
      <c r="AK78" s="14">
        <f t="shared" si="89"/>
        <v>5.790027782444094E-13</v>
      </c>
      <c r="AL78" s="22">
        <f t="shared" si="58"/>
        <v>1.0676332069095257E-12</v>
      </c>
      <c r="AM78" s="62">
        <f t="shared" si="59"/>
        <v>284.6982213116064</v>
      </c>
      <c r="AN78" s="62">
        <f ca="1">AVERAGE(OFFSET($AM$3,0,0,'Données projet'!$E$10+1,1))-AVERAGE(OFFSET($H$3,0,0,'Données projet'!$E$10+1,1))</f>
        <v>231.96474801342879</v>
      </c>
      <c r="AO78" s="62">
        <f t="shared" si="90"/>
        <v>237.75726086383668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projet'!$B$10,Paramètres!$A$1:$I$88,7,0))</f>
        <v>0</v>
      </c>
      <c r="AS78" s="17">
        <f>IF(ISNA(VLOOKUP(A78,'Données projet'!$A$61:$I$81,6,0)),0%,VLOOKUP(A78,'Données projet'!$A$61:$I$81,6,0)*VLOOKUP('Données projet'!$B$10,Paramètres!$A$1:$I$88,7,0))</f>
        <v>0</v>
      </c>
      <c r="AT78" s="17">
        <f>IF(ISNA(VLOOKUP(A78,'Données projet'!$A$61:$I$81,7,0)),0%,VLOOKUP(A78,'Données projet'!$A$61:$I$81,7,0))</f>
        <v>0</v>
      </c>
      <c r="AU78" s="23">
        <f>EXP(-LN(2)/35)*AU77+(1-EXP(-LN(2)/35))/(LN(2)/35)*AQ78*AR78*VLOOKUP('Données projet'!$B$10,Paramètres!$A$1:$I$88,3,0)*0.475*44/12</f>
        <v>70.210392513520389</v>
      </c>
      <c r="AV78" s="23">
        <f>EXP(-LN(2)/25)*AV77+(1-EXP(-LN(2)/25))/(LN(2)/25)*Calculateur!AQ78*Calculateur!AS78*VLOOKUP('Données projet'!$B$10,Paramètres!$A$1:$I$88,3,0)*0.475*44/12</f>
        <v>36.920946292209685</v>
      </c>
      <c r="AW78" s="23">
        <f>EXP(-LN(2)/2)*AW77+(1-EXP(-LN(2)/2))/(LN(2)/2)*AQ78*AT78*VLOOKUP('Données projet'!$B$10,Paramètres!$A$1:$I$88,3,0)*0.475*44/12</f>
        <v>0</v>
      </c>
      <c r="AX78" s="23">
        <f t="shared" si="60"/>
        <v>107.13133880573008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67.644969448619634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16.7</v>
      </c>
      <c r="BD78" s="13">
        <f>IF('Données projet'!$A$88&gt;35,BD77+BC78-BL77,IF(A78&lt;'Données projet'!$A$88,$BA$205^A78,IF(A78='Données projet'!$A$88,'Données projet'!$B$88,BD77+BC78-BL77)))</f>
        <v>514.30000000000018</v>
      </c>
      <c r="BE78" s="14">
        <f>BD78*VLOOKUP('Données projet'!$B$11,Paramètres!$A$1:$I$88,3,0)*VLOOKUP('Données projet'!$B$11,Paramètres!$A$1:$I$88,5,0)</f>
        <v>240.69240000000008</v>
      </c>
      <c r="BF78" s="14">
        <f t="shared" si="91"/>
        <v>58.588478728331594</v>
      </c>
      <c r="BG78" s="22">
        <f t="shared" si="61"/>
        <v>521.24753045184434</v>
      </c>
      <c r="BH78" s="62">
        <f t="shared" si="62"/>
        <v>805.94575176344961</v>
      </c>
      <c r="BI78" s="62">
        <f ca="1">AVERAGE(OFFSET($BH$3,0,0,'Données projet'!$E$11+1,1))-AVERAGE(OFFSET($H$3,0,0,'Données projet'!$E$11+1,1))</f>
        <v>364.96458059055169</v>
      </c>
      <c r="BJ78" s="62">
        <f t="shared" si="92"/>
        <v>246.27159120786257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projet'!$B$11,Paramètres!$A$1:$I$88,7,0))</f>
        <v>0</v>
      </c>
      <c r="BN78" s="17">
        <f>IF(ISNA(VLOOKUP(A78,'Données projet'!$A$87:$I$107,6,0)),0%,VLOOKUP(A78,'Données projet'!$A$87:$I$107,6,0)*VLOOKUP('Données projet'!$B$11,Paramètres!$A$1:$I$88,7,0))</f>
        <v>0</v>
      </c>
      <c r="BO78" s="17">
        <f>IF(ISNA(VLOOKUP(A78,'Données projet'!$A$87:$I$107,7,0)),0%,VLOOKUP(A78,'Données projet'!$A$87:$I$107,7,0))</f>
        <v>0</v>
      </c>
      <c r="BP78" s="23">
        <f>EXP(-LN(2)/35)*BP77+(1-EXP(-LN(2)/35))/(LN(2)/35)*BL78*BM78*VLOOKUP('Données projet'!$B$11,Paramètres!$A$1:$I$88,3,0)*0.475*44/12</f>
        <v>44.935661151394143</v>
      </c>
      <c r="BQ78" s="23">
        <f>EXP(-LN(2)/25)*BQ77+(1-EXP(-LN(2)/25))/(LN(2)/25)*Calculateur!BL78*Calculateur!BN78*VLOOKUP('Données projet'!$B$11,Paramètres!$A$1:$I$88,3,0)*0.475*44/12</f>
        <v>21.274891349678466</v>
      </c>
      <c r="BR78" s="23">
        <f>EXP(-LN(2)/2)*BR77+(1-EXP(-LN(2)/2))/(LN(2)/2)*BL78*BO78*VLOOKUP('Données projet'!$B$11,Paramètres!$A$1:$I$88,3,0)*0.475*44/12</f>
        <v>0</v>
      </c>
      <c r="BS78" s="24">
        <f t="shared" si="63"/>
        <v>66.210552501072613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67.644969448619634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-1.1368683772161603E-13</v>
      </c>
      <c r="BZ78" s="14">
        <f>BY78*VLOOKUP('Données projet'!$B$12,Paramètres!$A$1:$I$88,3,0)*VLOOKUP('Données projet'!$B$12,Paramètres!$A$1:$I$88,5,0)</f>
        <v>-1.1527845344971866E-13</v>
      </c>
      <c r="CA78" s="14" t="e">
        <f t="shared" si="93"/>
        <v>#NUM!</v>
      </c>
      <c r="CB78" s="22" t="e">
        <f t="shared" si="64"/>
        <v>#NUM!</v>
      </c>
      <c r="CC78" s="62" t="e">
        <f t="shared" si="65"/>
        <v>#NUM!</v>
      </c>
      <c r="CD78" s="62">
        <f ca="1">AVERAGE(OFFSET($CC$3,0,0,'Données projet'!$E$12+1,1))-AVERAGE(OFFSET($H$3,0,0,'Données projet'!$E$12+1,1))</f>
        <v>310.53598044763282</v>
      </c>
      <c r="CE78" s="62">
        <f t="shared" si="94"/>
        <v>322.01096634040596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projet'!$B$12,Paramètres!$A$1:$I$88,7,0))</f>
        <v>0</v>
      </c>
      <c r="CI78" s="17">
        <f>IF(ISNA(VLOOKUP(A78,'Données projet'!$A$113:$I$133,6,0)),0%,VLOOKUP(A78,'Données projet'!$A$113:$I$133,6,0)*VLOOKUP('Données projet'!$B$12,Paramètres!$A$1:$I$88,7,0))</f>
        <v>0</v>
      </c>
      <c r="CJ78" s="17">
        <f>IF(ISNA(VLOOKUP(A78,'Données projet'!$A$113:$I$133,7,0)),0%,VLOOKUP(A78,'Données projet'!$A$113:$I$133,7,0))</f>
        <v>0</v>
      </c>
      <c r="CK78" s="23">
        <f>EXP(-LN(2)/35)*CK77+(1-EXP(-LN(2)/35))/(LN(2)/35)*CG78*CH78*VLOOKUP('Données projet'!$B$12,Paramètres!$A$1:$I$88,3,0)*0.475*44/12</f>
        <v>53.719495858943333</v>
      </c>
      <c r="CL78" s="23">
        <f>EXP(-LN(2)/25)*CL77+(1-EXP(-LN(2)/25))/(LN(2)/25)*Calculateur!CG78*Calculateur!CI78*VLOOKUP('Données projet'!$B$12,Paramètres!$A$1:$I$88,3,0)*0.475*44/12</f>
        <v>0</v>
      </c>
      <c r="CM78" s="23">
        <f>EXP(-LN(2)/2)*CM77+(1-EXP(-LN(2)/2))/(LN(2)/2)*CG78*CJ78*VLOOKUP('Données projet'!$B$12,Paramètres!$A$1:$I$88,3,0)*0.475*44/12</f>
        <v>0</v>
      </c>
      <c r="CN78" s="24">
        <f t="shared" si="66"/>
        <v>53.719495858943333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67.644969448619634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projet'!$B$13,Paramètres!$A$1:$I$88,3,0)*VLOOKUP('Données projet'!$B$13,Paramètres!$A$1:$I$88,5,0)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projet'!$B$13,Paramètres!$A$1:$I$88,7,0))</f>
        <v>0</v>
      </c>
      <c r="DD78" s="17">
        <f>IF(ISNA(VLOOKUP(A78,'Données projet'!$A$139:$I$159,6,0)),0%,VLOOKUP(A78,'Données projet'!$A$139:$I$159,6,0)*VLOOKUP('Données projet'!$B$13,Paramètres!$A$1:$I$88,7,0))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projet'!$B$13,Paramètres!$A$1:$I$88,3,0)*0.475*44/12</f>
        <v>#N/A</v>
      </c>
      <c r="DG78" s="23" t="e">
        <f>EXP(-LN(2)/25)*DG77+(1-EXP(-LN(2)/25))/(LN(2)/25)*Calculateur!DB78*Calculateur!DD78*VLOOKUP('Données projet'!$B$13,Paramètres!$A$1:$I$88,3,0)*0.475*44/12</f>
        <v>#N/A</v>
      </c>
      <c r="DH78" s="23" t="e">
        <f>EXP(-LN(2)/2)*DH77+(1-EXP(-LN(2)/2))/(LN(2)/2)*DB78*DE78*VLOOKUP('Données projet'!$B$13,Paramètres!$A$1:$I$88,3,0)*0.475*44/12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67.644969448619634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projet'!$B$14,Paramètres!$A$1:$I$88,3,0)*VLOOKUP('Données projet'!$B$14,Paramètres!$A$1:$I$88,5,0)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projet'!$B$14,Paramètres!$A$1:$I$88,7,0))</f>
        <v>0</v>
      </c>
      <c r="DY78" s="17">
        <f>IF(ISNA(VLOOKUP(A78,'Données projet'!$A$165:$I$185,6,0)),0%,VLOOKUP(A78,'Données projet'!$A$165:$I$185,6,0)*VLOOKUP('Données projet'!$B$14,Paramètres!$A$1:$I$88,7,0))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projet'!$B$14,Paramètres!$A$1:$I$88,3,0)*0.475*44/12</f>
        <v>#N/A</v>
      </c>
      <c r="EB78" s="23" t="e">
        <f>EXP(-LN(2)/25)*EB77+(1-EXP(-LN(2)/25))/(LN(2)/25)*Calculateur!DW78*Calculateur!DY78*VLOOKUP('Données projet'!$B$14,Paramètres!$A$1:$I$88,3,0)*0.475*44/12</f>
        <v>#N/A</v>
      </c>
      <c r="EC78" s="23" t="e">
        <f>EXP(-LN(2)/2)*EC77+(1-EXP(-LN(2)/2))/(LN(2)/2)*DW78*DZ78*VLOOKUP('Données projet'!$B$14,Paramètres!$A$1:$I$88,3,0)*0.475*44/12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67.644969448619634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projet'!$B$15,Paramètres!$A$1:$I$88,3,0)*VLOOKUP('Données projet'!$B$15,Paramètres!$A$1:$I$88,5,0)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projet'!$B$15,Paramètres!$A$1:$I$88,7,0))</f>
        <v>0</v>
      </c>
      <c r="ET78" s="17">
        <f>IF(ISNA(VLOOKUP(A78,'Données projet'!$A$191:$I$211,6,0)),0%,VLOOKUP(A78,'Données projet'!$A$191:$I$211,6,0)*VLOOKUP('Données projet'!$B$15,Paramètres!$A$1:$I$88,7,0))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projet'!$B$15,Paramètres!$A$1:$I$88,3,0)*0.475*44/12</f>
        <v>#N/A</v>
      </c>
      <c r="EW78" s="23" t="e">
        <f>EXP(-LN(2)/25)*EW77+(1-EXP(-LN(2)/25))/(LN(2)/25)*Calculateur!ER78*Calculateur!ET78*VLOOKUP('Données projet'!$B$15,Paramètres!$A$1:$I$88,3,0)*0.475*44/12</f>
        <v>#N/A</v>
      </c>
      <c r="EX78" s="23" t="e">
        <f>EXP(-LN(2)/2)*EX77+(1-EXP(-LN(2)/2))/(LN(2)/2)*ER78*EU78*VLOOKUP('Données projet'!$B$15,Paramètres!$A$1:$I$88,3,0)*0.475*44/12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67.644969448619634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projet'!$B$16,Paramètres!$A$1:$I$88,3,0)*VLOOKUP('Données projet'!$B$16,Paramètres!$A$1:$I$88,5,0)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projet'!$B$16,Paramètres!$A$1:$I$88,7,0))</f>
        <v>0</v>
      </c>
      <c r="FO78" s="17">
        <f>IF(ISNA(VLOOKUP(A78,'Données projet'!$A$217:$I$237,6,0)),0%,VLOOKUP(A78,'Données projet'!$A$217:$I$237,6,0)*VLOOKUP('Données projet'!$B$16,Paramètres!$A$1:$I$88,7,0))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projet'!$B$16,Paramètres!$A$1:$I$88,3,0)*0.475*44/12</f>
        <v>#N/A</v>
      </c>
      <c r="FR78" s="23" t="e">
        <f>EXP(-LN(2)/25)*FR77+(1-EXP(-LN(2)/25))/(LN(2)/25)*Calculateur!FM78*Calculateur!FO78*VLOOKUP('Données projet'!$B$16,Paramètres!$A$1:$I$88,3,0)*0.475*44/12</f>
        <v>#N/A</v>
      </c>
      <c r="FS78" s="23" t="e">
        <f>EXP(-LN(2)/2)*FS77+(1-EXP(-LN(2)/2))/(LN(2)/2)*FM78*FP78*VLOOKUP('Données projet'!$B$16,Paramètres!$A$1:$I$88,3,0)*0.475*44/12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67.644969448619634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projet'!$B$17,Paramètres!$A$1:$I$88,3,0)*VLOOKUP('Données projet'!$B$17,Paramètres!$A$1:$I$88,5,0)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projet'!$B$17,Paramètres!$A$1:$I$88,7,0))</f>
        <v>0</v>
      </c>
      <c r="GJ78" s="17">
        <f>IF(ISNA(VLOOKUP(A78,'Données projet'!$A$243:$I$263,6,0)),0%,VLOOKUP(A78,'Données projet'!$A$243:$I$263,6,0)*VLOOKUP('Données projet'!$B$17,Paramètres!$A$1:$I$88,7,0))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projet'!$B$17,Paramètres!$A$1:$I$88,3,0)*0.475*44/12</f>
        <v>#N/A</v>
      </c>
      <c r="GM78" s="23" t="e">
        <f>EXP(-LN(2)/25)*GM77+(1-EXP(-LN(2)/25))/(LN(2)/25)*Calculateur!GH78*Calculateur!GJ78*VLOOKUP('Données projet'!$B$17,Paramètres!$A$1:$I$88,3,0)*0.475*44/12</f>
        <v>#N/A</v>
      </c>
      <c r="GN78" s="23" t="e">
        <f>EXP(-LN(2)/2)*GN77+(1-EXP(-LN(2)/2))/(LN(2)/2)*GH78*GK78*VLOOKUP('Données projet'!$B$17,Paramètres!$A$1:$I$88,3,0)*0.475*44/12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67.644969448619634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projet'!$B$18,Paramètres!$A$1:$I$88,3,0)*VLOOKUP('Données projet'!$B$18,Paramètres!$A$1:$I$88,5,0)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projet'!$B$18,Paramètres!$A$1:$I$88,7,0))</f>
        <v>0</v>
      </c>
      <c r="HE78" s="17">
        <f>IF(ISNA(VLOOKUP(A78,'Données projet'!$A$269:$I$289,6,0)),0%,VLOOKUP(A78,'Données projet'!$A$269:$I$289,6,0)*VLOOKUP('Données projet'!$B$18,Paramètres!$A$1:$I$88,7,0))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projet'!$B$18,Paramètres!$A$1:$I$88,3,0)*0.475*44/12</f>
        <v>#N/A</v>
      </c>
      <c r="HH78" s="23" t="e">
        <f>EXP(-LN(2)/25)*HH77+(1-EXP(-LN(2)/25))/(LN(2)/25)*Calculateur!HC78*Calculateur!HE78*VLOOKUP('Données projet'!$B$18,Paramètres!$A$1:$I$88,3,0)*0.475*44/12</f>
        <v>#N/A</v>
      </c>
      <c r="HI78" s="23" t="e">
        <f>EXP(-LN(2)/2)*HI77+(1-EXP(-LN(2)/2))/(LN(2)/2)*HC78*HF78*VLOOKUP('Données projet'!$B$18,Paramètres!$A$1:$I$88,3,0)*0.475*44/12</f>
        <v>#N/A</v>
      </c>
      <c r="HJ78" s="24" t="e">
        <f t="shared" si="84"/>
        <v>#N/A</v>
      </c>
    </row>
    <row r="79" spans="1:218" s="5" customFormat="1" x14ac:dyDescent="0.35">
      <c r="A79" s="11">
        <f t="shared" si="85"/>
        <v>76</v>
      </c>
      <c r="B79" s="77">
        <f>'Scénario référence'!$B$16*5+'Scénario référence'!$B$17*0+'Scénario référence'!$B$18*5</f>
        <v>1.75</v>
      </c>
      <c r="C79" s="20">
        <f>Calculateur!C78+'Scénario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79" s="12">
        <f t="shared" si="86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6.416666666666667</v>
      </c>
      <c r="H79" s="70">
        <f t="shared" si="56"/>
        <v>231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67.685823963626532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3.4106051316484809E-13</v>
      </c>
      <c r="O79" s="14">
        <f>N79*VLOOKUP('Données projet'!$B$9,Paramètres!$A$1:$I$88,3,0)*VLOOKUP('Données projet'!$B$9,Paramètres!$A$1:$I$88,5,0)</f>
        <v>1.9065282685915009E-13</v>
      </c>
      <c r="P79" s="14">
        <f t="shared" si="87"/>
        <v>2.6568987209435707E-12</v>
      </c>
      <c r="Q79" s="22">
        <f t="shared" si="54"/>
        <v>4.959485612423072E-12</v>
      </c>
      <c r="R79" s="62">
        <f t="shared" si="55"/>
        <v>284.84802119996891</v>
      </c>
      <c r="S79" s="62">
        <f ca="1">AVERAGE(OFFSET($R$3,0,0,'Données projet'!$E$9+1,1))-AVERAGE(OFFSET($H$3,0,0,'Données projet'!$E$9+1,1))</f>
        <v>341.05096821796769</v>
      </c>
      <c r="T79" s="62">
        <f t="shared" si="88"/>
        <v>400.72519822215168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projet'!$B$9,Paramètres!$A$1:$I$88,7,0))</f>
        <v>0</v>
      </c>
      <c r="X79" s="17">
        <f>IF(ISNA(VLOOKUP(A79,'Données projet'!$A$35:$I$55,6,0)),0%,VLOOKUP(A79,'Données projet'!$A$35:$I$55,6,0)*VLOOKUP('Données projet'!$B$9,Paramètres!$A$1:$I$88,7,0))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projet'!$B$9,Paramètres!$A$1:$I$88,3,0)*0.475*44/12</f>
        <v>174.54974354239243</v>
      </c>
      <c r="AA79" s="23">
        <f>EXP(-LN(2)/25)*AA78+(1-EXP(-LN(2)/25))/(LN(2)/25)*Calculateur!V79*Calculateur!X79*VLOOKUP('Données projet'!$B$9,Paramètres!$A$1:$I$88,3,0)*0.475*44/12</f>
        <v>85.04260301608619</v>
      </c>
      <c r="AB79" s="23">
        <f>EXP(-LN(2)/2)*AB78+(1-EXP(-LN(2)/2))/(LN(2)/2)*V79*Y79*VLOOKUP('Données projet'!$B$9,Paramètres!$A$1:$I$88,3,0)*0.475*44/12</f>
        <v>0</v>
      </c>
      <c r="AC79" s="24">
        <f t="shared" si="57"/>
        <v>259.59234655847865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67.685823963626532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5.6843418860808015E-14</v>
      </c>
      <c r="AJ79" s="14">
        <f>AI79*VLOOKUP('Données projet'!$B$10,Paramètres!$A$1:$I$88,3,0)*VLOOKUP('Données projet'!$B$10,Paramètres!$A$1:$I$88,5,0)</f>
        <v>3.3992364478763198E-14</v>
      </c>
      <c r="AK79" s="14">
        <f t="shared" si="89"/>
        <v>5.790027782444094E-13</v>
      </c>
      <c r="AL79" s="22">
        <f t="shared" si="58"/>
        <v>1.0676332069095257E-12</v>
      </c>
      <c r="AM79" s="62">
        <f t="shared" si="59"/>
        <v>284.84802119996505</v>
      </c>
      <c r="AN79" s="62">
        <f ca="1">AVERAGE(OFFSET($AM$3,0,0,'Données projet'!$E$10+1,1))-AVERAGE(OFFSET($H$3,0,0,'Données projet'!$E$10+1,1))</f>
        <v>231.96474801342879</v>
      </c>
      <c r="AO79" s="62">
        <f t="shared" si="90"/>
        <v>237.75726086383668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projet'!$B$10,Paramètres!$A$1:$I$88,7,0))</f>
        <v>0</v>
      </c>
      <c r="AS79" s="17">
        <f>IF(ISNA(VLOOKUP(A79,'Données projet'!$A$61:$I$81,6,0)),0%,VLOOKUP(A79,'Données projet'!$A$61:$I$81,6,0)*VLOOKUP('Données projet'!$B$10,Paramètres!$A$1:$I$88,7,0))</f>
        <v>0</v>
      </c>
      <c r="AT79" s="17">
        <f>IF(ISNA(VLOOKUP(A79,'Données projet'!$A$61:$I$81,7,0)),0%,VLOOKUP(A79,'Données projet'!$A$61:$I$81,7,0))</f>
        <v>0</v>
      </c>
      <c r="AU79" s="23">
        <f>EXP(-LN(2)/35)*AU78+(1-EXP(-LN(2)/35))/(LN(2)/35)*AQ79*AR79*VLOOKUP('Données projet'!$B$10,Paramètres!$A$1:$I$88,3,0)*0.475*44/12</f>
        <v>68.833609540441159</v>
      </c>
      <c r="AV79" s="23">
        <f>EXP(-LN(2)/25)*AV78+(1-EXP(-LN(2)/25))/(LN(2)/25)*Calculateur!AQ79*Calculateur!AS79*VLOOKUP('Données projet'!$B$10,Paramètres!$A$1:$I$88,3,0)*0.475*44/12</f>
        <v>35.911341074261031</v>
      </c>
      <c r="AW79" s="23">
        <f>EXP(-LN(2)/2)*AW78+(1-EXP(-LN(2)/2))/(LN(2)/2)*AQ79*AT79*VLOOKUP('Données projet'!$B$10,Paramètres!$A$1:$I$88,3,0)*0.475*44/12</f>
        <v>0</v>
      </c>
      <c r="AX79" s="23">
        <f t="shared" si="60"/>
        <v>104.74495061470219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67.685823963626532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>
        <f>VLOOKUP(A79,'Données projet'!$A$87:$I$107,2,0)</f>
        <v>531</v>
      </c>
      <c r="BB79" s="13">
        <f>VLOOKUP(A79,'Données projet'!$A$87:$I$107,9,0)</f>
        <v>16.7</v>
      </c>
      <c r="BC79" s="13">
        <f t="array" ref="BC79">INDEX(BB:BB,MIN(IF(ISNUMBER(BB79:BB275),ROW(BB79:BB275),"")))</f>
        <v>16.7</v>
      </c>
      <c r="BD79" s="13">
        <f>IF('Données projet'!$A$88&gt;35,BD78+BC79-BL78,IF(A79&lt;'Données projet'!$A$88,$BA$205^A79,IF(A79='Données projet'!$A$88,'Données projet'!$B$88,BD78+BC79-BL78)))</f>
        <v>531.00000000000023</v>
      </c>
      <c r="BE79" s="14">
        <f>BD79*VLOOKUP('Données projet'!$B$11,Paramètres!$A$1:$I$88,3,0)*VLOOKUP('Données projet'!$B$11,Paramètres!$A$1:$I$88,5,0)</f>
        <v>248.50800000000012</v>
      </c>
      <c r="BF79" s="14">
        <f t="shared" si="91"/>
        <v>60.266340290019727</v>
      </c>
      <c r="BG79" s="22">
        <f t="shared" si="61"/>
        <v>537.78197600511794</v>
      </c>
      <c r="BH79" s="62">
        <f t="shared" si="62"/>
        <v>822.62999720508196</v>
      </c>
      <c r="BI79" s="62">
        <f ca="1">AVERAGE(OFFSET($BH$3,0,0,'Données projet'!$E$11+1,1))-AVERAGE(OFFSET($H$3,0,0,'Données projet'!$E$11+1,1))</f>
        <v>364.96458059055169</v>
      </c>
      <c r="BJ79" s="62">
        <f t="shared" si="92"/>
        <v>246.27159120786257</v>
      </c>
      <c r="BK79" s="16">
        <f>IF(ISNA(VLOOKUP(A79,'Données projet'!$A$87:$I$107,3,0)),0,VLOOKUP(A79,'Données projet'!$A$87:$I$107,3,0))</f>
        <v>4</v>
      </c>
      <c r="BL79" s="16">
        <f>IF(ISNA(VLOOKUP(A79,'Données projet'!$A$87:$I$107,4,0)),0,VLOOKUP(A79,'Données projet'!$A$87:$I$107,4,0))</f>
        <v>106</v>
      </c>
      <c r="BM79" s="17">
        <f>IF(ISNA(VLOOKUP(A79,'Données projet'!$A$87:$I$107,5,0)),0%,VLOOKUP(A79,'Données projet'!$A$87:$I$107,5,0)*VLOOKUP('Données projet'!$B$11,Paramètres!$A$1:$I$88,7,0))</f>
        <v>0.38499999999999995</v>
      </c>
      <c r="BN79" s="17">
        <f>IF(ISNA(VLOOKUP(A79,'Données projet'!$A$87:$I$107,6,0)),0%,VLOOKUP(A79,'Données projet'!$A$87:$I$107,6,0)*VLOOKUP('Données projet'!$B$11,Paramètres!$A$1:$I$88,7,0))</f>
        <v>0.16500000000000001</v>
      </c>
      <c r="BO79" s="17">
        <f>IF(ISNA(VLOOKUP(A79,'Données projet'!$A$87:$I$107,7,0)),0%,VLOOKUP(A79,'Données projet'!$A$87:$I$107,7,0))</f>
        <v>0</v>
      </c>
      <c r="BP79" s="23">
        <f>EXP(-LN(2)/35)*BP78+(1-EXP(-LN(2)/35))/(LN(2)/35)*BL79*BM79*VLOOKUP('Données projet'!$B$11,Paramètres!$A$1:$I$88,3,0)*0.475*44/12</f>
        <v>69.390660903858489</v>
      </c>
      <c r="BQ79" s="23">
        <f>EXP(-LN(2)/25)*BQ78+(1-EXP(-LN(2)/25))/(LN(2)/25)*Calculateur!BL79*Calculateur!BN79*VLOOKUP('Données projet'!$B$11,Paramètres!$A$1:$I$88,3,0)*0.475*44/12</f>
        <v>31.508729416028736</v>
      </c>
      <c r="BR79" s="23">
        <f>EXP(-LN(2)/2)*BR78+(1-EXP(-LN(2)/2))/(LN(2)/2)*BL79*BO79*VLOOKUP('Données projet'!$B$11,Paramètres!$A$1:$I$88,3,0)*0.475*44/12</f>
        <v>0</v>
      </c>
      <c r="BS79" s="24">
        <f t="shared" si="63"/>
        <v>100.89939031988723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67.685823963626532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-1.1368683772161603E-13</v>
      </c>
      <c r="BZ79" s="14">
        <f>BY79*VLOOKUP('Données projet'!$B$12,Paramètres!$A$1:$I$88,3,0)*VLOOKUP('Données projet'!$B$12,Paramètres!$A$1:$I$88,5,0)</f>
        <v>-1.1527845344971866E-13</v>
      </c>
      <c r="CA79" s="14" t="e">
        <f t="shared" si="93"/>
        <v>#NUM!</v>
      </c>
      <c r="CB79" s="22" t="e">
        <f t="shared" si="64"/>
        <v>#NUM!</v>
      </c>
      <c r="CC79" s="62" t="e">
        <f t="shared" si="65"/>
        <v>#NUM!</v>
      </c>
      <c r="CD79" s="62">
        <f ca="1">AVERAGE(OFFSET($CC$3,0,0,'Données projet'!$E$12+1,1))-AVERAGE(OFFSET($H$3,0,0,'Données projet'!$E$12+1,1))</f>
        <v>310.53598044763282</v>
      </c>
      <c r="CE79" s="62">
        <f t="shared" si="94"/>
        <v>322.01096634040596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projet'!$B$12,Paramètres!$A$1:$I$88,7,0))</f>
        <v>0</v>
      </c>
      <c r="CI79" s="17">
        <f>IF(ISNA(VLOOKUP(A79,'Données projet'!$A$113:$I$133,6,0)),0%,VLOOKUP(A79,'Données projet'!$A$113:$I$133,6,0)*VLOOKUP('Données projet'!$B$12,Paramètres!$A$1:$I$88,7,0))</f>
        <v>0</v>
      </c>
      <c r="CJ79" s="17">
        <f>IF(ISNA(VLOOKUP(A79,'Données projet'!$A$113:$I$133,7,0)),0%,VLOOKUP(A79,'Données projet'!$A$113:$I$133,7,0))</f>
        <v>0</v>
      </c>
      <c r="CK79" s="23">
        <f>EXP(-LN(2)/35)*CK78+(1-EXP(-LN(2)/35))/(LN(2)/35)*CG79*CH79*VLOOKUP('Données projet'!$B$12,Paramètres!$A$1:$I$88,3,0)*0.475*44/12</f>
        <v>52.666089310806591</v>
      </c>
      <c r="CL79" s="23">
        <f>EXP(-LN(2)/25)*CL78+(1-EXP(-LN(2)/25))/(LN(2)/25)*Calculateur!CG79*Calculateur!CI79*VLOOKUP('Données projet'!$B$12,Paramètres!$A$1:$I$88,3,0)*0.475*44/12</f>
        <v>0</v>
      </c>
      <c r="CM79" s="23">
        <f>EXP(-LN(2)/2)*CM78+(1-EXP(-LN(2)/2))/(LN(2)/2)*CG79*CJ79*VLOOKUP('Données projet'!$B$12,Paramètres!$A$1:$I$88,3,0)*0.475*44/12</f>
        <v>0</v>
      </c>
      <c r="CN79" s="24">
        <f t="shared" si="66"/>
        <v>52.666089310806591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67.685823963626532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projet'!$B$13,Paramètres!$A$1:$I$88,3,0)*VLOOKUP('Données projet'!$B$13,Paramètres!$A$1:$I$88,5,0)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projet'!$B$13,Paramètres!$A$1:$I$88,7,0))</f>
        <v>0</v>
      </c>
      <c r="DD79" s="17">
        <f>IF(ISNA(VLOOKUP(A79,'Données projet'!$A$139:$I$159,6,0)),0%,VLOOKUP(A79,'Données projet'!$A$139:$I$159,6,0)*VLOOKUP('Données projet'!$B$13,Paramètres!$A$1:$I$88,7,0))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projet'!$B$13,Paramètres!$A$1:$I$88,3,0)*0.475*44/12</f>
        <v>#N/A</v>
      </c>
      <c r="DG79" s="23" t="e">
        <f>EXP(-LN(2)/25)*DG78+(1-EXP(-LN(2)/25))/(LN(2)/25)*Calculateur!DB79*Calculateur!DD79*VLOOKUP('Données projet'!$B$13,Paramètres!$A$1:$I$88,3,0)*0.475*44/12</f>
        <v>#N/A</v>
      </c>
      <c r="DH79" s="23" t="e">
        <f>EXP(-LN(2)/2)*DH78+(1-EXP(-LN(2)/2))/(LN(2)/2)*DB79*DE79*VLOOKUP('Données projet'!$B$13,Paramètres!$A$1:$I$88,3,0)*0.475*44/12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67.685823963626532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projet'!$B$14,Paramètres!$A$1:$I$88,3,0)*VLOOKUP('Données projet'!$B$14,Paramètres!$A$1:$I$88,5,0)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projet'!$B$14,Paramètres!$A$1:$I$88,7,0))</f>
        <v>0</v>
      </c>
      <c r="DY79" s="17">
        <f>IF(ISNA(VLOOKUP(A79,'Données projet'!$A$165:$I$185,6,0)),0%,VLOOKUP(A79,'Données projet'!$A$165:$I$185,6,0)*VLOOKUP('Données projet'!$B$14,Paramètres!$A$1:$I$88,7,0))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projet'!$B$14,Paramètres!$A$1:$I$88,3,0)*0.475*44/12</f>
        <v>#N/A</v>
      </c>
      <c r="EB79" s="23" t="e">
        <f>EXP(-LN(2)/25)*EB78+(1-EXP(-LN(2)/25))/(LN(2)/25)*Calculateur!DW79*Calculateur!DY79*VLOOKUP('Données projet'!$B$14,Paramètres!$A$1:$I$88,3,0)*0.475*44/12</f>
        <v>#N/A</v>
      </c>
      <c r="EC79" s="23" t="e">
        <f>EXP(-LN(2)/2)*EC78+(1-EXP(-LN(2)/2))/(LN(2)/2)*DW79*DZ79*VLOOKUP('Données projet'!$B$14,Paramètres!$A$1:$I$88,3,0)*0.475*44/12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67.685823963626532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projet'!$B$15,Paramètres!$A$1:$I$88,3,0)*VLOOKUP('Données projet'!$B$15,Paramètres!$A$1:$I$88,5,0)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projet'!$B$15,Paramètres!$A$1:$I$88,7,0))</f>
        <v>0</v>
      </c>
      <c r="ET79" s="17">
        <f>IF(ISNA(VLOOKUP(A79,'Données projet'!$A$191:$I$211,6,0)),0%,VLOOKUP(A79,'Données projet'!$A$191:$I$211,6,0)*VLOOKUP('Données projet'!$B$15,Paramètres!$A$1:$I$88,7,0))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projet'!$B$15,Paramètres!$A$1:$I$88,3,0)*0.475*44/12</f>
        <v>#N/A</v>
      </c>
      <c r="EW79" s="23" t="e">
        <f>EXP(-LN(2)/25)*EW78+(1-EXP(-LN(2)/25))/(LN(2)/25)*Calculateur!ER79*Calculateur!ET79*VLOOKUP('Données projet'!$B$15,Paramètres!$A$1:$I$88,3,0)*0.475*44/12</f>
        <v>#N/A</v>
      </c>
      <c r="EX79" s="23" t="e">
        <f>EXP(-LN(2)/2)*EX78+(1-EXP(-LN(2)/2))/(LN(2)/2)*ER79*EU79*VLOOKUP('Données projet'!$B$15,Paramètres!$A$1:$I$88,3,0)*0.475*44/12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67.685823963626532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projet'!$B$16,Paramètres!$A$1:$I$88,3,0)*VLOOKUP('Données projet'!$B$16,Paramètres!$A$1:$I$88,5,0)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projet'!$B$16,Paramètres!$A$1:$I$88,7,0))</f>
        <v>0</v>
      </c>
      <c r="FO79" s="17">
        <f>IF(ISNA(VLOOKUP(A79,'Données projet'!$A$217:$I$237,6,0)),0%,VLOOKUP(A79,'Données projet'!$A$217:$I$237,6,0)*VLOOKUP('Données projet'!$B$16,Paramètres!$A$1:$I$88,7,0))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projet'!$B$16,Paramètres!$A$1:$I$88,3,0)*0.475*44/12</f>
        <v>#N/A</v>
      </c>
      <c r="FR79" s="23" t="e">
        <f>EXP(-LN(2)/25)*FR78+(1-EXP(-LN(2)/25))/(LN(2)/25)*Calculateur!FM79*Calculateur!FO79*VLOOKUP('Données projet'!$B$16,Paramètres!$A$1:$I$88,3,0)*0.475*44/12</f>
        <v>#N/A</v>
      </c>
      <c r="FS79" s="23" t="e">
        <f>EXP(-LN(2)/2)*FS78+(1-EXP(-LN(2)/2))/(LN(2)/2)*FM79*FP79*VLOOKUP('Données projet'!$B$16,Paramètres!$A$1:$I$88,3,0)*0.475*44/12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67.685823963626532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projet'!$B$17,Paramètres!$A$1:$I$88,3,0)*VLOOKUP('Données projet'!$B$17,Paramètres!$A$1:$I$88,5,0)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projet'!$B$17,Paramètres!$A$1:$I$88,7,0))</f>
        <v>0</v>
      </c>
      <c r="GJ79" s="17">
        <f>IF(ISNA(VLOOKUP(A79,'Données projet'!$A$243:$I$263,6,0)),0%,VLOOKUP(A79,'Données projet'!$A$243:$I$263,6,0)*VLOOKUP('Données projet'!$B$17,Paramètres!$A$1:$I$88,7,0))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projet'!$B$17,Paramètres!$A$1:$I$88,3,0)*0.475*44/12</f>
        <v>#N/A</v>
      </c>
      <c r="GM79" s="23" t="e">
        <f>EXP(-LN(2)/25)*GM78+(1-EXP(-LN(2)/25))/(LN(2)/25)*Calculateur!GH79*Calculateur!GJ79*VLOOKUP('Données projet'!$B$17,Paramètres!$A$1:$I$88,3,0)*0.475*44/12</f>
        <v>#N/A</v>
      </c>
      <c r="GN79" s="23" t="e">
        <f>EXP(-LN(2)/2)*GN78+(1-EXP(-LN(2)/2))/(LN(2)/2)*GH79*GK79*VLOOKUP('Données projet'!$B$17,Paramètres!$A$1:$I$88,3,0)*0.475*44/12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67.685823963626532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projet'!$B$18,Paramètres!$A$1:$I$88,3,0)*VLOOKUP('Données projet'!$B$18,Paramètres!$A$1:$I$88,5,0)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projet'!$B$18,Paramètres!$A$1:$I$88,7,0))</f>
        <v>0</v>
      </c>
      <c r="HE79" s="17">
        <f>IF(ISNA(VLOOKUP(A79,'Données projet'!$A$269:$I$289,6,0)),0%,VLOOKUP(A79,'Données projet'!$A$269:$I$289,6,0)*VLOOKUP('Données projet'!$B$18,Paramètres!$A$1:$I$88,7,0))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projet'!$B$18,Paramètres!$A$1:$I$88,3,0)*0.475*44/12</f>
        <v>#N/A</v>
      </c>
      <c r="HH79" s="23" t="e">
        <f>EXP(-LN(2)/25)*HH78+(1-EXP(-LN(2)/25))/(LN(2)/25)*Calculateur!HC79*Calculateur!HE79*VLOOKUP('Données projet'!$B$18,Paramètres!$A$1:$I$88,3,0)*0.475*44/12</f>
        <v>#N/A</v>
      </c>
      <c r="HI79" s="23" t="e">
        <f>EXP(-LN(2)/2)*HI78+(1-EXP(-LN(2)/2))/(LN(2)/2)*HC79*HF79*VLOOKUP('Données projet'!$B$18,Paramètres!$A$1:$I$88,3,0)*0.475*44/12</f>
        <v>#N/A</v>
      </c>
      <c r="HJ79" s="24" t="e">
        <f t="shared" si="84"/>
        <v>#N/A</v>
      </c>
    </row>
    <row r="80" spans="1:218" s="5" customFormat="1" x14ac:dyDescent="0.35">
      <c r="A80" s="11">
        <f t="shared" si="85"/>
        <v>77</v>
      </c>
      <c r="B80" s="77">
        <f>'Scénario référence'!$B$16*5+'Scénario référence'!$B$17*0+'Scénario référence'!$B$18*5</f>
        <v>1.75</v>
      </c>
      <c r="C80" s="20">
        <f>Calculateur!C79+'Scénario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80" s="12">
        <f t="shared" si="86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6.416666666666667</v>
      </c>
      <c r="H80" s="70">
        <f t="shared" si="56"/>
        <v>231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67.725969744135085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3.4106051316484809E-13</v>
      </c>
      <c r="O80" s="14">
        <f>N80*VLOOKUP('Données projet'!$B$9,Paramètres!$A$1:$I$88,3,0)*VLOOKUP('Données projet'!$B$9,Paramètres!$A$1:$I$88,5,0)</f>
        <v>1.9065282685915009E-13</v>
      </c>
      <c r="P80" s="14">
        <f t="shared" si="87"/>
        <v>2.6568987209435707E-12</v>
      </c>
      <c r="Q80" s="22">
        <f t="shared" si="54"/>
        <v>4.959485612423072E-12</v>
      </c>
      <c r="R80" s="62">
        <f t="shared" si="55"/>
        <v>284.99522239516693</v>
      </c>
      <c r="S80" s="62">
        <f ca="1">AVERAGE(OFFSET($R$3,0,0,'Données projet'!$E$9+1,1))-AVERAGE(OFFSET($H$3,0,0,'Données projet'!$E$9+1,1))</f>
        <v>341.05096821796769</v>
      </c>
      <c r="T80" s="62">
        <f t="shared" si="88"/>
        <v>400.72519822215168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projet'!$B$9,Paramètres!$A$1:$I$88,7,0))</f>
        <v>0</v>
      </c>
      <c r="X80" s="17">
        <f>IF(ISNA(VLOOKUP(A80,'Données projet'!$A$35:$I$55,6,0)),0%,VLOOKUP(A80,'Données projet'!$A$35:$I$55,6,0)*VLOOKUP('Données projet'!$B$9,Paramètres!$A$1:$I$88,7,0))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projet'!$B$9,Paramètres!$A$1:$I$88,3,0)*0.475*44/12</f>
        <v>171.12692953635715</v>
      </c>
      <c r="AA80" s="23">
        <f>EXP(-LN(2)/25)*AA79+(1-EXP(-LN(2)/25))/(LN(2)/25)*Calculateur!V80*Calculateur!X80*VLOOKUP('Données projet'!$B$9,Paramètres!$A$1:$I$88,3,0)*0.475*44/12</f>
        <v>82.717108564415184</v>
      </c>
      <c r="AB80" s="23">
        <f>EXP(-LN(2)/2)*AB79+(1-EXP(-LN(2)/2))/(LN(2)/2)*V80*Y80*VLOOKUP('Données projet'!$B$9,Paramètres!$A$1:$I$88,3,0)*0.475*44/12</f>
        <v>0</v>
      </c>
      <c r="AC80" s="24">
        <f t="shared" si="57"/>
        <v>253.84403810077234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67.725969744135085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5.6843418860808015E-14</v>
      </c>
      <c r="AJ80" s="14">
        <f>AI80*VLOOKUP('Données projet'!$B$10,Paramètres!$A$1:$I$88,3,0)*VLOOKUP('Données projet'!$B$10,Paramètres!$A$1:$I$88,5,0)</f>
        <v>3.3992364478763198E-14</v>
      </c>
      <c r="AK80" s="14">
        <f t="shared" si="89"/>
        <v>5.790027782444094E-13</v>
      </c>
      <c r="AL80" s="22">
        <f t="shared" si="58"/>
        <v>1.0676332069095257E-12</v>
      </c>
      <c r="AM80" s="62">
        <f t="shared" si="59"/>
        <v>284.99522239516307</v>
      </c>
      <c r="AN80" s="62">
        <f ca="1">AVERAGE(OFFSET($AM$3,0,0,'Données projet'!$E$10+1,1))-AVERAGE(OFFSET($H$3,0,0,'Données projet'!$E$10+1,1))</f>
        <v>231.96474801342879</v>
      </c>
      <c r="AO80" s="62">
        <f t="shared" si="90"/>
        <v>237.75726086383668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projet'!$B$10,Paramètres!$A$1:$I$88,7,0))</f>
        <v>0</v>
      </c>
      <c r="AS80" s="17">
        <f>IF(ISNA(VLOOKUP(A80,'Données projet'!$A$61:$I$81,6,0)),0%,VLOOKUP(A80,'Données projet'!$A$61:$I$81,6,0)*VLOOKUP('Données projet'!$B$10,Paramètres!$A$1:$I$88,7,0))</f>
        <v>0</v>
      </c>
      <c r="AT80" s="17">
        <f>IF(ISNA(VLOOKUP(A80,'Données projet'!$A$61:$I$81,7,0)),0%,VLOOKUP(A80,'Données projet'!$A$61:$I$81,7,0))</f>
        <v>0</v>
      </c>
      <c r="AU80" s="23">
        <f>EXP(-LN(2)/35)*AU79+(1-EXP(-LN(2)/35))/(LN(2)/35)*AQ80*AR80*VLOOKUP('Données projet'!$B$10,Paramètres!$A$1:$I$88,3,0)*0.475*44/12</f>
        <v>67.483824441709316</v>
      </c>
      <c r="AV80" s="23">
        <f>EXP(-LN(2)/25)*AV79+(1-EXP(-LN(2)/25))/(LN(2)/25)*Calculateur!AQ80*Calculateur!AS80*VLOOKUP('Données projet'!$B$10,Paramètres!$A$1:$I$88,3,0)*0.475*44/12</f>
        <v>34.929343564090011</v>
      </c>
      <c r="AW80" s="23">
        <f>EXP(-LN(2)/2)*AW79+(1-EXP(-LN(2)/2))/(LN(2)/2)*AQ80*AT80*VLOOKUP('Données projet'!$B$10,Paramètres!$A$1:$I$88,3,0)*0.475*44/12</f>
        <v>0</v>
      </c>
      <c r="AX80" s="23">
        <f t="shared" si="60"/>
        <v>102.41316800579932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67.725969744135085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14.2</v>
      </c>
      <c r="BD80" s="13">
        <f>IF('Données projet'!$A$88&gt;35,BD79+BC80-BL79,IF(A80&lt;'Données projet'!$A$88,$BA$205^A80,IF(A80='Données projet'!$A$88,'Données projet'!$B$88,BD79+BC80-BL79)))</f>
        <v>439.20000000000027</v>
      </c>
      <c r="BE80" s="14">
        <f>BD80*VLOOKUP('Données projet'!$B$11,Paramètres!$A$1:$I$88,3,0)*VLOOKUP('Données projet'!$B$11,Paramètres!$A$1:$I$88,5,0)</f>
        <v>205.54560000000012</v>
      </c>
      <c r="BF80" s="14">
        <f t="shared" si="91"/>
        <v>50.960975968608146</v>
      </c>
      <c r="BG80" s="22">
        <f t="shared" si="61"/>
        <v>446.74895314532608</v>
      </c>
      <c r="BH80" s="62">
        <f t="shared" si="62"/>
        <v>731.74417554048807</v>
      </c>
      <c r="BI80" s="62">
        <f ca="1">AVERAGE(OFFSET($BH$3,0,0,'Données projet'!$E$11+1,1))-AVERAGE(OFFSET($H$3,0,0,'Données projet'!$E$11+1,1))</f>
        <v>364.96458059055169</v>
      </c>
      <c r="BJ80" s="62">
        <f t="shared" si="92"/>
        <v>246.27159120786257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projet'!$B$11,Paramètres!$A$1:$I$88,7,0))</f>
        <v>0</v>
      </c>
      <c r="BN80" s="17">
        <f>IF(ISNA(VLOOKUP(A80,'Données projet'!$A$87:$I$107,6,0)),0%,VLOOKUP(A80,'Données projet'!$A$87:$I$107,6,0)*VLOOKUP('Données projet'!$B$11,Paramètres!$A$1:$I$88,7,0))</f>
        <v>0</v>
      </c>
      <c r="BO80" s="17">
        <f>IF(ISNA(VLOOKUP(A80,'Données projet'!$A$87:$I$107,7,0)),0%,VLOOKUP(A80,'Données projet'!$A$87:$I$107,7,0))</f>
        <v>0</v>
      </c>
      <c r="BP80" s="23">
        <f>EXP(-LN(2)/35)*BP79+(1-EXP(-LN(2)/35))/(LN(2)/35)*BL80*BM80*VLOOKUP('Données projet'!$B$11,Paramètres!$A$1:$I$88,3,0)*0.475*44/12</f>
        <v>68.029952367657813</v>
      </c>
      <c r="BQ80" s="23">
        <f>EXP(-LN(2)/25)*BQ79+(1-EXP(-LN(2)/25))/(LN(2)/25)*Calculateur!BL80*Calculateur!BN80*VLOOKUP('Données projet'!$B$11,Paramètres!$A$1:$I$88,3,0)*0.475*44/12</f>
        <v>30.647121553175364</v>
      </c>
      <c r="BR80" s="23">
        <f>EXP(-LN(2)/2)*BR79+(1-EXP(-LN(2)/2))/(LN(2)/2)*BL80*BO80*VLOOKUP('Données projet'!$B$11,Paramètres!$A$1:$I$88,3,0)*0.475*44/12</f>
        <v>0</v>
      </c>
      <c r="BS80" s="24">
        <f t="shared" si="63"/>
        <v>98.67707392083318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67.725969744135085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-1.1368683772161603E-13</v>
      </c>
      <c r="BZ80" s="14">
        <f>BY80*VLOOKUP('Données projet'!$B$12,Paramètres!$A$1:$I$88,3,0)*VLOOKUP('Données projet'!$B$12,Paramètres!$A$1:$I$88,5,0)</f>
        <v>-1.1527845344971866E-13</v>
      </c>
      <c r="CA80" s="14" t="e">
        <f t="shared" si="93"/>
        <v>#NUM!</v>
      </c>
      <c r="CB80" s="22" t="e">
        <f t="shared" si="64"/>
        <v>#NUM!</v>
      </c>
      <c r="CC80" s="62" t="e">
        <f t="shared" si="65"/>
        <v>#NUM!</v>
      </c>
      <c r="CD80" s="62">
        <f ca="1">AVERAGE(OFFSET($CC$3,0,0,'Données projet'!$E$12+1,1))-AVERAGE(OFFSET($H$3,0,0,'Données projet'!$E$12+1,1))</f>
        <v>310.53598044763282</v>
      </c>
      <c r="CE80" s="62">
        <f t="shared" si="94"/>
        <v>322.01096634040596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projet'!$B$12,Paramètres!$A$1:$I$88,7,0))</f>
        <v>0</v>
      </c>
      <c r="CI80" s="17">
        <f>IF(ISNA(VLOOKUP(A80,'Données projet'!$A$113:$I$133,6,0)),0%,VLOOKUP(A80,'Données projet'!$A$113:$I$133,6,0)*VLOOKUP('Données projet'!$B$12,Paramètres!$A$1:$I$88,7,0))</f>
        <v>0</v>
      </c>
      <c r="CJ80" s="17">
        <f>IF(ISNA(VLOOKUP(A80,'Données projet'!$A$113:$I$133,7,0)),0%,VLOOKUP(A80,'Données projet'!$A$113:$I$133,7,0))</f>
        <v>0</v>
      </c>
      <c r="CK80" s="23">
        <f>EXP(-LN(2)/35)*CK79+(1-EXP(-LN(2)/35))/(LN(2)/35)*CG80*CH80*VLOOKUP('Données projet'!$B$12,Paramètres!$A$1:$I$88,3,0)*0.475*44/12</f>
        <v>51.633339422564255</v>
      </c>
      <c r="CL80" s="23">
        <f>EXP(-LN(2)/25)*CL79+(1-EXP(-LN(2)/25))/(LN(2)/25)*Calculateur!CG80*Calculateur!CI80*VLOOKUP('Données projet'!$B$12,Paramètres!$A$1:$I$88,3,0)*0.475*44/12</f>
        <v>0</v>
      </c>
      <c r="CM80" s="23">
        <f>EXP(-LN(2)/2)*CM79+(1-EXP(-LN(2)/2))/(LN(2)/2)*CG80*CJ80*VLOOKUP('Données projet'!$B$12,Paramètres!$A$1:$I$88,3,0)*0.475*44/12</f>
        <v>0</v>
      </c>
      <c r="CN80" s="24">
        <f t="shared" si="66"/>
        <v>51.633339422564255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67.725969744135085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projet'!$B$13,Paramètres!$A$1:$I$88,3,0)*VLOOKUP('Données projet'!$B$13,Paramètres!$A$1:$I$88,5,0)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projet'!$B$13,Paramètres!$A$1:$I$88,7,0))</f>
        <v>0</v>
      </c>
      <c r="DD80" s="17">
        <f>IF(ISNA(VLOOKUP(A80,'Données projet'!$A$139:$I$159,6,0)),0%,VLOOKUP(A80,'Données projet'!$A$139:$I$159,6,0)*VLOOKUP('Données projet'!$B$13,Paramètres!$A$1:$I$88,7,0))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projet'!$B$13,Paramètres!$A$1:$I$88,3,0)*0.475*44/12</f>
        <v>#N/A</v>
      </c>
      <c r="DG80" s="23" t="e">
        <f>EXP(-LN(2)/25)*DG79+(1-EXP(-LN(2)/25))/(LN(2)/25)*Calculateur!DB80*Calculateur!DD80*VLOOKUP('Données projet'!$B$13,Paramètres!$A$1:$I$88,3,0)*0.475*44/12</f>
        <v>#N/A</v>
      </c>
      <c r="DH80" s="23" t="e">
        <f>EXP(-LN(2)/2)*DH79+(1-EXP(-LN(2)/2))/(LN(2)/2)*DB80*DE80*VLOOKUP('Données projet'!$B$13,Paramètres!$A$1:$I$88,3,0)*0.475*44/12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67.725969744135085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projet'!$B$14,Paramètres!$A$1:$I$88,3,0)*VLOOKUP('Données projet'!$B$14,Paramètres!$A$1:$I$88,5,0)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projet'!$B$14,Paramètres!$A$1:$I$88,7,0))</f>
        <v>0</v>
      </c>
      <c r="DY80" s="17">
        <f>IF(ISNA(VLOOKUP(A80,'Données projet'!$A$165:$I$185,6,0)),0%,VLOOKUP(A80,'Données projet'!$A$165:$I$185,6,0)*VLOOKUP('Données projet'!$B$14,Paramètres!$A$1:$I$88,7,0))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projet'!$B$14,Paramètres!$A$1:$I$88,3,0)*0.475*44/12</f>
        <v>#N/A</v>
      </c>
      <c r="EB80" s="23" t="e">
        <f>EXP(-LN(2)/25)*EB79+(1-EXP(-LN(2)/25))/(LN(2)/25)*Calculateur!DW80*Calculateur!DY80*VLOOKUP('Données projet'!$B$14,Paramètres!$A$1:$I$88,3,0)*0.475*44/12</f>
        <v>#N/A</v>
      </c>
      <c r="EC80" s="23" t="e">
        <f>EXP(-LN(2)/2)*EC79+(1-EXP(-LN(2)/2))/(LN(2)/2)*DW80*DZ80*VLOOKUP('Données projet'!$B$14,Paramètres!$A$1:$I$88,3,0)*0.475*44/12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67.725969744135085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projet'!$B$15,Paramètres!$A$1:$I$88,3,0)*VLOOKUP('Données projet'!$B$15,Paramètres!$A$1:$I$88,5,0)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projet'!$B$15,Paramètres!$A$1:$I$88,7,0))</f>
        <v>0</v>
      </c>
      <c r="ET80" s="17">
        <f>IF(ISNA(VLOOKUP(A80,'Données projet'!$A$191:$I$211,6,0)),0%,VLOOKUP(A80,'Données projet'!$A$191:$I$211,6,0)*VLOOKUP('Données projet'!$B$15,Paramètres!$A$1:$I$88,7,0))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projet'!$B$15,Paramètres!$A$1:$I$88,3,0)*0.475*44/12</f>
        <v>#N/A</v>
      </c>
      <c r="EW80" s="23" t="e">
        <f>EXP(-LN(2)/25)*EW79+(1-EXP(-LN(2)/25))/(LN(2)/25)*Calculateur!ER80*Calculateur!ET80*VLOOKUP('Données projet'!$B$15,Paramètres!$A$1:$I$88,3,0)*0.475*44/12</f>
        <v>#N/A</v>
      </c>
      <c r="EX80" s="23" t="e">
        <f>EXP(-LN(2)/2)*EX79+(1-EXP(-LN(2)/2))/(LN(2)/2)*ER80*EU80*VLOOKUP('Données projet'!$B$15,Paramètres!$A$1:$I$88,3,0)*0.475*44/12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67.725969744135085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projet'!$B$16,Paramètres!$A$1:$I$88,3,0)*VLOOKUP('Données projet'!$B$16,Paramètres!$A$1:$I$88,5,0)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projet'!$B$16,Paramètres!$A$1:$I$88,7,0))</f>
        <v>0</v>
      </c>
      <c r="FO80" s="17">
        <f>IF(ISNA(VLOOKUP(A80,'Données projet'!$A$217:$I$237,6,0)),0%,VLOOKUP(A80,'Données projet'!$A$217:$I$237,6,0)*VLOOKUP('Données projet'!$B$16,Paramètres!$A$1:$I$88,7,0))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projet'!$B$16,Paramètres!$A$1:$I$88,3,0)*0.475*44/12</f>
        <v>#N/A</v>
      </c>
      <c r="FR80" s="23" t="e">
        <f>EXP(-LN(2)/25)*FR79+(1-EXP(-LN(2)/25))/(LN(2)/25)*Calculateur!FM80*Calculateur!FO80*VLOOKUP('Données projet'!$B$16,Paramètres!$A$1:$I$88,3,0)*0.475*44/12</f>
        <v>#N/A</v>
      </c>
      <c r="FS80" s="23" t="e">
        <f>EXP(-LN(2)/2)*FS79+(1-EXP(-LN(2)/2))/(LN(2)/2)*FM80*FP80*VLOOKUP('Données projet'!$B$16,Paramètres!$A$1:$I$88,3,0)*0.475*44/12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67.725969744135085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projet'!$B$17,Paramètres!$A$1:$I$88,3,0)*VLOOKUP('Données projet'!$B$17,Paramètres!$A$1:$I$88,5,0)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projet'!$B$17,Paramètres!$A$1:$I$88,7,0))</f>
        <v>0</v>
      </c>
      <c r="GJ80" s="17">
        <f>IF(ISNA(VLOOKUP(A80,'Données projet'!$A$243:$I$263,6,0)),0%,VLOOKUP(A80,'Données projet'!$A$243:$I$263,6,0)*VLOOKUP('Données projet'!$B$17,Paramètres!$A$1:$I$88,7,0))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projet'!$B$17,Paramètres!$A$1:$I$88,3,0)*0.475*44/12</f>
        <v>#N/A</v>
      </c>
      <c r="GM80" s="23" t="e">
        <f>EXP(-LN(2)/25)*GM79+(1-EXP(-LN(2)/25))/(LN(2)/25)*Calculateur!GH80*Calculateur!GJ80*VLOOKUP('Données projet'!$B$17,Paramètres!$A$1:$I$88,3,0)*0.475*44/12</f>
        <v>#N/A</v>
      </c>
      <c r="GN80" s="23" t="e">
        <f>EXP(-LN(2)/2)*GN79+(1-EXP(-LN(2)/2))/(LN(2)/2)*GH80*GK80*VLOOKUP('Données projet'!$B$17,Paramètres!$A$1:$I$88,3,0)*0.475*44/12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67.725969744135085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projet'!$B$18,Paramètres!$A$1:$I$88,3,0)*VLOOKUP('Données projet'!$B$18,Paramètres!$A$1:$I$88,5,0)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projet'!$B$18,Paramètres!$A$1:$I$88,7,0))</f>
        <v>0</v>
      </c>
      <c r="HE80" s="17">
        <f>IF(ISNA(VLOOKUP(A80,'Données projet'!$A$269:$I$289,6,0)),0%,VLOOKUP(A80,'Données projet'!$A$269:$I$289,6,0)*VLOOKUP('Données projet'!$B$18,Paramètres!$A$1:$I$88,7,0))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projet'!$B$18,Paramètres!$A$1:$I$88,3,0)*0.475*44/12</f>
        <v>#N/A</v>
      </c>
      <c r="HH80" s="23" t="e">
        <f>EXP(-LN(2)/25)*HH79+(1-EXP(-LN(2)/25))/(LN(2)/25)*Calculateur!HC80*Calculateur!HE80*VLOOKUP('Données projet'!$B$18,Paramètres!$A$1:$I$88,3,0)*0.475*44/12</f>
        <v>#N/A</v>
      </c>
      <c r="HI80" s="23" t="e">
        <f>EXP(-LN(2)/2)*HI79+(1-EXP(-LN(2)/2))/(LN(2)/2)*HC80*HF80*VLOOKUP('Données projet'!$B$18,Paramètres!$A$1:$I$88,3,0)*0.475*44/12</f>
        <v>#N/A</v>
      </c>
      <c r="HJ80" s="24" t="e">
        <f t="shared" si="84"/>
        <v>#N/A</v>
      </c>
    </row>
    <row r="81" spans="1:218" s="5" customFormat="1" x14ac:dyDescent="0.35">
      <c r="A81" s="11">
        <f t="shared" si="85"/>
        <v>78</v>
      </c>
      <c r="B81" s="77">
        <f>'Scénario référence'!$B$16*5+'Scénario référence'!$B$17*0+'Scénario référence'!$B$18*5</f>
        <v>1.75</v>
      </c>
      <c r="C81" s="20">
        <f>Calculateur!C80+'Scénario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81" s="12">
        <f t="shared" si="86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6.416666666666667</v>
      </c>
      <c r="H81" s="70">
        <f t="shared" si="56"/>
        <v>231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67.765419085104327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3.4106051316484809E-13</v>
      </c>
      <c r="O81" s="14">
        <f>N81*VLOOKUP('Données projet'!$B$9,Paramètres!$A$1:$I$88,3,0)*VLOOKUP('Données projet'!$B$9,Paramètres!$A$1:$I$88,5,0)</f>
        <v>1.9065282685915009E-13</v>
      </c>
      <c r="P81" s="14">
        <f t="shared" si="87"/>
        <v>2.6568987209435707E-12</v>
      </c>
      <c r="Q81" s="22">
        <f t="shared" si="54"/>
        <v>4.959485612423072E-12</v>
      </c>
      <c r="R81" s="62">
        <f t="shared" si="55"/>
        <v>285.13986997872081</v>
      </c>
      <c r="S81" s="62">
        <f ca="1">AVERAGE(OFFSET($R$3,0,0,'Données projet'!$E$9+1,1))-AVERAGE(OFFSET($H$3,0,0,'Données projet'!$E$9+1,1))</f>
        <v>341.05096821796769</v>
      </c>
      <c r="T81" s="62">
        <f t="shared" si="88"/>
        <v>400.72519822215168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projet'!$B$9,Paramètres!$A$1:$I$88,7,0))</f>
        <v>0</v>
      </c>
      <c r="X81" s="17">
        <f>IF(ISNA(VLOOKUP(A81,'Données projet'!$A$35:$I$55,6,0)),0%,VLOOKUP(A81,'Données projet'!$A$35:$I$55,6,0)*VLOOKUP('Données projet'!$B$9,Paramètres!$A$1:$I$88,7,0))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projet'!$B$9,Paramètres!$A$1:$I$88,3,0)*0.475*44/12</f>
        <v>167.77123482526983</v>
      </c>
      <c r="AA81" s="23">
        <f>EXP(-LN(2)/25)*AA80+(1-EXP(-LN(2)/25))/(LN(2)/25)*Calculateur!V81*Calculateur!X81*VLOOKUP('Données projet'!$B$9,Paramètres!$A$1:$I$88,3,0)*0.475*44/12</f>
        <v>80.455204880817561</v>
      </c>
      <c r="AB81" s="23">
        <f>EXP(-LN(2)/2)*AB80+(1-EXP(-LN(2)/2))/(LN(2)/2)*V81*Y81*VLOOKUP('Données projet'!$B$9,Paramètres!$A$1:$I$88,3,0)*0.475*44/12</f>
        <v>0</v>
      </c>
      <c r="AC81" s="24">
        <f t="shared" si="57"/>
        <v>248.22643970608738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67.765419085104327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5.6843418860808015E-14</v>
      </c>
      <c r="AJ81" s="14">
        <f>AI81*VLOOKUP('Données projet'!$B$10,Paramètres!$A$1:$I$88,3,0)*VLOOKUP('Données projet'!$B$10,Paramètres!$A$1:$I$88,5,0)</f>
        <v>3.3992364478763198E-14</v>
      </c>
      <c r="AK81" s="14">
        <f t="shared" si="89"/>
        <v>5.790027782444094E-13</v>
      </c>
      <c r="AL81" s="22">
        <f t="shared" si="58"/>
        <v>1.0676332069095257E-12</v>
      </c>
      <c r="AM81" s="62">
        <f t="shared" si="59"/>
        <v>285.13986997871694</v>
      </c>
      <c r="AN81" s="62">
        <f ca="1">AVERAGE(OFFSET($AM$3,0,0,'Données projet'!$E$10+1,1))-AVERAGE(OFFSET($H$3,0,0,'Données projet'!$E$10+1,1))</f>
        <v>231.96474801342879</v>
      </c>
      <c r="AO81" s="62">
        <f t="shared" si="90"/>
        <v>237.75726086383668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projet'!$B$10,Paramètres!$A$1:$I$88,7,0))</f>
        <v>0</v>
      </c>
      <c r="AS81" s="17">
        <f>IF(ISNA(VLOOKUP(A81,'Données projet'!$A$61:$I$81,6,0)),0%,VLOOKUP(A81,'Données projet'!$A$61:$I$81,6,0)*VLOOKUP('Données projet'!$B$10,Paramètres!$A$1:$I$88,7,0))</f>
        <v>0</v>
      </c>
      <c r="AT81" s="17">
        <f>IF(ISNA(VLOOKUP(A81,'Données projet'!$A$61:$I$81,7,0)),0%,VLOOKUP(A81,'Données projet'!$A$61:$I$81,7,0))</f>
        <v>0</v>
      </c>
      <c r="AU81" s="23">
        <f>EXP(-LN(2)/35)*AU80+(1-EXP(-LN(2)/35))/(LN(2)/35)*AQ81*AR81*VLOOKUP('Données projet'!$B$10,Paramètres!$A$1:$I$88,3,0)*0.475*44/12</f>
        <v>66.160507805475987</v>
      </c>
      <c r="AV81" s="23">
        <f>EXP(-LN(2)/25)*AV80+(1-EXP(-LN(2)/25))/(LN(2)/25)*Calculateur!AQ81*Calculateur!AS81*VLOOKUP('Données projet'!$B$10,Paramètres!$A$1:$I$88,3,0)*0.475*44/12</f>
        <v>33.974198827475625</v>
      </c>
      <c r="AW81" s="23">
        <f>EXP(-LN(2)/2)*AW80+(1-EXP(-LN(2)/2))/(LN(2)/2)*AQ81*AT81*VLOOKUP('Données projet'!$B$10,Paramètres!$A$1:$I$88,3,0)*0.475*44/12</f>
        <v>0</v>
      </c>
      <c r="AX81" s="23">
        <f t="shared" si="60"/>
        <v>100.13470663295161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67.765419085104327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14.2</v>
      </c>
      <c r="BD81" s="13">
        <f>IF('Données projet'!$A$88&gt;35,BD80+BC81-BL80,IF(A81&lt;'Données projet'!$A$88,$BA$205^A81,IF(A81='Données projet'!$A$88,'Données projet'!$B$88,BD80+BC81-BL80)))</f>
        <v>453.40000000000026</v>
      </c>
      <c r="BE81" s="14">
        <f>BD81*VLOOKUP('Données projet'!$B$11,Paramètres!$A$1:$I$88,3,0)*VLOOKUP('Données projet'!$B$11,Paramètres!$A$1:$I$88,5,0)</f>
        <v>212.19120000000009</v>
      </c>
      <c r="BF81" s="14">
        <f t="shared" si="91"/>
        <v>52.414128367883173</v>
      </c>
      <c r="BG81" s="22">
        <f t="shared" si="61"/>
        <v>460.85428024073002</v>
      </c>
      <c r="BH81" s="62">
        <f t="shared" si="62"/>
        <v>745.99415021944583</v>
      </c>
      <c r="BI81" s="62">
        <f ca="1">AVERAGE(OFFSET($BH$3,0,0,'Données projet'!$E$11+1,1))-AVERAGE(OFFSET($H$3,0,0,'Données projet'!$E$11+1,1))</f>
        <v>364.96458059055169</v>
      </c>
      <c r="BJ81" s="62">
        <f t="shared" si="92"/>
        <v>246.27159120786257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projet'!$B$11,Paramètres!$A$1:$I$88,7,0))</f>
        <v>0</v>
      </c>
      <c r="BN81" s="17">
        <f>IF(ISNA(VLOOKUP(A81,'Données projet'!$A$87:$I$107,6,0)),0%,VLOOKUP(A81,'Données projet'!$A$87:$I$107,6,0)*VLOOKUP('Données projet'!$B$11,Paramètres!$A$1:$I$88,7,0))</f>
        <v>0</v>
      </c>
      <c r="BO81" s="17">
        <f>IF(ISNA(VLOOKUP(A81,'Données projet'!$A$87:$I$107,7,0)),0%,VLOOKUP(A81,'Données projet'!$A$87:$I$107,7,0))</f>
        <v>0</v>
      </c>
      <c r="BP81" s="23">
        <f>EXP(-LN(2)/35)*BP80+(1-EXP(-LN(2)/35))/(LN(2)/35)*BL81*BM81*VLOOKUP('Données projet'!$B$11,Paramètres!$A$1:$I$88,3,0)*0.475*44/12</f>
        <v>66.695926495901773</v>
      </c>
      <c r="BQ81" s="23">
        <f>EXP(-LN(2)/25)*BQ80+(1-EXP(-LN(2)/25))/(LN(2)/25)*Calculateur!BL81*Calculateur!BN81*VLOOKUP('Données projet'!$B$11,Paramètres!$A$1:$I$88,3,0)*0.475*44/12</f>
        <v>29.809074402641706</v>
      </c>
      <c r="BR81" s="23">
        <f>EXP(-LN(2)/2)*BR80+(1-EXP(-LN(2)/2))/(LN(2)/2)*BL81*BO81*VLOOKUP('Données projet'!$B$11,Paramètres!$A$1:$I$88,3,0)*0.475*44/12</f>
        <v>0</v>
      </c>
      <c r="BS81" s="24">
        <f t="shared" si="63"/>
        <v>96.505000898543472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67.765419085104327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-1.1368683772161603E-13</v>
      </c>
      <c r="BZ81" s="14">
        <f>BY81*VLOOKUP('Données projet'!$B$12,Paramètres!$A$1:$I$88,3,0)*VLOOKUP('Données projet'!$B$12,Paramètres!$A$1:$I$88,5,0)</f>
        <v>-1.1527845344971866E-13</v>
      </c>
      <c r="CA81" s="14" t="e">
        <f t="shared" si="93"/>
        <v>#NUM!</v>
      </c>
      <c r="CB81" s="22" t="e">
        <f t="shared" si="64"/>
        <v>#NUM!</v>
      </c>
      <c r="CC81" s="62" t="e">
        <f t="shared" si="65"/>
        <v>#NUM!</v>
      </c>
      <c r="CD81" s="62">
        <f ca="1">AVERAGE(OFFSET($CC$3,0,0,'Données projet'!$E$12+1,1))-AVERAGE(OFFSET($H$3,0,0,'Données projet'!$E$12+1,1))</f>
        <v>310.53598044763282</v>
      </c>
      <c r="CE81" s="62">
        <f t="shared" si="94"/>
        <v>322.01096634040596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projet'!$B$12,Paramètres!$A$1:$I$88,7,0))</f>
        <v>0</v>
      </c>
      <c r="CI81" s="17">
        <f>IF(ISNA(VLOOKUP(A81,'Données projet'!$A$113:$I$133,6,0)),0%,VLOOKUP(A81,'Données projet'!$A$113:$I$133,6,0)*VLOOKUP('Données projet'!$B$12,Paramètres!$A$1:$I$88,7,0))</f>
        <v>0</v>
      </c>
      <c r="CJ81" s="17">
        <f>IF(ISNA(VLOOKUP(A81,'Données projet'!$A$113:$I$133,7,0)),0%,VLOOKUP(A81,'Données projet'!$A$113:$I$133,7,0))</f>
        <v>0</v>
      </c>
      <c r="CK81" s="23">
        <f>EXP(-LN(2)/35)*CK80+(1-EXP(-LN(2)/35))/(LN(2)/35)*CG81*CH81*VLOOKUP('Données projet'!$B$12,Paramètres!$A$1:$I$88,3,0)*0.475*44/12</f>
        <v>50.620841129715117</v>
      </c>
      <c r="CL81" s="23">
        <f>EXP(-LN(2)/25)*CL80+(1-EXP(-LN(2)/25))/(LN(2)/25)*Calculateur!CG81*Calculateur!CI81*VLOOKUP('Données projet'!$B$12,Paramètres!$A$1:$I$88,3,0)*0.475*44/12</f>
        <v>0</v>
      </c>
      <c r="CM81" s="23">
        <f>EXP(-LN(2)/2)*CM80+(1-EXP(-LN(2)/2))/(LN(2)/2)*CG81*CJ81*VLOOKUP('Données projet'!$B$12,Paramètres!$A$1:$I$88,3,0)*0.475*44/12</f>
        <v>0</v>
      </c>
      <c r="CN81" s="24">
        <f t="shared" si="66"/>
        <v>50.620841129715117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67.765419085104327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projet'!$B$13,Paramètres!$A$1:$I$88,3,0)*VLOOKUP('Données projet'!$B$13,Paramètres!$A$1:$I$88,5,0)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projet'!$B$13,Paramètres!$A$1:$I$88,7,0))</f>
        <v>0</v>
      </c>
      <c r="DD81" s="17">
        <f>IF(ISNA(VLOOKUP(A81,'Données projet'!$A$139:$I$159,6,0)),0%,VLOOKUP(A81,'Données projet'!$A$139:$I$159,6,0)*VLOOKUP('Données projet'!$B$13,Paramètres!$A$1:$I$88,7,0))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projet'!$B$13,Paramètres!$A$1:$I$88,3,0)*0.475*44/12</f>
        <v>#N/A</v>
      </c>
      <c r="DG81" s="23" t="e">
        <f>EXP(-LN(2)/25)*DG80+(1-EXP(-LN(2)/25))/(LN(2)/25)*Calculateur!DB81*Calculateur!DD81*VLOOKUP('Données projet'!$B$13,Paramètres!$A$1:$I$88,3,0)*0.475*44/12</f>
        <v>#N/A</v>
      </c>
      <c r="DH81" s="23" t="e">
        <f>EXP(-LN(2)/2)*DH80+(1-EXP(-LN(2)/2))/(LN(2)/2)*DB81*DE81*VLOOKUP('Données projet'!$B$13,Paramètres!$A$1:$I$88,3,0)*0.475*44/12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67.765419085104327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projet'!$B$14,Paramètres!$A$1:$I$88,3,0)*VLOOKUP('Données projet'!$B$14,Paramètres!$A$1:$I$88,5,0)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projet'!$B$14,Paramètres!$A$1:$I$88,7,0))</f>
        <v>0</v>
      </c>
      <c r="DY81" s="17">
        <f>IF(ISNA(VLOOKUP(A81,'Données projet'!$A$165:$I$185,6,0)),0%,VLOOKUP(A81,'Données projet'!$A$165:$I$185,6,0)*VLOOKUP('Données projet'!$B$14,Paramètres!$A$1:$I$88,7,0))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projet'!$B$14,Paramètres!$A$1:$I$88,3,0)*0.475*44/12</f>
        <v>#N/A</v>
      </c>
      <c r="EB81" s="23" t="e">
        <f>EXP(-LN(2)/25)*EB80+(1-EXP(-LN(2)/25))/(LN(2)/25)*Calculateur!DW81*Calculateur!DY81*VLOOKUP('Données projet'!$B$14,Paramètres!$A$1:$I$88,3,0)*0.475*44/12</f>
        <v>#N/A</v>
      </c>
      <c r="EC81" s="23" t="e">
        <f>EXP(-LN(2)/2)*EC80+(1-EXP(-LN(2)/2))/(LN(2)/2)*DW81*DZ81*VLOOKUP('Données projet'!$B$14,Paramètres!$A$1:$I$88,3,0)*0.475*44/12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67.765419085104327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projet'!$B$15,Paramètres!$A$1:$I$88,3,0)*VLOOKUP('Données projet'!$B$15,Paramètres!$A$1:$I$88,5,0)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projet'!$B$15,Paramètres!$A$1:$I$88,7,0))</f>
        <v>0</v>
      </c>
      <c r="ET81" s="17">
        <f>IF(ISNA(VLOOKUP(A81,'Données projet'!$A$191:$I$211,6,0)),0%,VLOOKUP(A81,'Données projet'!$A$191:$I$211,6,0)*VLOOKUP('Données projet'!$B$15,Paramètres!$A$1:$I$88,7,0))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projet'!$B$15,Paramètres!$A$1:$I$88,3,0)*0.475*44/12</f>
        <v>#N/A</v>
      </c>
      <c r="EW81" s="23" t="e">
        <f>EXP(-LN(2)/25)*EW80+(1-EXP(-LN(2)/25))/(LN(2)/25)*Calculateur!ER81*Calculateur!ET81*VLOOKUP('Données projet'!$B$15,Paramètres!$A$1:$I$88,3,0)*0.475*44/12</f>
        <v>#N/A</v>
      </c>
      <c r="EX81" s="23" t="e">
        <f>EXP(-LN(2)/2)*EX80+(1-EXP(-LN(2)/2))/(LN(2)/2)*ER81*EU81*VLOOKUP('Données projet'!$B$15,Paramètres!$A$1:$I$88,3,0)*0.475*44/12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67.765419085104327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projet'!$B$16,Paramètres!$A$1:$I$88,3,0)*VLOOKUP('Données projet'!$B$16,Paramètres!$A$1:$I$88,5,0)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projet'!$B$16,Paramètres!$A$1:$I$88,7,0))</f>
        <v>0</v>
      </c>
      <c r="FO81" s="17">
        <f>IF(ISNA(VLOOKUP(A81,'Données projet'!$A$217:$I$237,6,0)),0%,VLOOKUP(A81,'Données projet'!$A$217:$I$237,6,0)*VLOOKUP('Données projet'!$B$16,Paramètres!$A$1:$I$88,7,0))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projet'!$B$16,Paramètres!$A$1:$I$88,3,0)*0.475*44/12</f>
        <v>#N/A</v>
      </c>
      <c r="FR81" s="23" t="e">
        <f>EXP(-LN(2)/25)*FR80+(1-EXP(-LN(2)/25))/(LN(2)/25)*Calculateur!FM81*Calculateur!FO81*VLOOKUP('Données projet'!$B$16,Paramètres!$A$1:$I$88,3,0)*0.475*44/12</f>
        <v>#N/A</v>
      </c>
      <c r="FS81" s="23" t="e">
        <f>EXP(-LN(2)/2)*FS80+(1-EXP(-LN(2)/2))/(LN(2)/2)*FM81*FP81*VLOOKUP('Données projet'!$B$16,Paramètres!$A$1:$I$88,3,0)*0.475*44/12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67.765419085104327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projet'!$B$17,Paramètres!$A$1:$I$88,3,0)*VLOOKUP('Données projet'!$B$17,Paramètres!$A$1:$I$88,5,0)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projet'!$B$17,Paramètres!$A$1:$I$88,7,0))</f>
        <v>0</v>
      </c>
      <c r="GJ81" s="17">
        <f>IF(ISNA(VLOOKUP(A81,'Données projet'!$A$243:$I$263,6,0)),0%,VLOOKUP(A81,'Données projet'!$A$243:$I$263,6,0)*VLOOKUP('Données projet'!$B$17,Paramètres!$A$1:$I$88,7,0))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projet'!$B$17,Paramètres!$A$1:$I$88,3,0)*0.475*44/12</f>
        <v>#N/A</v>
      </c>
      <c r="GM81" s="23" t="e">
        <f>EXP(-LN(2)/25)*GM80+(1-EXP(-LN(2)/25))/(LN(2)/25)*Calculateur!GH81*Calculateur!GJ81*VLOOKUP('Données projet'!$B$17,Paramètres!$A$1:$I$88,3,0)*0.475*44/12</f>
        <v>#N/A</v>
      </c>
      <c r="GN81" s="23" t="e">
        <f>EXP(-LN(2)/2)*GN80+(1-EXP(-LN(2)/2))/(LN(2)/2)*GH81*GK81*VLOOKUP('Données projet'!$B$17,Paramètres!$A$1:$I$88,3,0)*0.475*44/12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67.765419085104327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projet'!$B$18,Paramètres!$A$1:$I$88,3,0)*VLOOKUP('Données projet'!$B$18,Paramètres!$A$1:$I$88,5,0)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projet'!$B$18,Paramètres!$A$1:$I$88,7,0))</f>
        <v>0</v>
      </c>
      <c r="HE81" s="17">
        <f>IF(ISNA(VLOOKUP(A81,'Données projet'!$A$269:$I$289,6,0)),0%,VLOOKUP(A81,'Données projet'!$A$269:$I$289,6,0)*VLOOKUP('Données projet'!$B$18,Paramètres!$A$1:$I$88,7,0))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projet'!$B$18,Paramètres!$A$1:$I$88,3,0)*0.475*44/12</f>
        <v>#N/A</v>
      </c>
      <c r="HH81" s="23" t="e">
        <f>EXP(-LN(2)/25)*HH80+(1-EXP(-LN(2)/25))/(LN(2)/25)*Calculateur!HC81*Calculateur!HE81*VLOOKUP('Données projet'!$B$18,Paramètres!$A$1:$I$88,3,0)*0.475*44/12</f>
        <v>#N/A</v>
      </c>
      <c r="HI81" s="23" t="e">
        <f>EXP(-LN(2)/2)*HI80+(1-EXP(-LN(2)/2))/(LN(2)/2)*HC81*HF81*VLOOKUP('Données projet'!$B$18,Paramètres!$A$1:$I$88,3,0)*0.475*44/12</f>
        <v>#N/A</v>
      </c>
      <c r="HJ81" s="24" t="e">
        <f t="shared" si="84"/>
        <v>#N/A</v>
      </c>
    </row>
    <row r="82" spans="1:218" s="5" customFormat="1" x14ac:dyDescent="0.35">
      <c r="A82" s="11">
        <f t="shared" si="85"/>
        <v>79</v>
      </c>
      <c r="B82" s="77">
        <f>'Scénario référence'!$B$16*5+'Scénario référence'!$B$17*0+'Scénario référence'!$B$18*5</f>
        <v>1.75</v>
      </c>
      <c r="C82" s="20">
        <f>Calculateur!C81+'Scénario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82" s="12">
        <f t="shared" si="86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6.416666666666667</v>
      </c>
      <c r="H82" s="70">
        <f t="shared" si="56"/>
        <v>231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67.804184068203256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3.4106051316484809E-13</v>
      </c>
      <c r="O82" s="14">
        <f>N82*VLOOKUP('Données projet'!$B$9,Paramètres!$A$1:$I$88,3,0)*VLOOKUP('Données projet'!$B$9,Paramètres!$A$1:$I$88,5,0)</f>
        <v>1.9065282685915009E-13</v>
      </c>
      <c r="P82" s="14">
        <f t="shared" si="87"/>
        <v>2.6568987209435707E-12</v>
      </c>
      <c r="Q82" s="22">
        <f t="shared" si="54"/>
        <v>4.959485612423072E-12</v>
      </c>
      <c r="R82" s="62">
        <f t="shared" si="55"/>
        <v>285.28200825008355</v>
      </c>
      <c r="S82" s="62">
        <f ca="1">AVERAGE(OFFSET($R$3,0,0,'Données projet'!$E$9+1,1))-AVERAGE(OFFSET($H$3,0,0,'Données projet'!$E$9+1,1))</f>
        <v>341.05096821796769</v>
      </c>
      <c r="T82" s="62">
        <f t="shared" si="88"/>
        <v>400.72519822215168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projet'!$B$9,Paramètres!$A$1:$I$88,7,0))</f>
        <v>0</v>
      </c>
      <c r="X82" s="17">
        <f>IF(ISNA(VLOOKUP(A82,'Données projet'!$A$35:$I$55,6,0)),0%,VLOOKUP(A82,'Données projet'!$A$35:$I$55,6,0)*VLOOKUP('Données projet'!$B$9,Paramètres!$A$1:$I$88,7,0))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projet'!$B$9,Paramètres!$A$1:$I$88,3,0)*0.475*44/12</f>
        <v>164.48134324069525</v>
      </c>
      <c r="AA82" s="23">
        <f>EXP(-LN(2)/25)*AA81+(1-EXP(-LN(2)/25))/(LN(2)/25)*Calculateur!V82*Calculateur!X82*VLOOKUP('Données projet'!$B$9,Paramètres!$A$1:$I$88,3,0)*0.475*44/12</f>
        <v>78.255153072396268</v>
      </c>
      <c r="AB82" s="23">
        <f>EXP(-LN(2)/2)*AB81+(1-EXP(-LN(2)/2))/(LN(2)/2)*V82*Y82*VLOOKUP('Données projet'!$B$9,Paramètres!$A$1:$I$88,3,0)*0.475*44/12</f>
        <v>0</v>
      </c>
      <c r="AC82" s="24">
        <f t="shared" si="57"/>
        <v>242.73649631309152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67.804184068203256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5.6843418860808015E-14</v>
      </c>
      <c r="AJ82" s="14">
        <f>AI82*VLOOKUP('Données projet'!$B$10,Paramètres!$A$1:$I$88,3,0)*VLOOKUP('Données projet'!$B$10,Paramètres!$A$1:$I$88,5,0)</f>
        <v>3.3992364478763198E-14</v>
      </c>
      <c r="AK82" s="14">
        <f t="shared" si="89"/>
        <v>5.790027782444094E-13</v>
      </c>
      <c r="AL82" s="22">
        <f t="shared" si="58"/>
        <v>1.0676332069095257E-12</v>
      </c>
      <c r="AM82" s="62">
        <f t="shared" si="59"/>
        <v>285.28200825007968</v>
      </c>
      <c r="AN82" s="62">
        <f ca="1">AVERAGE(OFFSET($AM$3,0,0,'Données projet'!$E$10+1,1))-AVERAGE(OFFSET($H$3,0,0,'Données projet'!$E$10+1,1))</f>
        <v>231.96474801342879</v>
      </c>
      <c r="AO82" s="62">
        <f t="shared" si="90"/>
        <v>237.75726086383668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projet'!$B$10,Paramètres!$A$1:$I$88,7,0))</f>
        <v>0</v>
      </c>
      <c r="AS82" s="17">
        <f>IF(ISNA(VLOOKUP(A82,'Données projet'!$A$61:$I$81,6,0)),0%,VLOOKUP(A82,'Données projet'!$A$61:$I$81,6,0)*VLOOKUP('Données projet'!$B$10,Paramètres!$A$1:$I$88,7,0))</f>
        <v>0</v>
      </c>
      <c r="AT82" s="17">
        <f>IF(ISNA(VLOOKUP(A82,'Données projet'!$A$61:$I$81,7,0)),0%,VLOOKUP(A82,'Données projet'!$A$61:$I$81,7,0))</f>
        <v>0</v>
      </c>
      <c r="AU82" s="23">
        <f>EXP(-LN(2)/35)*AU81+(1-EXP(-LN(2)/35))/(LN(2)/35)*AQ82*AR82*VLOOKUP('Données projet'!$B$10,Paramètres!$A$1:$I$88,3,0)*0.475*44/12</f>
        <v>64.863140601335743</v>
      </c>
      <c r="AV82" s="23">
        <f>EXP(-LN(2)/25)*AV81+(1-EXP(-LN(2)/25))/(LN(2)/25)*Calculateur!AQ82*Calculateur!AS82*VLOOKUP('Données projet'!$B$10,Paramètres!$A$1:$I$88,3,0)*0.475*44/12</f>
        <v>33.045172573912836</v>
      </c>
      <c r="AW82" s="23">
        <f>EXP(-LN(2)/2)*AW81+(1-EXP(-LN(2)/2))/(LN(2)/2)*AQ82*AT82*VLOOKUP('Données projet'!$B$10,Paramètres!$A$1:$I$88,3,0)*0.475*44/12</f>
        <v>0</v>
      </c>
      <c r="AX82" s="23">
        <f t="shared" si="60"/>
        <v>97.90831317524858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67.804184068203256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14.2</v>
      </c>
      <c r="BD82" s="13">
        <f>IF('Données projet'!$A$88&gt;35,BD81+BC82-BL81,IF(A82&lt;'Données projet'!$A$88,$BA$205^A82,IF(A82='Données projet'!$A$88,'Données projet'!$B$88,BD81+BC82-BL81)))</f>
        <v>467.60000000000025</v>
      </c>
      <c r="BE82" s="14">
        <f>BD82*VLOOKUP('Données projet'!$B$11,Paramètres!$A$1:$I$88,3,0)*VLOOKUP('Données projet'!$B$11,Paramètres!$A$1:$I$88,5,0)</f>
        <v>218.83680000000012</v>
      </c>
      <c r="BF82" s="14">
        <f t="shared" si="91"/>
        <v>53.861991997956267</v>
      </c>
      <c r="BG82" s="22">
        <f t="shared" si="61"/>
        <v>474.95039606310729</v>
      </c>
      <c r="BH82" s="62">
        <f t="shared" si="62"/>
        <v>760.23240431318595</v>
      </c>
      <c r="BI82" s="62">
        <f ca="1">AVERAGE(OFFSET($BH$3,0,0,'Données projet'!$E$11+1,1))-AVERAGE(OFFSET($H$3,0,0,'Données projet'!$E$11+1,1))</f>
        <v>364.96458059055169</v>
      </c>
      <c r="BJ82" s="62">
        <f t="shared" si="92"/>
        <v>246.27159120786257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projet'!$B$11,Paramètres!$A$1:$I$88,7,0))</f>
        <v>0</v>
      </c>
      <c r="BN82" s="17">
        <f>IF(ISNA(VLOOKUP(A82,'Données projet'!$A$87:$I$107,6,0)),0%,VLOOKUP(A82,'Données projet'!$A$87:$I$107,6,0)*VLOOKUP('Données projet'!$B$11,Paramètres!$A$1:$I$88,7,0))</f>
        <v>0</v>
      </c>
      <c r="BO82" s="17">
        <f>IF(ISNA(VLOOKUP(A82,'Données projet'!$A$87:$I$107,7,0)),0%,VLOOKUP(A82,'Données projet'!$A$87:$I$107,7,0))</f>
        <v>0</v>
      </c>
      <c r="BP82" s="23">
        <f>EXP(-LN(2)/35)*BP81+(1-EXP(-LN(2)/35))/(LN(2)/35)*BL82*BM82*VLOOKUP('Données projet'!$B$11,Paramètres!$A$1:$I$88,3,0)*0.475*44/12</f>
        <v>65.388060057815437</v>
      </c>
      <c r="BQ82" s="23">
        <f>EXP(-LN(2)/25)*BQ81+(1-EXP(-LN(2)/25))/(LN(2)/25)*Calculateur!BL82*Calculateur!BN82*VLOOKUP('Données projet'!$B$11,Paramètres!$A$1:$I$88,3,0)*0.475*44/12</f>
        <v>28.993943695510374</v>
      </c>
      <c r="BR82" s="23">
        <f>EXP(-LN(2)/2)*BR81+(1-EXP(-LN(2)/2))/(LN(2)/2)*BL82*BO82*VLOOKUP('Données projet'!$B$11,Paramètres!$A$1:$I$88,3,0)*0.475*44/12</f>
        <v>0</v>
      </c>
      <c r="BS82" s="24">
        <f t="shared" si="63"/>
        <v>94.382003753325819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67.804184068203256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-1.1368683772161603E-13</v>
      </c>
      <c r="BZ82" s="14">
        <f>BY82*VLOOKUP('Données projet'!$B$12,Paramètres!$A$1:$I$88,3,0)*VLOOKUP('Données projet'!$B$12,Paramètres!$A$1:$I$88,5,0)</f>
        <v>-1.1527845344971866E-13</v>
      </c>
      <c r="CA82" s="14" t="e">
        <f t="shared" si="93"/>
        <v>#NUM!</v>
      </c>
      <c r="CB82" s="22" t="e">
        <f t="shared" si="64"/>
        <v>#NUM!</v>
      </c>
      <c r="CC82" s="62" t="e">
        <f t="shared" si="65"/>
        <v>#NUM!</v>
      </c>
      <c r="CD82" s="62">
        <f ca="1">AVERAGE(OFFSET($CC$3,0,0,'Données projet'!$E$12+1,1))-AVERAGE(OFFSET($H$3,0,0,'Données projet'!$E$12+1,1))</f>
        <v>310.53598044763282</v>
      </c>
      <c r="CE82" s="62">
        <f t="shared" si="94"/>
        <v>322.01096634040596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projet'!$B$12,Paramètres!$A$1:$I$88,7,0))</f>
        <v>0</v>
      </c>
      <c r="CI82" s="17">
        <f>IF(ISNA(VLOOKUP(A82,'Données projet'!$A$113:$I$133,6,0)),0%,VLOOKUP(A82,'Données projet'!$A$113:$I$133,6,0)*VLOOKUP('Données projet'!$B$12,Paramètres!$A$1:$I$88,7,0))</f>
        <v>0</v>
      </c>
      <c r="CJ82" s="17">
        <f>IF(ISNA(VLOOKUP(A82,'Données projet'!$A$113:$I$133,7,0)),0%,VLOOKUP(A82,'Données projet'!$A$113:$I$133,7,0))</f>
        <v>0</v>
      </c>
      <c r="CK82" s="23">
        <f>EXP(-LN(2)/35)*CK81+(1-EXP(-LN(2)/35))/(LN(2)/35)*CG82*CH82*VLOOKUP('Données projet'!$B$12,Paramètres!$A$1:$I$88,3,0)*0.475*44/12</f>
        <v>49.628197310825776</v>
      </c>
      <c r="CL82" s="23">
        <f>EXP(-LN(2)/25)*CL81+(1-EXP(-LN(2)/25))/(LN(2)/25)*Calculateur!CG82*Calculateur!CI82*VLOOKUP('Données projet'!$B$12,Paramètres!$A$1:$I$88,3,0)*0.475*44/12</f>
        <v>0</v>
      </c>
      <c r="CM82" s="23">
        <f>EXP(-LN(2)/2)*CM81+(1-EXP(-LN(2)/2))/(LN(2)/2)*CG82*CJ82*VLOOKUP('Données projet'!$B$12,Paramètres!$A$1:$I$88,3,0)*0.475*44/12</f>
        <v>0</v>
      </c>
      <c r="CN82" s="24">
        <f t="shared" si="66"/>
        <v>49.628197310825776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67.804184068203256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projet'!$B$13,Paramètres!$A$1:$I$88,3,0)*VLOOKUP('Données projet'!$B$13,Paramètres!$A$1:$I$88,5,0)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projet'!$B$13,Paramètres!$A$1:$I$88,7,0))</f>
        <v>0</v>
      </c>
      <c r="DD82" s="17">
        <f>IF(ISNA(VLOOKUP(A82,'Données projet'!$A$139:$I$159,6,0)),0%,VLOOKUP(A82,'Données projet'!$A$139:$I$159,6,0)*VLOOKUP('Données projet'!$B$13,Paramètres!$A$1:$I$88,7,0))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projet'!$B$13,Paramètres!$A$1:$I$88,3,0)*0.475*44/12</f>
        <v>#N/A</v>
      </c>
      <c r="DG82" s="23" t="e">
        <f>EXP(-LN(2)/25)*DG81+(1-EXP(-LN(2)/25))/(LN(2)/25)*Calculateur!DB82*Calculateur!DD82*VLOOKUP('Données projet'!$B$13,Paramètres!$A$1:$I$88,3,0)*0.475*44/12</f>
        <v>#N/A</v>
      </c>
      <c r="DH82" s="23" t="e">
        <f>EXP(-LN(2)/2)*DH81+(1-EXP(-LN(2)/2))/(LN(2)/2)*DB82*DE82*VLOOKUP('Données projet'!$B$13,Paramètres!$A$1:$I$88,3,0)*0.475*44/12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67.804184068203256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projet'!$B$14,Paramètres!$A$1:$I$88,3,0)*VLOOKUP('Données projet'!$B$14,Paramètres!$A$1:$I$88,5,0)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projet'!$B$14,Paramètres!$A$1:$I$88,7,0))</f>
        <v>0</v>
      </c>
      <c r="DY82" s="17">
        <f>IF(ISNA(VLOOKUP(A82,'Données projet'!$A$165:$I$185,6,0)),0%,VLOOKUP(A82,'Données projet'!$A$165:$I$185,6,0)*VLOOKUP('Données projet'!$B$14,Paramètres!$A$1:$I$88,7,0))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projet'!$B$14,Paramètres!$A$1:$I$88,3,0)*0.475*44/12</f>
        <v>#N/A</v>
      </c>
      <c r="EB82" s="23" t="e">
        <f>EXP(-LN(2)/25)*EB81+(1-EXP(-LN(2)/25))/(LN(2)/25)*Calculateur!DW82*Calculateur!DY82*VLOOKUP('Données projet'!$B$14,Paramètres!$A$1:$I$88,3,0)*0.475*44/12</f>
        <v>#N/A</v>
      </c>
      <c r="EC82" s="23" t="e">
        <f>EXP(-LN(2)/2)*EC81+(1-EXP(-LN(2)/2))/(LN(2)/2)*DW82*DZ82*VLOOKUP('Données projet'!$B$14,Paramètres!$A$1:$I$88,3,0)*0.475*44/12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67.804184068203256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projet'!$B$15,Paramètres!$A$1:$I$88,3,0)*VLOOKUP('Données projet'!$B$15,Paramètres!$A$1:$I$88,5,0)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projet'!$B$15,Paramètres!$A$1:$I$88,7,0))</f>
        <v>0</v>
      </c>
      <c r="ET82" s="17">
        <f>IF(ISNA(VLOOKUP(A82,'Données projet'!$A$191:$I$211,6,0)),0%,VLOOKUP(A82,'Données projet'!$A$191:$I$211,6,0)*VLOOKUP('Données projet'!$B$15,Paramètres!$A$1:$I$88,7,0))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projet'!$B$15,Paramètres!$A$1:$I$88,3,0)*0.475*44/12</f>
        <v>#N/A</v>
      </c>
      <c r="EW82" s="23" t="e">
        <f>EXP(-LN(2)/25)*EW81+(1-EXP(-LN(2)/25))/(LN(2)/25)*Calculateur!ER82*Calculateur!ET82*VLOOKUP('Données projet'!$B$15,Paramètres!$A$1:$I$88,3,0)*0.475*44/12</f>
        <v>#N/A</v>
      </c>
      <c r="EX82" s="23" t="e">
        <f>EXP(-LN(2)/2)*EX81+(1-EXP(-LN(2)/2))/(LN(2)/2)*ER82*EU82*VLOOKUP('Données projet'!$B$15,Paramètres!$A$1:$I$88,3,0)*0.475*44/12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67.804184068203256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projet'!$B$16,Paramètres!$A$1:$I$88,3,0)*VLOOKUP('Données projet'!$B$16,Paramètres!$A$1:$I$88,5,0)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projet'!$B$16,Paramètres!$A$1:$I$88,7,0))</f>
        <v>0</v>
      </c>
      <c r="FO82" s="17">
        <f>IF(ISNA(VLOOKUP(A82,'Données projet'!$A$217:$I$237,6,0)),0%,VLOOKUP(A82,'Données projet'!$A$217:$I$237,6,0)*VLOOKUP('Données projet'!$B$16,Paramètres!$A$1:$I$88,7,0))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projet'!$B$16,Paramètres!$A$1:$I$88,3,0)*0.475*44/12</f>
        <v>#N/A</v>
      </c>
      <c r="FR82" s="23" t="e">
        <f>EXP(-LN(2)/25)*FR81+(1-EXP(-LN(2)/25))/(LN(2)/25)*Calculateur!FM82*Calculateur!FO82*VLOOKUP('Données projet'!$B$16,Paramètres!$A$1:$I$88,3,0)*0.475*44/12</f>
        <v>#N/A</v>
      </c>
      <c r="FS82" s="23" t="e">
        <f>EXP(-LN(2)/2)*FS81+(1-EXP(-LN(2)/2))/(LN(2)/2)*FM82*FP82*VLOOKUP('Données projet'!$B$16,Paramètres!$A$1:$I$88,3,0)*0.475*44/12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67.804184068203256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projet'!$B$17,Paramètres!$A$1:$I$88,3,0)*VLOOKUP('Données projet'!$B$17,Paramètres!$A$1:$I$88,5,0)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projet'!$B$17,Paramètres!$A$1:$I$88,7,0))</f>
        <v>0</v>
      </c>
      <c r="GJ82" s="17">
        <f>IF(ISNA(VLOOKUP(A82,'Données projet'!$A$243:$I$263,6,0)),0%,VLOOKUP(A82,'Données projet'!$A$243:$I$263,6,0)*VLOOKUP('Données projet'!$B$17,Paramètres!$A$1:$I$88,7,0))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projet'!$B$17,Paramètres!$A$1:$I$88,3,0)*0.475*44/12</f>
        <v>#N/A</v>
      </c>
      <c r="GM82" s="23" t="e">
        <f>EXP(-LN(2)/25)*GM81+(1-EXP(-LN(2)/25))/(LN(2)/25)*Calculateur!GH82*Calculateur!GJ82*VLOOKUP('Données projet'!$B$17,Paramètres!$A$1:$I$88,3,0)*0.475*44/12</f>
        <v>#N/A</v>
      </c>
      <c r="GN82" s="23" t="e">
        <f>EXP(-LN(2)/2)*GN81+(1-EXP(-LN(2)/2))/(LN(2)/2)*GH82*GK82*VLOOKUP('Données projet'!$B$17,Paramètres!$A$1:$I$88,3,0)*0.475*44/12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67.804184068203256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projet'!$B$18,Paramètres!$A$1:$I$88,3,0)*VLOOKUP('Données projet'!$B$18,Paramètres!$A$1:$I$88,5,0)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projet'!$B$18,Paramètres!$A$1:$I$88,7,0))</f>
        <v>0</v>
      </c>
      <c r="HE82" s="17">
        <f>IF(ISNA(VLOOKUP(A82,'Données projet'!$A$269:$I$289,6,0)),0%,VLOOKUP(A82,'Données projet'!$A$269:$I$289,6,0)*VLOOKUP('Données projet'!$B$18,Paramètres!$A$1:$I$88,7,0))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projet'!$B$18,Paramètres!$A$1:$I$88,3,0)*0.475*44/12</f>
        <v>#N/A</v>
      </c>
      <c r="HH82" s="23" t="e">
        <f>EXP(-LN(2)/25)*HH81+(1-EXP(-LN(2)/25))/(LN(2)/25)*Calculateur!HC82*Calculateur!HE82*VLOOKUP('Données projet'!$B$18,Paramètres!$A$1:$I$88,3,0)*0.475*44/12</f>
        <v>#N/A</v>
      </c>
      <c r="HI82" s="23" t="e">
        <f>EXP(-LN(2)/2)*HI81+(1-EXP(-LN(2)/2))/(LN(2)/2)*HC82*HF82*VLOOKUP('Données projet'!$B$18,Paramètres!$A$1:$I$88,3,0)*0.475*44/12</f>
        <v>#N/A</v>
      </c>
      <c r="HJ82" s="24" t="e">
        <f t="shared" si="84"/>
        <v>#N/A</v>
      </c>
    </row>
    <row r="83" spans="1:218" s="5" customFormat="1" x14ac:dyDescent="0.35">
      <c r="A83" s="11">
        <f t="shared" si="85"/>
        <v>80</v>
      </c>
      <c r="B83" s="77">
        <f>'Scénario référence'!$B$16*5+'Scénario référence'!$B$17*0+'Scénario référence'!$B$18*5</f>
        <v>1.75</v>
      </c>
      <c r="C83" s="20">
        <f>Calculateur!C82+'Scénario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83" s="12">
        <f t="shared" si="86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6.416666666666667</v>
      </c>
      <c r="H83" s="70">
        <f t="shared" si="56"/>
        <v>231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67.842276565510943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3.4106051316484809E-13</v>
      </c>
      <c r="O83" s="14">
        <f>N83*VLOOKUP('Données projet'!$B$9,Paramètres!$A$1:$I$88,3,0)*VLOOKUP('Données projet'!$B$9,Paramètres!$A$1:$I$88,5,0)</f>
        <v>1.9065282685915009E-13</v>
      </c>
      <c r="P83" s="14">
        <f t="shared" si="87"/>
        <v>2.6568987209435707E-12</v>
      </c>
      <c r="Q83" s="22">
        <f t="shared" si="54"/>
        <v>4.959485612423072E-12</v>
      </c>
      <c r="R83" s="62">
        <f t="shared" si="55"/>
        <v>285.42168074021174</v>
      </c>
      <c r="S83" s="62">
        <f ca="1">AVERAGE(OFFSET($R$3,0,0,'Données projet'!$E$9+1,1))-AVERAGE(OFFSET($H$3,0,0,'Données projet'!$E$9+1,1))</f>
        <v>341.05096821796769</v>
      </c>
      <c r="T83" s="62">
        <f t="shared" si="88"/>
        <v>400.72519822215168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projet'!$B$9,Paramètres!$A$1:$I$88,7,0))</f>
        <v>0</v>
      </c>
      <c r="X83" s="17">
        <f>IF(ISNA(VLOOKUP(A83,'Données projet'!$A$35:$I$55,6,0)),0%,VLOOKUP(A83,'Données projet'!$A$35:$I$55,6,0)*VLOOKUP('Données projet'!$B$9,Paramètres!$A$1:$I$88,7,0))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projet'!$B$9,Paramètres!$A$1:$I$88,3,0)*0.475*44/12</f>
        <v>161.25596442345847</v>
      </c>
      <c r="AA83" s="23">
        <f>EXP(-LN(2)/25)*AA82+(1-EXP(-LN(2)/25))/(LN(2)/25)*Calculateur!V83*Calculateur!X83*VLOOKUP('Données projet'!$B$9,Paramètres!$A$1:$I$88,3,0)*0.475*44/12</f>
        <v>76.115261796371954</v>
      </c>
      <c r="AB83" s="23">
        <f>EXP(-LN(2)/2)*AB82+(1-EXP(-LN(2)/2))/(LN(2)/2)*V83*Y83*VLOOKUP('Données projet'!$B$9,Paramètres!$A$1:$I$88,3,0)*0.475*44/12</f>
        <v>0</v>
      </c>
      <c r="AC83" s="24">
        <f t="shared" si="57"/>
        <v>237.37122621983042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67.842276565510943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5.6843418860808015E-14</v>
      </c>
      <c r="AJ83" s="14">
        <f>AI83*VLOOKUP('Données projet'!$B$10,Paramètres!$A$1:$I$88,3,0)*VLOOKUP('Données projet'!$B$10,Paramètres!$A$1:$I$88,5,0)</f>
        <v>3.3992364478763198E-14</v>
      </c>
      <c r="AK83" s="14">
        <f t="shared" si="89"/>
        <v>5.790027782444094E-13</v>
      </c>
      <c r="AL83" s="22">
        <f t="shared" si="58"/>
        <v>1.0676332069095257E-12</v>
      </c>
      <c r="AM83" s="62">
        <f t="shared" si="59"/>
        <v>285.42168074020788</v>
      </c>
      <c r="AN83" s="62">
        <f ca="1">AVERAGE(OFFSET($AM$3,0,0,'Données projet'!$E$10+1,1))-AVERAGE(OFFSET($H$3,0,0,'Données projet'!$E$10+1,1))</f>
        <v>231.96474801342879</v>
      </c>
      <c r="AO83" s="62">
        <f t="shared" si="90"/>
        <v>237.75726086383668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projet'!$B$10,Paramètres!$A$1:$I$88,7,0))</f>
        <v>0</v>
      </c>
      <c r="AS83" s="17">
        <f>IF(ISNA(VLOOKUP(A83,'Données projet'!$A$61:$I$81,6,0)),0%,VLOOKUP(A83,'Données projet'!$A$61:$I$81,6,0)*VLOOKUP('Données projet'!$B$10,Paramètres!$A$1:$I$88,7,0))</f>
        <v>0</v>
      </c>
      <c r="AT83" s="17">
        <f>IF(ISNA(VLOOKUP(A83,'Données projet'!$A$61:$I$81,7,0)),0%,VLOOKUP(A83,'Données projet'!$A$61:$I$81,7,0))</f>
        <v>0</v>
      </c>
      <c r="AU83" s="23">
        <f>EXP(-LN(2)/35)*AU82+(1-EXP(-LN(2)/35))/(LN(2)/35)*AQ83*AR83*VLOOKUP('Données projet'!$B$10,Paramètres!$A$1:$I$88,3,0)*0.475*44/12</f>
        <v>63.591213976752833</v>
      </c>
      <c r="AV83" s="23">
        <f>EXP(-LN(2)/25)*AV82+(1-EXP(-LN(2)/25))/(LN(2)/25)*Calculateur!AQ83*Calculateur!AS83*VLOOKUP('Données projet'!$B$10,Paramètres!$A$1:$I$88,3,0)*0.475*44/12</f>
        <v>32.141550592109091</v>
      </c>
      <c r="AW83" s="23">
        <f>EXP(-LN(2)/2)*AW82+(1-EXP(-LN(2)/2))/(LN(2)/2)*AQ83*AT83*VLOOKUP('Données projet'!$B$10,Paramètres!$A$1:$I$88,3,0)*0.475*44/12</f>
        <v>0</v>
      </c>
      <c r="AX83" s="23">
        <f t="shared" si="60"/>
        <v>95.732764568861924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67.842276565510943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14.2</v>
      </c>
      <c r="BD83" s="13">
        <f>IF('Données projet'!$A$88&gt;35,BD82+BC83-BL82,IF(A83&lt;'Données projet'!$A$88,$BA$205^A83,IF(A83='Données projet'!$A$88,'Données projet'!$B$88,BD82+BC83-BL82)))</f>
        <v>481.80000000000024</v>
      </c>
      <c r="BE83" s="14">
        <f>BD83*VLOOKUP('Données projet'!$B$11,Paramètres!$A$1:$I$88,3,0)*VLOOKUP('Données projet'!$B$11,Paramètres!$A$1:$I$88,5,0)</f>
        <v>225.48240000000013</v>
      </c>
      <c r="BF83" s="14">
        <f t="shared" si="91"/>
        <v>55.304745901414421</v>
      </c>
      <c r="BG83" s="22">
        <f t="shared" si="61"/>
        <v>489.03761244496371</v>
      </c>
      <c r="BH83" s="62">
        <f t="shared" si="62"/>
        <v>774.45929318517051</v>
      </c>
      <c r="BI83" s="62">
        <f ca="1">AVERAGE(OFFSET($BH$3,0,0,'Données projet'!$E$11+1,1))-AVERAGE(OFFSET($H$3,0,0,'Données projet'!$E$11+1,1))</f>
        <v>364.96458059055169</v>
      </c>
      <c r="BJ83" s="62">
        <f t="shared" si="92"/>
        <v>246.27159120786257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projet'!$B$11,Paramètres!$A$1:$I$88,7,0))</f>
        <v>0</v>
      </c>
      <c r="BN83" s="17">
        <f>IF(ISNA(VLOOKUP(A83,'Données projet'!$A$87:$I$107,6,0)),0%,VLOOKUP(A83,'Données projet'!$A$87:$I$107,6,0)*VLOOKUP('Données projet'!$B$11,Paramètres!$A$1:$I$88,7,0))</f>
        <v>0</v>
      </c>
      <c r="BO83" s="17">
        <f>IF(ISNA(VLOOKUP(A83,'Données projet'!$A$87:$I$107,7,0)),0%,VLOOKUP(A83,'Données projet'!$A$87:$I$107,7,0))</f>
        <v>0</v>
      </c>
      <c r="BP83" s="23">
        <f>EXP(-LN(2)/35)*BP82+(1-EXP(-LN(2)/35))/(LN(2)/35)*BL83*BM83*VLOOKUP('Données projet'!$B$11,Paramètres!$A$1:$I$88,3,0)*0.475*44/12</f>
        <v>64.105840082860212</v>
      </c>
      <c r="BQ83" s="23">
        <f>EXP(-LN(2)/25)*BQ82+(1-EXP(-LN(2)/25))/(LN(2)/25)*Calculateur!BL83*Calculateur!BN83*VLOOKUP('Données projet'!$B$11,Paramètres!$A$1:$I$88,3,0)*0.475*44/12</f>
        <v>28.201102780431412</v>
      </c>
      <c r="BR83" s="23">
        <f>EXP(-LN(2)/2)*BR82+(1-EXP(-LN(2)/2))/(LN(2)/2)*BL83*BO83*VLOOKUP('Données projet'!$B$11,Paramètres!$A$1:$I$88,3,0)*0.475*44/12</f>
        <v>0</v>
      </c>
      <c r="BS83" s="24">
        <f t="shared" si="63"/>
        <v>92.306942863291624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67.842276565510943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-1.1368683772161603E-13</v>
      </c>
      <c r="BZ83" s="14">
        <f>BY83*VLOOKUP('Données projet'!$B$12,Paramètres!$A$1:$I$88,3,0)*VLOOKUP('Données projet'!$B$12,Paramètres!$A$1:$I$88,5,0)</f>
        <v>-1.1527845344971866E-13</v>
      </c>
      <c r="CA83" s="14" t="e">
        <f t="shared" si="93"/>
        <v>#NUM!</v>
      </c>
      <c r="CB83" s="22" t="e">
        <f t="shared" si="64"/>
        <v>#NUM!</v>
      </c>
      <c r="CC83" s="62" t="e">
        <f t="shared" si="65"/>
        <v>#NUM!</v>
      </c>
      <c r="CD83" s="62">
        <f ca="1">AVERAGE(OFFSET($CC$3,0,0,'Données projet'!$E$12+1,1))-AVERAGE(OFFSET($H$3,0,0,'Données projet'!$E$12+1,1))</f>
        <v>310.53598044763282</v>
      </c>
      <c r="CE83" s="62">
        <f t="shared" si="94"/>
        <v>322.01096634040596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projet'!$B$12,Paramètres!$A$1:$I$88,7,0))</f>
        <v>0</v>
      </c>
      <c r="CI83" s="17">
        <f>IF(ISNA(VLOOKUP(A83,'Données projet'!$A$113:$I$133,6,0)),0%,VLOOKUP(A83,'Données projet'!$A$113:$I$133,6,0)*VLOOKUP('Données projet'!$B$12,Paramètres!$A$1:$I$88,7,0))</f>
        <v>0</v>
      </c>
      <c r="CJ83" s="17">
        <f>IF(ISNA(VLOOKUP(A83,'Données projet'!$A$113:$I$133,7,0)),0%,VLOOKUP(A83,'Données projet'!$A$113:$I$133,7,0))</f>
        <v>0</v>
      </c>
      <c r="CK83" s="23">
        <f>EXP(-LN(2)/35)*CK82+(1-EXP(-LN(2)/35))/(LN(2)/35)*CG83*CH83*VLOOKUP('Données projet'!$B$12,Paramètres!$A$1:$I$88,3,0)*0.475*44/12</f>
        <v>48.65501863177191</v>
      </c>
      <c r="CL83" s="23">
        <f>EXP(-LN(2)/25)*CL82+(1-EXP(-LN(2)/25))/(LN(2)/25)*Calculateur!CG83*Calculateur!CI83*VLOOKUP('Données projet'!$B$12,Paramètres!$A$1:$I$88,3,0)*0.475*44/12</f>
        <v>0</v>
      </c>
      <c r="CM83" s="23">
        <f>EXP(-LN(2)/2)*CM82+(1-EXP(-LN(2)/2))/(LN(2)/2)*CG83*CJ83*VLOOKUP('Données projet'!$B$12,Paramètres!$A$1:$I$88,3,0)*0.475*44/12</f>
        <v>0</v>
      </c>
      <c r="CN83" s="24">
        <f t="shared" si="66"/>
        <v>48.65501863177191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67.842276565510943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projet'!$B$13,Paramètres!$A$1:$I$88,3,0)*VLOOKUP('Données projet'!$B$13,Paramètres!$A$1:$I$88,5,0)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projet'!$B$13,Paramètres!$A$1:$I$88,7,0))</f>
        <v>0</v>
      </c>
      <c r="DD83" s="17">
        <f>IF(ISNA(VLOOKUP(A83,'Données projet'!$A$139:$I$159,6,0)),0%,VLOOKUP(A83,'Données projet'!$A$139:$I$159,6,0)*VLOOKUP('Données projet'!$B$13,Paramètres!$A$1:$I$88,7,0))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projet'!$B$13,Paramètres!$A$1:$I$88,3,0)*0.475*44/12</f>
        <v>#N/A</v>
      </c>
      <c r="DG83" s="23" t="e">
        <f>EXP(-LN(2)/25)*DG82+(1-EXP(-LN(2)/25))/(LN(2)/25)*Calculateur!DB83*Calculateur!DD83*VLOOKUP('Données projet'!$B$13,Paramètres!$A$1:$I$88,3,0)*0.475*44/12</f>
        <v>#N/A</v>
      </c>
      <c r="DH83" s="23" t="e">
        <f>EXP(-LN(2)/2)*DH82+(1-EXP(-LN(2)/2))/(LN(2)/2)*DB83*DE83*VLOOKUP('Données projet'!$B$13,Paramètres!$A$1:$I$88,3,0)*0.475*44/12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67.842276565510943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projet'!$B$14,Paramètres!$A$1:$I$88,3,0)*VLOOKUP('Données projet'!$B$14,Paramètres!$A$1:$I$88,5,0)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projet'!$B$14,Paramètres!$A$1:$I$88,7,0))</f>
        <v>0</v>
      </c>
      <c r="DY83" s="17">
        <f>IF(ISNA(VLOOKUP(A83,'Données projet'!$A$165:$I$185,6,0)),0%,VLOOKUP(A83,'Données projet'!$A$165:$I$185,6,0)*VLOOKUP('Données projet'!$B$14,Paramètres!$A$1:$I$88,7,0))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projet'!$B$14,Paramètres!$A$1:$I$88,3,0)*0.475*44/12</f>
        <v>#N/A</v>
      </c>
      <c r="EB83" s="23" t="e">
        <f>EXP(-LN(2)/25)*EB82+(1-EXP(-LN(2)/25))/(LN(2)/25)*Calculateur!DW83*Calculateur!DY83*VLOOKUP('Données projet'!$B$14,Paramètres!$A$1:$I$88,3,0)*0.475*44/12</f>
        <v>#N/A</v>
      </c>
      <c r="EC83" s="23" t="e">
        <f>EXP(-LN(2)/2)*EC82+(1-EXP(-LN(2)/2))/(LN(2)/2)*DW83*DZ83*VLOOKUP('Données projet'!$B$14,Paramètres!$A$1:$I$88,3,0)*0.475*44/12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67.842276565510943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projet'!$B$15,Paramètres!$A$1:$I$88,3,0)*VLOOKUP('Données projet'!$B$15,Paramètres!$A$1:$I$88,5,0)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projet'!$B$15,Paramètres!$A$1:$I$88,7,0))</f>
        <v>0</v>
      </c>
      <c r="ET83" s="17">
        <f>IF(ISNA(VLOOKUP(A83,'Données projet'!$A$191:$I$211,6,0)),0%,VLOOKUP(A83,'Données projet'!$A$191:$I$211,6,0)*VLOOKUP('Données projet'!$B$15,Paramètres!$A$1:$I$88,7,0))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projet'!$B$15,Paramètres!$A$1:$I$88,3,0)*0.475*44/12</f>
        <v>#N/A</v>
      </c>
      <c r="EW83" s="23" t="e">
        <f>EXP(-LN(2)/25)*EW82+(1-EXP(-LN(2)/25))/(LN(2)/25)*Calculateur!ER83*Calculateur!ET83*VLOOKUP('Données projet'!$B$15,Paramètres!$A$1:$I$88,3,0)*0.475*44/12</f>
        <v>#N/A</v>
      </c>
      <c r="EX83" s="23" t="e">
        <f>EXP(-LN(2)/2)*EX82+(1-EXP(-LN(2)/2))/(LN(2)/2)*ER83*EU83*VLOOKUP('Données projet'!$B$15,Paramètres!$A$1:$I$88,3,0)*0.475*44/12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67.842276565510943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projet'!$B$16,Paramètres!$A$1:$I$88,3,0)*VLOOKUP('Données projet'!$B$16,Paramètres!$A$1:$I$88,5,0)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projet'!$B$16,Paramètres!$A$1:$I$88,7,0))</f>
        <v>0</v>
      </c>
      <c r="FO83" s="17">
        <f>IF(ISNA(VLOOKUP(A83,'Données projet'!$A$217:$I$237,6,0)),0%,VLOOKUP(A83,'Données projet'!$A$217:$I$237,6,0)*VLOOKUP('Données projet'!$B$16,Paramètres!$A$1:$I$88,7,0))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projet'!$B$16,Paramètres!$A$1:$I$88,3,0)*0.475*44/12</f>
        <v>#N/A</v>
      </c>
      <c r="FR83" s="23" t="e">
        <f>EXP(-LN(2)/25)*FR82+(1-EXP(-LN(2)/25))/(LN(2)/25)*Calculateur!FM83*Calculateur!FO83*VLOOKUP('Données projet'!$B$16,Paramètres!$A$1:$I$88,3,0)*0.475*44/12</f>
        <v>#N/A</v>
      </c>
      <c r="FS83" s="23" t="e">
        <f>EXP(-LN(2)/2)*FS82+(1-EXP(-LN(2)/2))/(LN(2)/2)*FM83*FP83*VLOOKUP('Données projet'!$B$16,Paramètres!$A$1:$I$88,3,0)*0.475*44/12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67.842276565510943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projet'!$B$17,Paramètres!$A$1:$I$88,3,0)*VLOOKUP('Données projet'!$B$17,Paramètres!$A$1:$I$88,5,0)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projet'!$B$17,Paramètres!$A$1:$I$88,7,0))</f>
        <v>0</v>
      </c>
      <c r="GJ83" s="17">
        <f>IF(ISNA(VLOOKUP(A83,'Données projet'!$A$243:$I$263,6,0)),0%,VLOOKUP(A83,'Données projet'!$A$243:$I$263,6,0)*VLOOKUP('Données projet'!$B$17,Paramètres!$A$1:$I$88,7,0))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projet'!$B$17,Paramètres!$A$1:$I$88,3,0)*0.475*44/12</f>
        <v>#N/A</v>
      </c>
      <c r="GM83" s="23" t="e">
        <f>EXP(-LN(2)/25)*GM82+(1-EXP(-LN(2)/25))/(LN(2)/25)*Calculateur!GH83*Calculateur!GJ83*VLOOKUP('Données projet'!$B$17,Paramètres!$A$1:$I$88,3,0)*0.475*44/12</f>
        <v>#N/A</v>
      </c>
      <c r="GN83" s="23" t="e">
        <f>EXP(-LN(2)/2)*GN82+(1-EXP(-LN(2)/2))/(LN(2)/2)*GH83*GK83*VLOOKUP('Données projet'!$B$17,Paramètres!$A$1:$I$88,3,0)*0.475*44/12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67.842276565510943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projet'!$B$18,Paramètres!$A$1:$I$88,3,0)*VLOOKUP('Données projet'!$B$18,Paramètres!$A$1:$I$88,5,0)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projet'!$B$18,Paramètres!$A$1:$I$88,7,0))</f>
        <v>0</v>
      </c>
      <c r="HE83" s="17">
        <f>IF(ISNA(VLOOKUP(A83,'Données projet'!$A$269:$I$289,6,0)),0%,VLOOKUP(A83,'Données projet'!$A$269:$I$289,6,0)*VLOOKUP('Données projet'!$B$18,Paramètres!$A$1:$I$88,7,0))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projet'!$B$18,Paramètres!$A$1:$I$88,3,0)*0.475*44/12</f>
        <v>#N/A</v>
      </c>
      <c r="HH83" s="23" t="e">
        <f>EXP(-LN(2)/25)*HH82+(1-EXP(-LN(2)/25))/(LN(2)/25)*Calculateur!HC83*Calculateur!HE83*VLOOKUP('Données projet'!$B$18,Paramètres!$A$1:$I$88,3,0)*0.475*44/12</f>
        <v>#N/A</v>
      </c>
      <c r="HI83" s="23" t="e">
        <f>EXP(-LN(2)/2)*HI82+(1-EXP(-LN(2)/2))/(LN(2)/2)*HC83*HF83*VLOOKUP('Données projet'!$B$18,Paramètres!$A$1:$I$88,3,0)*0.475*44/12</f>
        <v>#N/A</v>
      </c>
      <c r="HJ83" s="24" t="e">
        <f t="shared" si="84"/>
        <v>#N/A</v>
      </c>
    </row>
    <row r="84" spans="1:218" s="5" customFormat="1" x14ac:dyDescent="0.35">
      <c r="A84" s="11">
        <f t="shared" si="85"/>
        <v>81</v>
      </c>
      <c r="B84" s="77">
        <f>'Scénario référence'!$B$16*5+'Scénario référence'!$B$17*0+'Scénario référence'!$B$18*5</f>
        <v>1.75</v>
      </c>
      <c r="C84" s="20">
        <f>Calculateur!C83+'Scénario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84" s="12">
        <f t="shared" si="86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6.416666666666667</v>
      </c>
      <c r="H84" s="70">
        <f t="shared" si="56"/>
        <v>231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67.879708243152407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3.4106051316484809E-13</v>
      </c>
      <c r="O84" s="14">
        <f>N84*VLOOKUP('Données projet'!$B$9,Paramètres!$A$1:$I$88,3,0)*VLOOKUP('Données projet'!$B$9,Paramètres!$A$1:$I$88,5,0)</f>
        <v>1.9065282685915009E-13</v>
      </c>
      <c r="P84" s="14">
        <f t="shared" si="87"/>
        <v>2.6568987209435707E-12</v>
      </c>
      <c r="Q84" s="22">
        <f t="shared" si="54"/>
        <v>4.959485612423072E-12</v>
      </c>
      <c r="R84" s="62">
        <f t="shared" si="55"/>
        <v>285.5589302248971</v>
      </c>
      <c r="S84" s="62">
        <f ca="1">AVERAGE(OFFSET($R$3,0,0,'Données projet'!$E$9+1,1))-AVERAGE(OFFSET($H$3,0,0,'Données projet'!$E$9+1,1))</f>
        <v>341.05096821796769</v>
      </c>
      <c r="T84" s="62">
        <f t="shared" si="88"/>
        <v>400.72519822215168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projet'!$B$9,Paramètres!$A$1:$I$88,7,0))</f>
        <v>0</v>
      </c>
      <c r="X84" s="17">
        <f>IF(ISNA(VLOOKUP(A84,'Données projet'!$A$35:$I$55,6,0)),0%,VLOOKUP(A84,'Données projet'!$A$35:$I$55,6,0)*VLOOKUP('Données projet'!$B$9,Paramètres!$A$1:$I$88,7,0))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projet'!$B$9,Paramètres!$A$1:$I$88,3,0)*0.475*44/12</f>
        <v>158.09383331754086</v>
      </c>
      <c r="AA84" s="23">
        <f>EXP(-LN(2)/25)*AA83+(1-EXP(-LN(2)/25))/(LN(2)/25)*Calculateur!V84*Calculateur!X84*VLOOKUP('Données projet'!$B$9,Paramètres!$A$1:$I$88,3,0)*0.475*44/12</f>
        <v>74.033885959822513</v>
      </c>
      <c r="AB84" s="23">
        <f>EXP(-LN(2)/2)*AB83+(1-EXP(-LN(2)/2))/(LN(2)/2)*V84*Y84*VLOOKUP('Données projet'!$B$9,Paramètres!$A$1:$I$88,3,0)*0.475*44/12</f>
        <v>0</v>
      </c>
      <c r="AC84" s="24">
        <f t="shared" si="57"/>
        <v>232.12771927736338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67.879708243152407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5.6843418860808015E-14</v>
      </c>
      <c r="AJ84" s="14">
        <f>AI84*VLOOKUP('Données projet'!$B$10,Paramètres!$A$1:$I$88,3,0)*VLOOKUP('Données projet'!$B$10,Paramètres!$A$1:$I$88,5,0)</f>
        <v>3.3992364478763198E-14</v>
      </c>
      <c r="AK84" s="14">
        <f t="shared" si="89"/>
        <v>5.790027782444094E-13</v>
      </c>
      <c r="AL84" s="22">
        <f t="shared" si="58"/>
        <v>1.0676332069095257E-12</v>
      </c>
      <c r="AM84" s="62">
        <f t="shared" si="59"/>
        <v>285.55893022489323</v>
      </c>
      <c r="AN84" s="62">
        <f ca="1">AVERAGE(OFFSET($AM$3,0,0,'Données projet'!$E$10+1,1))-AVERAGE(OFFSET($H$3,0,0,'Données projet'!$E$10+1,1))</f>
        <v>231.96474801342879</v>
      </c>
      <c r="AO84" s="62">
        <f t="shared" si="90"/>
        <v>237.75726086383668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projet'!$B$10,Paramètres!$A$1:$I$88,7,0))</f>
        <v>0</v>
      </c>
      <c r="AS84" s="17">
        <f>IF(ISNA(VLOOKUP(A84,'Données projet'!$A$61:$I$81,6,0)),0%,VLOOKUP(A84,'Données projet'!$A$61:$I$81,6,0)*VLOOKUP('Données projet'!$B$10,Paramètres!$A$1:$I$88,7,0))</f>
        <v>0</v>
      </c>
      <c r="AT84" s="17">
        <f>IF(ISNA(VLOOKUP(A84,'Données projet'!$A$61:$I$81,7,0)),0%,VLOOKUP(A84,'Données projet'!$A$61:$I$81,7,0))</f>
        <v>0</v>
      </c>
      <c r="AU84" s="23">
        <f>EXP(-LN(2)/35)*AU83+(1-EXP(-LN(2)/35))/(LN(2)/35)*AQ84*AR84*VLOOKUP('Données projet'!$B$10,Paramètres!$A$1:$I$88,3,0)*0.475*44/12</f>
        <v>62.344229057479353</v>
      </c>
      <c r="AV84" s="23">
        <f>EXP(-LN(2)/25)*AV83+(1-EXP(-LN(2)/25))/(LN(2)/25)*Calculateur!AQ84*Calculateur!AS84*VLOOKUP('Données projet'!$B$10,Paramètres!$A$1:$I$88,3,0)*0.475*44/12</f>
        <v>31.262638200917184</v>
      </c>
      <c r="AW84" s="23">
        <f>EXP(-LN(2)/2)*AW83+(1-EXP(-LN(2)/2))/(LN(2)/2)*AQ84*AT84*VLOOKUP('Données projet'!$B$10,Paramètres!$A$1:$I$88,3,0)*0.475*44/12</f>
        <v>0</v>
      </c>
      <c r="AX84" s="23">
        <f t="shared" si="60"/>
        <v>93.606867258396534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67.879708243152407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14.2</v>
      </c>
      <c r="BD84" s="13">
        <f>IF('Données projet'!$A$88&gt;35,BD83+BC84-BL83,IF(A84&lt;'Données projet'!$A$88,$BA$205^A84,IF(A84='Données projet'!$A$88,'Données projet'!$B$88,BD83+BC84-BL83)))</f>
        <v>496.00000000000023</v>
      </c>
      <c r="BE84" s="14">
        <f>BD84*VLOOKUP('Données projet'!$B$11,Paramètres!$A$1:$I$88,3,0)*VLOOKUP('Données projet'!$B$11,Paramètres!$A$1:$I$88,5,0)</f>
        <v>232.12800000000013</v>
      </c>
      <c r="BF84" s="14">
        <f t="shared" si="91"/>
        <v>56.742557967082448</v>
      </c>
      <c r="BG84" s="22">
        <f t="shared" si="61"/>
        <v>503.11622179266874</v>
      </c>
      <c r="BH84" s="62">
        <f t="shared" si="62"/>
        <v>788.67515201756089</v>
      </c>
      <c r="BI84" s="62">
        <f ca="1">AVERAGE(OFFSET($BH$3,0,0,'Données projet'!$E$11+1,1))-AVERAGE(OFFSET($H$3,0,0,'Données projet'!$E$11+1,1))</f>
        <v>364.96458059055169</v>
      </c>
      <c r="BJ84" s="62">
        <f t="shared" si="92"/>
        <v>246.27159120786257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projet'!$B$11,Paramètres!$A$1:$I$88,7,0))</f>
        <v>0</v>
      </c>
      <c r="BN84" s="17">
        <f>IF(ISNA(VLOOKUP(A84,'Données projet'!$A$87:$I$107,6,0)),0%,VLOOKUP(A84,'Données projet'!$A$87:$I$107,6,0)*VLOOKUP('Données projet'!$B$11,Paramètres!$A$1:$I$88,7,0))</f>
        <v>0</v>
      </c>
      <c r="BO84" s="17">
        <f>IF(ISNA(VLOOKUP(A84,'Données projet'!$A$87:$I$107,7,0)),0%,VLOOKUP(A84,'Données projet'!$A$87:$I$107,7,0))</f>
        <v>0</v>
      </c>
      <c r="BP84" s="23">
        <f>EXP(-LN(2)/35)*BP83+(1-EXP(-LN(2)/35))/(LN(2)/35)*BL84*BM84*VLOOKUP('Données projet'!$B$11,Paramètres!$A$1:$I$88,3,0)*0.475*44/12</f>
        <v>62.8487636595369</v>
      </c>
      <c r="BQ84" s="23">
        <f>EXP(-LN(2)/25)*BQ83+(1-EXP(-LN(2)/25))/(LN(2)/25)*Calculateur!BL84*Calculateur!BN84*VLOOKUP('Données projet'!$B$11,Paramètres!$A$1:$I$88,3,0)*0.475*44/12</f>
        <v>27.429942141868974</v>
      </c>
      <c r="BR84" s="23">
        <f>EXP(-LN(2)/2)*BR83+(1-EXP(-LN(2)/2))/(LN(2)/2)*BL84*BO84*VLOOKUP('Données projet'!$B$11,Paramètres!$A$1:$I$88,3,0)*0.475*44/12</f>
        <v>0</v>
      </c>
      <c r="BS84" s="24">
        <f t="shared" si="63"/>
        <v>90.278705801405877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67.879708243152407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-1.1368683772161603E-13</v>
      </c>
      <c r="BZ84" s="14">
        <f>BY84*VLOOKUP('Données projet'!$B$12,Paramètres!$A$1:$I$88,3,0)*VLOOKUP('Données projet'!$B$12,Paramètres!$A$1:$I$88,5,0)</f>
        <v>-1.1527845344971866E-13</v>
      </c>
      <c r="CA84" s="14" t="e">
        <f t="shared" si="93"/>
        <v>#NUM!</v>
      </c>
      <c r="CB84" s="22" t="e">
        <f t="shared" si="64"/>
        <v>#NUM!</v>
      </c>
      <c r="CC84" s="62" t="e">
        <f t="shared" si="65"/>
        <v>#NUM!</v>
      </c>
      <c r="CD84" s="62">
        <f ca="1">AVERAGE(OFFSET($CC$3,0,0,'Données projet'!$E$12+1,1))-AVERAGE(OFFSET($H$3,0,0,'Données projet'!$E$12+1,1))</f>
        <v>310.53598044763282</v>
      </c>
      <c r="CE84" s="62">
        <f t="shared" si="94"/>
        <v>322.01096634040596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projet'!$B$12,Paramètres!$A$1:$I$88,7,0))</f>
        <v>0</v>
      </c>
      <c r="CI84" s="17">
        <f>IF(ISNA(VLOOKUP(A84,'Données projet'!$A$113:$I$133,6,0)),0%,VLOOKUP(A84,'Données projet'!$A$113:$I$133,6,0)*VLOOKUP('Données projet'!$B$12,Paramètres!$A$1:$I$88,7,0))</f>
        <v>0</v>
      </c>
      <c r="CJ84" s="17">
        <f>IF(ISNA(VLOOKUP(A84,'Données projet'!$A$113:$I$133,7,0)),0%,VLOOKUP(A84,'Données projet'!$A$113:$I$133,7,0))</f>
        <v>0</v>
      </c>
      <c r="CK84" s="23">
        <f>EXP(-LN(2)/35)*CK83+(1-EXP(-LN(2)/35))/(LN(2)/35)*CG84*CH84*VLOOKUP('Données projet'!$B$12,Paramètres!$A$1:$I$88,3,0)*0.475*44/12</f>
        <v>47.700923393033904</v>
      </c>
      <c r="CL84" s="23">
        <f>EXP(-LN(2)/25)*CL83+(1-EXP(-LN(2)/25))/(LN(2)/25)*Calculateur!CG84*Calculateur!CI84*VLOOKUP('Données projet'!$B$12,Paramètres!$A$1:$I$88,3,0)*0.475*44/12</f>
        <v>0</v>
      </c>
      <c r="CM84" s="23">
        <f>EXP(-LN(2)/2)*CM83+(1-EXP(-LN(2)/2))/(LN(2)/2)*CG84*CJ84*VLOOKUP('Données projet'!$B$12,Paramètres!$A$1:$I$88,3,0)*0.475*44/12</f>
        <v>0</v>
      </c>
      <c r="CN84" s="24">
        <f t="shared" si="66"/>
        <v>47.700923393033904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67.879708243152407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projet'!$B$13,Paramètres!$A$1:$I$88,3,0)*VLOOKUP('Données projet'!$B$13,Paramètres!$A$1:$I$88,5,0)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projet'!$B$13,Paramètres!$A$1:$I$88,7,0))</f>
        <v>0</v>
      </c>
      <c r="DD84" s="17">
        <f>IF(ISNA(VLOOKUP(A84,'Données projet'!$A$139:$I$159,6,0)),0%,VLOOKUP(A84,'Données projet'!$A$139:$I$159,6,0)*VLOOKUP('Données projet'!$B$13,Paramètres!$A$1:$I$88,7,0))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projet'!$B$13,Paramètres!$A$1:$I$88,3,0)*0.475*44/12</f>
        <v>#N/A</v>
      </c>
      <c r="DG84" s="23" t="e">
        <f>EXP(-LN(2)/25)*DG83+(1-EXP(-LN(2)/25))/(LN(2)/25)*Calculateur!DB84*Calculateur!DD84*VLOOKUP('Données projet'!$B$13,Paramètres!$A$1:$I$88,3,0)*0.475*44/12</f>
        <v>#N/A</v>
      </c>
      <c r="DH84" s="23" t="e">
        <f>EXP(-LN(2)/2)*DH83+(1-EXP(-LN(2)/2))/(LN(2)/2)*DB84*DE84*VLOOKUP('Données projet'!$B$13,Paramètres!$A$1:$I$88,3,0)*0.475*44/12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67.879708243152407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projet'!$B$14,Paramètres!$A$1:$I$88,3,0)*VLOOKUP('Données projet'!$B$14,Paramètres!$A$1:$I$88,5,0)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projet'!$B$14,Paramètres!$A$1:$I$88,7,0))</f>
        <v>0</v>
      </c>
      <c r="DY84" s="17">
        <f>IF(ISNA(VLOOKUP(A84,'Données projet'!$A$165:$I$185,6,0)),0%,VLOOKUP(A84,'Données projet'!$A$165:$I$185,6,0)*VLOOKUP('Données projet'!$B$14,Paramètres!$A$1:$I$88,7,0))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projet'!$B$14,Paramètres!$A$1:$I$88,3,0)*0.475*44/12</f>
        <v>#N/A</v>
      </c>
      <c r="EB84" s="23" t="e">
        <f>EXP(-LN(2)/25)*EB83+(1-EXP(-LN(2)/25))/(LN(2)/25)*Calculateur!DW84*Calculateur!DY84*VLOOKUP('Données projet'!$B$14,Paramètres!$A$1:$I$88,3,0)*0.475*44/12</f>
        <v>#N/A</v>
      </c>
      <c r="EC84" s="23" t="e">
        <f>EXP(-LN(2)/2)*EC83+(1-EXP(-LN(2)/2))/(LN(2)/2)*DW84*DZ84*VLOOKUP('Données projet'!$B$14,Paramètres!$A$1:$I$88,3,0)*0.475*44/12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67.879708243152407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projet'!$B$15,Paramètres!$A$1:$I$88,3,0)*VLOOKUP('Données projet'!$B$15,Paramètres!$A$1:$I$88,5,0)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projet'!$B$15,Paramètres!$A$1:$I$88,7,0))</f>
        <v>0</v>
      </c>
      <c r="ET84" s="17">
        <f>IF(ISNA(VLOOKUP(A84,'Données projet'!$A$191:$I$211,6,0)),0%,VLOOKUP(A84,'Données projet'!$A$191:$I$211,6,0)*VLOOKUP('Données projet'!$B$15,Paramètres!$A$1:$I$88,7,0))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projet'!$B$15,Paramètres!$A$1:$I$88,3,0)*0.475*44/12</f>
        <v>#N/A</v>
      </c>
      <c r="EW84" s="23" t="e">
        <f>EXP(-LN(2)/25)*EW83+(1-EXP(-LN(2)/25))/(LN(2)/25)*Calculateur!ER84*Calculateur!ET84*VLOOKUP('Données projet'!$B$15,Paramètres!$A$1:$I$88,3,0)*0.475*44/12</f>
        <v>#N/A</v>
      </c>
      <c r="EX84" s="23" t="e">
        <f>EXP(-LN(2)/2)*EX83+(1-EXP(-LN(2)/2))/(LN(2)/2)*ER84*EU84*VLOOKUP('Données projet'!$B$15,Paramètres!$A$1:$I$88,3,0)*0.475*44/12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67.879708243152407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projet'!$B$16,Paramètres!$A$1:$I$88,3,0)*VLOOKUP('Données projet'!$B$16,Paramètres!$A$1:$I$88,5,0)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projet'!$B$16,Paramètres!$A$1:$I$88,7,0))</f>
        <v>0</v>
      </c>
      <c r="FO84" s="17">
        <f>IF(ISNA(VLOOKUP(A84,'Données projet'!$A$217:$I$237,6,0)),0%,VLOOKUP(A84,'Données projet'!$A$217:$I$237,6,0)*VLOOKUP('Données projet'!$B$16,Paramètres!$A$1:$I$88,7,0))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projet'!$B$16,Paramètres!$A$1:$I$88,3,0)*0.475*44/12</f>
        <v>#N/A</v>
      </c>
      <c r="FR84" s="23" t="e">
        <f>EXP(-LN(2)/25)*FR83+(1-EXP(-LN(2)/25))/(LN(2)/25)*Calculateur!FM84*Calculateur!FO84*VLOOKUP('Données projet'!$B$16,Paramètres!$A$1:$I$88,3,0)*0.475*44/12</f>
        <v>#N/A</v>
      </c>
      <c r="FS84" s="23" t="e">
        <f>EXP(-LN(2)/2)*FS83+(1-EXP(-LN(2)/2))/(LN(2)/2)*FM84*FP84*VLOOKUP('Données projet'!$B$16,Paramètres!$A$1:$I$88,3,0)*0.475*44/12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67.879708243152407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projet'!$B$17,Paramètres!$A$1:$I$88,3,0)*VLOOKUP('Données projet'!$B$17,Paramètres!$A$1:$I$88,5,0)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projet'!$B$17,Paramètres!$A$1:$I$88,7,0))</f>
        <v>0</v>
      </c>
      <c r="GJ84" s="17">
        <f>IF(ISNA(VLOOKUP(A84,'Données projet'!$A$243:$I$263,6,0)),0%,VLOOKUP(A84,'Données projet'!$A$243:$I$263,6,0)*VLOOKUP('Données projet'!$B$17,Paramètres!$A$1:$I$88,7,0))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projet'!$B$17,Paramètres!$A$1:$I$88,3,0)*0.475*44/12</f>
        <v>#N/A</v>
      </c>
      <c r="GM84" s="23" t="e">
        <f>EXP(-LN(2)/25)*GM83+(1-EXP(-LN(2)/25))/(LN(2)/25)*Calculateur!GH84*Calculateur!GJ84*VLOOKUP('Données projet'!$B$17,Paramètres!$A$1:$I$88,3,0)*0.475*44/12</f>
        <v>#N/A</v>
      </c>
      <c r="GN84" s="23" t="e">
        <f>EXP(-LN(2)/2)*GN83+(1-EXP(-LN(2)/2))/(LN(2)/2)*GH84*GK84*VLOOKUP('Données projet'!$B$17,Paramètres!$A$1:$I$88,3,0)*0.475*44/12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67.879708243152407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projet'!$B$18,Paramètres!$A$1:$I$88,3,0)*VLOOKUP('Données projet'!$B$18,Paramètres!$A$1:$I$88,5,0)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projet'!$B$18,Paramètres!$A$1:$I$88,7,0))</f>
        <v>0</v>
      </c>
      <c r="HE84" s="17">
        <f>IF(ISNA(VLOOKUP(A84,'Données projet'!$A$269:$I$289,6,0)),0%,VLOOKUP(A84,'Données projet'!$A$269:$I$289,6,0)*VLOOKUP('Données projet'!$B$18,Paramètres!$A$1:$I$88,7,0))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projet'!$B$18,Paramètres!$A$1:$I$88,3,0)*0.475*44/12</f>
        <v>#N/A</v>
      </c>
      <c r="HH84" s="23" t="e">
        <f>EXP(-LN(2)/25)*HH83+(1-EXP(-LN(2)/25))/(LN(2)/25)*Calculateur!HC84*Calculateur!HE84*VLOOKUP('Données projet'!$B$18,Paramètres!$A$1:$I$88,3,0)*0.475*44/12</f>
        <v>#N/A</v>
      </c>
      <c r="HI84" s="23" t="e">
        <f>EXP(-LN(2)/2)*HI83+(1-EXP(-LN(2)/2))/(LN(2)/2)*HC84*HF84*VLOOKUP('Données projet'!$B$18,Paramètres!$A$1:$I$88,3,0)*0.475*44/12</f>
        <v>#N/A</v>
      </c>
      <c r="HJ84" s="24" t="e">
        <f t="shared" si="84"/>
        <v>#N/A</v>
      </c>
    </row>
    <row r="85" spans="1:218" s="5" customFormat="1" x14ac:dyDescent="0.35">
      <c r="A85" s="11">
        <f t="shared" si="85"/>
        <v>82</v>
      </c>
      <c r="B85" s="77">
        <f>'Scénario référence'!$B$16*5+'Scénario référence'!$B$17*0+'Scénario référence'!$B$18*5</f>
        <v>1.75</v>
      </c>
      <c r="C85" s="20">
        <f>Calculateur!C84+'Scénario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85" s="12">
        <f t="shared" si="86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6.416666666666667</v>
      </c>
      <c r="H85" s="70">
        <f t="shared" si="56"/>
        <v>231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67.916490564871481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3.4106051316484809E-13</v>
      </c>
      <c r="O85" s="14">
        <f>N85*VLOOKUP('Données projet'!$B$9,Paramètres!$A$1:$I$88,3,0)*VLOOKUP('Données projet'!$B$9,Paramètres!$A$1:$I$88,5,0)</f>
        <v>1.9065282685915009E-13</v>
      </c>
      <c r="P85" s="14">
        <f t="shared" si="87"/>
        <v>2.6568987209435707E-12</v>
      </c>
      <c r="Q85" s="22">
        <f t="shared" si="54"/>
        <v>4.959485612423072E-12</v>
      </c>
      <c r="R85" s="62">
        <f t="shared" si="55"/>
        <v>285.69379873786704</v>
      </c>
      <c r="S85" s="62">
        <f ca="1">AVERAGE(OFFSET($R$3,0,0,'Données projet'!$E$9+1,1))-AVERAGE(OFFSET($H$3,0,0,'Données projet'!$E$9+1,1))</f>
        <v>341.05096821796769</v>
      </c>
      <c r="T85" s="62">
        <f t="shared" si="88"/>
        <v>400.72519822215168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projet'!$B$9,Paramètres!$A$1:$I$88,7,0))</f>
        <v>0</v>
      </c>
      <c r="X85" s="17">
        <f>IF(ISNA(VLOOKUP(A85,'Données projet'!$A$35:$I$55,6,0)),0%,VLOOKUP(A85,'Données projet'!$A$35:$I$55,6,0)*VLOOKUP('Données projet'!$B$9,Paramètres!$A$1:$I$88,7,0))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projet'!$B$9,Paramètres!$A$1:$I$88,3,0)*0.475*44/12</f>
        <v>154.99370967390075</v>
      </c>
      <c r="AA85" s="23">
        <f>EXP(-LN(2)/25)*AA84+(1-EXP(-LN(2)/25))/(LN(2)/25)*Calculateur!V85*Calculateur!X85*VLOOKUP('Données projet'!$B$9,Paramètres!$A$1:$I$88,3,0)*0.475*44/12</f>
        <v>72.009425454978313</v>
      </c>
      <c r="AB85" s="23">
        <f>EXP(-LN(2)/2)*AB84+(1-EXP(-LN(2)/2))/(LN(2)/2)*V85*Y85*VLOOKUP('Données projet'!$B$9,Paramètres!$A$1:$I$88,3,0)*0.475*44/12</f>
        <v>0</v>
      </c>
      <c r="AC85" s="24">
        <f t="shared" si="57"/>
        <v>227.00313512887908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67.916490564871481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5.6843418860808015E-14</v>
      </c>
      <c r="AJ85" s="14">
        <f>AI85*VLOOKUP('Données projet'!$B$10,Paramètres!$A$1:$I$88,3,0)*VLOOKUP('Données projet'!$B$10,Paramètres!$A$1:$I$88,5,0)</f>
        <v>3.3992364478763198E-14</v>
      </c>
      <c r="AK85" s="14">
        <f t="shared" si="89"/>
        <v>5.790027782444094E-13</v>
      </c>
      <c r="AL85" s="22">
        <f t="shared" si="58"/>
        <v>1.0676332069095257E-12</v>
      </c>
      <c r="AM85" s="62">
        <f t="shared" si="59"/>
        <v>285.69379873786318</v>
      </c>
      <c r="AN85" s="62">
        <f ca="1">AVERAGE(OFFSET($AM$3,0,0,'Données projet'!$E$10+1,1))-AVERAGE(OFFSET($H$3,0,0,'Données projet'!$E$10+1,1))</f>
        <v>231.96474801342879</v>
      </c>
      <c r="AO85" s="62">
        <f t="shared" si="90"/>
        <v>237.75726086383668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projet'!$B$10,Paramètres!$A$1:$I$88,7,0))</f>
        <v>0</v>
      </c>
      <c r="AS85" s="17">
        <f>IF(ISNA(VLOOKUP(A85,'Données projet'!$A$61:$I$81,6,0)),0%,VLOOKUP(A85,'Données projet'!$A$61:$I$81,6,0)*VLOOKUP('Données projet'!$B$10,Paramètres!$A$1:$I$88,7,0))</f>
        <v>0</v>
      </c>
      <c r="AT85" s="17">
        <f>IF(ISNA(VLOOKUP(A85,'Données projet'!$A$61:$I$81,7,0)),0%,VLOOKUP(A85,'Données projet'!$A$61:$I$81,7,0))</f>
        <v>0</v>
      </c>
      <c r="AU85" s="23">
        <f>EXP(-LN(2)/35)*AU84+(1-EXP(-LN(2)/35))/(LN(2)/35)*AQ85*AR85*VLOOKUP('Données projet'!$B$10,Paramètres!$A$1:$I$88,3,0)*0.475*44/12</f>
        <v>61.121696751887129</v>
      </c>
      <c r="AV85" s="23">
        <f>EXP(-LN(2)/25)*AV84+(1-EXP(-LN(2)/25))/(LN(2)/25)*Calculateur!AQ85*Calculateur!AS85*VLOOKUP('Données projet'!$B$10,Paramètres!$A$1:$I$88,3,0)*0.475*44/12</f>
        <v>30.407759715282413</v>
      </c>
      <c r="AW85" s="23">
        <f>EXP(-LN(2)/2)*AW84+(1-EXP(-LN(2)/2))/(LN(2)/2)*AQ85*AT85*VLOOKUP('Données projet'!$B$10,Paramètres!$A$1:$I$88,3,0)*0.475*44/12</f>
        <v>0</v>
      </c>
      <c r="AX85" s="23">
        <f t="shared" si="60"/>
        <v>91.529456467169538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67.916490564871481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14.2</v>
      </c>
      <c r="BD85" s="13">
        <f>IF('Données projet'!$A$88&gt;35,BD84+BC85-BL84,IF(A85&lt;'Données projet'!$A$88,$BA$205^A85,IF(A85='Données projet'!$A$88,'Données projet'!$B$88,BD84+BC85-BL84)))</f>
        <v>510.20000000000022</v>
      </c>
      <c r="BE85" s="14">
        <f>BD85*VLOOKUP('Données projet'!$B$11,Paramètres!$A$1:$I$88,3,0)*VLOOKUP('Données projet'!$B$11,Paramètres!$A$1:$I$88,5,0)</f>
        <v>238.7736000000001</v>
      </c>
      <c r="BF85" s="14">
        <f t="shared" si="91"/>
        <v>58.175585924051269</v>
      </c>
      <c r="BG85" s="22">
        <f t="shared" si="61"/>
        <v>517.18649881772274</v>
      </c>
      <c r="BH85" s="62">
        <f t="shared" si="62"/>
        <v>802.88029755558478</v>
      </c>
      <c r="BI85" s="62">
        <f ca="1">AVERAGE(OFFSET($BH$3,0,0,'Données projet'!$E$11+1,1))-AVERAGE(OFFSET($H$3,0,0,'Données projet'!$E$11+1,1))</f>
        <v>364.96458059055169</v>
      </c>
      <c r="BJ85" s="62">
        <f t="shared" si="92"/>
        <v>246.27159120786257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projet'!$B$11,Paramètres!$A$1:$I$88,7,0))</f>
        <v>0</v>
      </c>
      <c r="BN85" s="17">
        <f>IF(ISNA(VLOOKUP(A85,'Données projet'!$A$87:$I$107,6,0)),0%,VLOOKUP(A85,'Données projet'!$A$87:$I$107,6,0)*VLOOKUP('Données projet'!$B$11,Paramètres!$A$1:$I$88,7,0))</f>
        <v>0</v>
      </c>
      <c r="BO85" s="17">
        <f>IF(ISNA(VLOOKUP(A85,'Données projet'!$A$87:$I$107,7,0)),0%,VLOOKUP(A85,'Données projet'!$A$87:$I$107,7,0))</f>
        <v>0</v>
      </c>
      <c r="BP85" s="23">
        <f>EXP(-LN(2)/35)*BP84+(1-EXP(-LN(2)/35))/(LN(2)/35)*BL85*BM85*VLOOKUP('Données projet'!$B$11,Paramètres!$A$1:$I$88,3,0)*0.475*44/12</f>
        <v>61.61633773813405</v>
      </c>
      <c r="BQ85" s="23">
        <f>EXP(-LN(2)/25)*BQ84+(1-EXP(-LN(2)/25))/(LN(2)/25)*Calculateur!BL85*Calculateur!BN85*VLOOKUP('Données projet'!$B$11,Paramètres!$A$1:$I$88,3,0)*0.475*44/12</f>
        <v>26.6798689315216</v>
      </c>
      <c r="BR85" s="23">
        <f>EXP(-LN(2)/2)*BR84+(1-EXP(-LN(2)/2))/(LN(2)/2)*BL85*BO85*VLOOKUP('Données projet'!$B$11,Paramètres!$A$1:$I$88,3,0)*0.475*44/12</f>
        <v>0</v>
      </c>
      <c r="BS85" s="24">
        <f t="shared" si="63"/>
        <v>88.296206669655646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67.916490564871481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-1.1368683772161603E-13</v>
      </c>
      <c r="BZ85" s="14">
        <f>BY85*VLOOKUP('Données projet'!$B$12,Paramètres!$A$1:$I$88,3,0)*VLOOKUP('Données projet'!$B$12,Paramètres!$A$1:$I$88,5,0)</f>
        <v>-1.1527845344971866E-13</v>
      </c>
      <c r="CA85" s="14" t="e">
        <f t="shared" si="93"/>
        <v>#NUM!</v>
      </c>
      <c r="CB85" s="22" t="e">
        <f t="shared" si="64"/>
        <v>#NUM!</v>
      </c>
      <c r="CC85" s="62" t="e">
        <f t="shared" si="65"/>
        <v>#NUM!</v>
      </c>
      <c r="CD85" s="62">
        <f ca="1">AVERAGE(OFFSET($CC$3,0,0,'Données projet'!$E$12+1,1))-AVERAGE(OFFSET($H$3,0,0,'Données projet'!$E$12+1,1))</f>
        <v>310.53598044763282</v>
      </c>
      <c r="CE85" s="62">
        <f t="shared" si="94"/>
        <v>322.01096634040596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projet'!$B$12,Paramètres!$A$1:$I$88,7,0))</f>
        <v>0</v>
      </c>
      <c r="CI85" s="17">
        <f>IF(ISNA(VLOOKUP(A85,'Données projet'!$A$113:$I$133,6,0)),0%,VLOOKUP(A85,'Données projet'!$A$113:$I$133,6,0)*VLOOKUP('Données projet'!$B$12,Paramètres!$A$1:$I$88,7,0))</f>
        <v>0</v>
      </c>
      <c r="CJ85" s="17">
        <f>IF(ISNA(VLOOKUP(A85,'Données projet'!$A$113:$I$133,7,0)),0%,VLOOKUP(A85,'Données projet'!$A$113:$I$133,7,0))</f>
        <v>0</v>
      </c>
      <c r="CK85" s="23">
        <f>EXP(-LN(2)/35)*CK84+(1-EXP(-LN(2)/35))/(LN(2)/35)*CG85*CH85*VLOOKUP('Données projet'!$B$12,Paramètres!$A$1:$I$88,3,0)*0.475*44/12</f>
        <v>46.765537379986917</v>
      </c>
      <c r="CL85" s="23">
        <f>EXP(-LN(2)/25)*CL84+(1-EXP(-LN(2)/25))/(LN(2)/25)*Calculateur!CG85*Calculateur!CI85*VLOOKUP('Données projet'!$B$12,Paramètres!$A$1:$I$88,3,0)*0.475*44/12</f>
        <v>0</v>
      </c>
      <c r="CM85" s="23">
        <f>EXP(-LN(2)/2)*CM84+(1-EXP(-LN(2)/2))/(LN(2)/2)*CG85*CJ85*VLOOKUP('Données projet'!$B$12,Paramètres!$A$1:$I$88,3,0)*0.475*44/12</f>
        <v>0</v>
      </c>
      <c r="CN85" s="24">
        <f t="shared" si="66"/>
        <v>46.765537379986917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67.916490564871481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projet'!$B$13,Paramètres!$A$1:$I$88,3,0)*VLOOKUP('Données projet'!$B$13,Paramètres!$A$1:$I$88,5,0)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projet'!$B$13,Paramètres!$A$1:$I$88,7,0))</f>
        <v>0</v>
      </c>
      <c r="DD85" s="17">
        <f>IF(ISNA(VLOOKUP(A85,'Données projet'!$A$139:$I$159,6,0)),0%,VLOOKUP(A85,'Données projet'!$A$139:$I$159,6,0)*VLOOKUP('Données projet'!$B$13,Paramètres!$A$1:$I$88,7,0))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projet'!$B$13,Paramètres!$A$1:$I$88,3,0)*0.475*44/12</f>
        <v>#N/A</v>
      </c>
      <c r="DG85" s="23" t="e">
        <f>EXP(-LN(2)/25)*DG84+(1-EXP(-LN(2)/25))/(LN(2)/25)*Calculateur!DB85*Calculateur!DD85*VLOOKUP('Données projet'!$B$13,Paramètres!$A$1:$I$88,3,0)*0.475*44/12</f>
        <v>#N/A</v>
      </c>
      <c r="DH85" s="23" t="e">
        <f>EXP(-LN(2)/2)*DH84+(1-EXP(-LN(2)/2))/(LN(2)/2)*DB85*DE85*VLOOKUP('Données projet'!$B$13,Paramètres!$A$1:$I$88,3,0)*0.475*44/12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67.916490564871481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projet'!$B$14,Paramètres!$A$1:$I$88,3,0)*VLOOKUP('Données projet'!$B$14,Paramètres!$A$1:$I$88,5,0)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projet'!$B$14,Paramètres!$A$1:$I$88,7,0))</f>
        <v>0</v>
      </c>
      <c r="DY85" s="17">
        <f>IF(ISNA(VLOOKUP(A85,'Données projet'!$A$165:$I$185,6,0)),0%,VLOOKUP(A85,'Données projet'!$A$165:$I$185,6,0)*VLOOKUP('Données projet'!$B$14,Paramètres!$A$1:$I$88,7,0))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projet'!$B$14,Paramètres!$A$1:$I$88,3,0)*0.475*44/12</f>
        <v>#N/A</v>
      </c>
      <c r="EB85" s="23" t="e">
        <f>EXP(-LN(2)/25)*EB84+(1-EXP(-LN(2)/25))/(LN(2)/25)*Calculateur!DW85*Calculateur!DY85*VLOOKUP('Données projet'!$B$14,Paramètres!$A$1:$I$88,3,0)*0.475*44/12</f>
        <v>#N/A</v>
      </c>
      <c r="EC85" s="23" t="e">
        <f>EXP(-LN(2)/2)*EC84+(1-EXP(-LN(2)/2))/(LN(2)/2)*DW85*DZ85*VLOOKUP('Données projet'!$B$14,Paramètres!$A$1:$I$88,3,0)*0.475*44/12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67.916490564871481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projet'!$B$15,Paramètres!$A$1:$I$88,3,0)*VLOOKUP('Données projet'!$B$15,Paramètres!$A$1:$I$88,5,0)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projet'!$B$15,Paramètres!$A$1:$I$88,7,0))</f>
        <v>0</v>
      </c>
      <c r="ET85" s="17">
        <f>IF(ISNA(VLOOKUP(A85,'Données projet'!$A$191:$I$211,6,0)),0%,VLOOKUP(A85,'Données projet'!$A$191:$I$211,6,0)*VLOOKUP('Données projet'!$B$15,Paramètres!$A$1:$I$88,7,0))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projet'!$B$15,Paramètres!$A$1:$I$88,3,0)*0.475*44/12</f>
        <v>#N/A</v>
      </c>
      <c r="EW85" s="23" t="e">
        <f>EXP(-LN(2)/25)*EW84+(1-EXP(-LN(2)/25))/(LN(2)/25)*Calculateur!ER85*Calculateur!ET85*VLOOKUP('Données projet'!$B$15,Paramètres!$A$1:$I$88,3,0)*0.475*44/12</f>
        <v>#N/A</v>
      </c>
      <c r="EX85" s="23" t="e">
        <f>EXP(-LN(2)/2)*EX84+(1-EXP(-LN(2)/2))/(LN(2)/2)*ER85*EU85*VLOOKUP('Données projet'!$B$15,Paramètres!$A$1:$I$88,3,0)*0.475*44/12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67.916490564871481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projet'!$B$16,Paramètres!$A$1:$I$88,3,0)*VLOOKUP('Données projet'!$B$16,Paramètres!$A$1:$I$88,5,0)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projet'!$B$16,Paramètres!$A$1:$I$88,7,0))</f>
        <v>0</v>
      </c>
      <c r="FO85" s="17">
        <f>IF(ISNA(VLOOKUP(A85,'Données projet'!$A$217:$I$237,6,0)),0%,VLOOKUP(A85,'Données projet'!$A$217:$I$237,6,0)*VLOOKUP('Données projet'!$B$16,Paramètres!$A$1:$I$88,7,0))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projet'!$B$16,Paramètres!$A$1:$I$88,3,0)*0.475*44/12</f>
        <v>#N/A</v>
      </c>
      <c r="FR85" s="23" t="e">
        <f>EXP(-LN(2)/25)*FR84+(1-EXP(-LN(2)/25))/(LN(2)/25)*Calculateur!FM85*Calculateur!FO85*VLOOKUP('Données projet'!$B$16,Paramètres!$A$1:$I$88,3,0)*0.475*44/12</f>
        <v>#N/A</v>
      </c>
      <c r="FS85" s="23" t="e">
        <f>EXP(-LN(2)/2)*FS84+(1-EXP(-LN(2)/2))/(LN(2)/2)*FM85*FP85*VLOOKUP('Données projet'!$B$16,Paramètres!$A$1:$I$88,3,0)*0.475*44/12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67.916490564871481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projet'!$B$17,Paramètres!$A$1:$I$88,3,0)*VLOOKUP('Données projet'!$B$17,Paramètres!$A$1:$I$88,5,0)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projet'!$B$17,Paramètres!$A$1:$I$88,7,0))</f>
        <v>0</v>
      </c>
      <c r="GJ85" s="17">
        <f>IF(ISNA(VLOOKUP(A85,'Données projet'!$A$243:$I$263,6,0)),0%,VLOOKUP(A85,'Données projet'!$A$243:$I$263,6,0)*VLOOKUP('Données projet'!$B$17,Paramètres!$A$1:$I$88,7,0))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projet'!$B$17,Paramètres!$A$1:$I$88,3,0)*0.475*44/12</f>
        <v>#N/A</v>
      </c>
      <c r="GM85" s="23" t="e">
        <f>EXP(-LN(2)/25)*GM84+(1-EXP(-LN(2)/25))/(LN(2)/25)*Calculateur!GH85*Calculateur!GJ85*VLOOKUP('Données projet'!$B$17,Paramètres!$A$1:$I$88,3,0)*0.475*44/12</f>
        <v>#N/A</v>
      </c>
      <c r="GN85" s="23" t="e">
        <f>EXP(-LN(2)/2)*GN84+(1-EXP(-LN(2)/2))/(LN(2)/2)*GH85*GK85*VLOOKUP('Données projet'!$B$17,Paramètres!$A$1:$I$88,3,0)*0.475*44/12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67.916490564871481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projet'!$B$18,Paramètres!$A$1:$I$88,3,0)*VLOOKUP('Données projet'!$B$18,Paramètres!$A$1:$I$88,5,0)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projet'!$B$18,Paramètres!$A$1:$I$88,7,0))</f>
        <v>0</v>
      </c>
      <c r="HE85" s="17">
        <f>IF(ISNA(VLOOKUP(A85,'Données projet'!$A$269:$I$289,6,0)),0%,VLOOKUP(A85,'Données projet'!$A$269:$I$289,6,0)*VLOOKUP('Données projet'!$B$18,Paramètres!$A$1:$I$88,7,0))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projet'!$B$18,Paramètres!$A$1:$I$88,3,0)*0.475*44/12</f>
        <v>#N/A</v>
      </c>
      <c r="HH85" s="23" t="e">
        <f>EXP(-LN(2)/25)*HH84+(1-EXP(-LN(2)/25))/(LN(2)/25)*Calculateur!HC85*Calculateur!HE85*VLOOKUP('Données projet'!$B$18,Paramètres!$A$1:$I$88,3,0)*0.475*44/12</f>
        <v>#N/A</v>
      </c>
      <c r="HI85" s="23" t="e">
        <f>EXP(-LN(2)/2)*HI84+(1-EXP(-LN(2)/2))/(LN(2)/2)*HC85*HF85*VLOOKUP('Données projet'!$B$18,Paramètres!$A$1:$I$88,3,0)*0.475*44/12</f>
        <v>#N/A</v>
      </c>
      <c r="HJ85" s="24" t="e">
        <f t="shared" si="84"/>
        <v>#N/A</v>
      </c>
    </row>
    <row r="86" spans="1:218" s="5" customFormat="1" x14ac:dyDescent="0.35">
      <c r="A86" s="11">
        <f t="shared" si="85"/>
        <v>83</v>
      </c>
      <c r="B86" s="77">
        <f>'Scénario référence'!$B$16*5+'Scénario référence'!$B$17*0+'Scénario référence'!$B$18*5</f>
        <v>1.75</v>
      </c>
      <c r="C86" s="20">
        <f>Calculateur!C85+'Scénario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86" s="12">
        <f t="shared" si="86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6.416666666666667</v>
      </c>
      <c r="H86" s="70">
        <f t="shared" si="56"/>
        <v>231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67.952634795541698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3.4106051316484809E-13</v>
      </c>
      <c r="O86" s="14">
        <f>N86*VLOOKUP('Données projet'!$B$9,Paramètres!$A$1:$I$88,3,0)*VLOOKUP('Données projet'!$B$9,Paramètres!$A$1:$I$88,5,0)</f>
        <v>1.9065282685915009E-13</v>
      </c>
      <c r="P86" s="14">
        <f t="shared" si="87"/>
        <v>2.6568987209435707E-12</v>
      </c>
      <c r="Q86" s="22">
        <f t="shared" si="54"/>
        <v>4.959485612423072E-12</v>
      </c>
      <c r="R86" s="62">
        <f t="shared" si="55"/>
        <v>285.82632758365787</v>
      </c>
      <c r="S86" s="62">
        <f ca="1">AVERAGE(OFFSET($R$3,0,0,'Données projet'!$E$9+1,1))-AVERAGE(OFFSET($H$3,0,0,'Données projet'!$E$9+1,1))</f>
        <v>341.05096821796769</v>
      </c>
      <c r="T86" s="62">
        <f t="shared" si="88"/>
        <v>400.72519822215168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projet'!$B$9,Paramètres!$A$1:$I$88,7,0))</f>
        <v>0</v>
      </c>
      <c r="X86" s="17">
        <f>IF(ISNA(VLOOKUP(A86,'Données projet'!$A$35:$I$55,6,0)),0%,VLOOKUP(A86,'Données projet'!$A$35:$I$55,6,0)*VLOOKUP('Données projet'!$B$9,Paramètres!$A$1:$I$88,7,0))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projet'!$B$9,Paramètres!$A$1:$I$88,3,0)*0.475*44/12</f>
        <v>151.95437756402373</v>
      </c>
      <c r="AA86" s="23">
        <f>EXP(-LN(2)/25)*AA85+(1-EXP(-LN(2)/25))/(LN(2)/25)*Calculateur!V86*Calculateur!X86*VLOOKUP('Données projet'!$B$9,Paramètres!$A$1:$I$88,3,0)*0.475*44/12</f>
        <v>70.040323929100822</v>
      </c>
      <c r="AB86" s="23">
        <f>EXP(-LN(2)/2)*AB85+(1-EXP(-LN(2)/2))/(LN(2)/2)*V86*Y86*VLOOKUP('Données projet'!$B$9,Paramètres!$A$1:$I$88,3,0)*0.475*44/12</f>
        <v>0</v>
      </c>
      <c r="AC86" s="24">
        <f t="shared" si="57"/>
        <v>221.99470149312455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67.952634795541698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5.6843418860808015E-14</v>
      </c>
      <c r="AJ86" s="14">
        <f>AI86*VLOOKUP('Données projet'!$B$10,Paramètres!$A$1:$I$88,3,0)*VLOOKUP('Données projet'!$B$10,Paramètres!$A$1:$I$88,5,0)</f>
        <v>3.3992364478763198E-14</v>
      </c>
      <c r="AK86" s="14">
        <f t="shared" si="89"/>
        <v>5.790027782444094E-13</v>
      </c>
      <c r="AL86" s="22">
        <f t="shared" si="58"/>
        <v>1.0676332069095257E-12</v>
      </c>
      <c r="AM86" s="62">
        <f t="shared" si="59"/>
        <v>285.82632758365401</v>
      </c>
      <c r="AN86" s="62">
        <f ca="1">AVERAGE(OFFSET($AM$3,0,0,'Données projet'!$E$10+1,1))-AVERAGE(OFFSET($H$3,0,0,'Données projet'!$E$10+1,1))</f>
        <v>231.96474801342879</v>
      </c>
      <c r="AO86" s="62">
        <f t="shared" si="90"/>
        <v>237.75726086383668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projet'!$B$10,Paramètres!$A$1:$I$88,7,0))</f>
        <v>0</v>
      </c>
      <c r="AS86" s="17">
        <f>IF(ISNA(VLOOKUP(A86,'Données projet'!$A$61:$I$81,6,0)),0%,VLOOKUP(A86,'Données projet'!$A$61:$I$81,6,0)*VLOOKUP('Données projet'!$B$10,Paramètres!$A$1:$I$88,7,0))</f>
        <v>0</v>
      </c>
      <c r="AT86" s="17">
        <f>IF(ISNA(VLOOKUP(A86,'Données projet'!$A$61:$I$81,7,0)),0%,VLOOKUP(A86,'Données projet'!$A$61:$I$81,7,0))</f>
        <v>0</v>
      </c>
      <c r="AU86" s="23">
        <f>EXP(-LN(2)/35)*AU85+(1-EXP(-LN(2)/35))/(LN(2)/35)*AQ86*AR86*VLOOKUP('Données projet'!$B$10,Paramètres!$A$1:$I$88,3,0)*0.475*44/12</f>
        <v>59.923137559136492</v>
      </c>
      <c r="AV86" s="23">
        <f>EXP(-LN(2)/25)*AV85+(1-EXP(-LN(2)/25))/(LN(2)/25)*Calculateur!AQ86*Calculateur!AS86*VLOOKUP('Données projet'!$B$10,Paramètres!$A$1:$I$88,3,0)*0.475*44/12</f>
        <v>29.576257926793431</v>
      </c>
      <c r="AW86" s="23">
        <f>EXP(-LN(2)/2)*AW85+(1-EXP(-LN(2)/2))/(LN(2)/2)*AQ86*AT86*VLOOKUP('Données projet'!$B$10,Paramètres!$A$1:$I$88,3,0)*0.475*44/12</f>
        <v>0</v>
      </c>
      <c r="AX86" s="23">
        <f t="shared" si="60"/>
        <v>89.499395485929924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67.952634795541698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14.2</v>
      </c>
      <c r="BD86" s="13">
        <f>IF('Données projet'!$A$88&gt;35,BD85+BC86-BL85,IF(A86&lt;'Données projet'!$A$88,$BA$205^A86,IF(A86='Données projet'!$A$88,'Données projet'!$B$88,BD85+BC86-BL85)))</f>
        <v>524.4000000000002</v>
      </c>
      <c r="BE86" s="14">
        <f>BD86*VLOOKUP('Données projet'!$B$11,Paramètres!$A$1:$I$88,3,0)*VLOOKUP('Données projet'!$B$11,Paramètres!$A$1:$I$88,5,0)</f>
        <v>245.4192000000001</v>
      </c>
      <c r="BF86" s="14">
        <f t="shared" si="91"/>
        <v>59.603978221930504</v>
      </c>
      <c r="BG86" s="22">
        <f t="shared" si="61"/>
        <v>531.24870206986247</v>
      </c>
      <c r="BH86" s="62">
        <f t="shared" si="62"/>
        <v>817.07502965351546</v>
      </c>
      <c r="BI86" s="62">
        <f ca="1">AVERAGE(OFFSET($BH$3,0,0,'Données projet'!$E$11+1,1))-AVERAGE(OFFSET($H$3,0,0,'Données projet'!$E$11+1,1))</f>
        <v>364.96458059055169</v>
      </c>
      <c r="BJ86" s="62">
        <f t="shared" si="92"/>
        <v>246.27159120786257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projet'!$B$11,Paramètres!$A$1:$I$88,7,0))</f>
        <v>0</v>
      </c>
      <c r="BN86" s="17">
        <f>IF(ISNA(VLOOKUP(A86,'Données projet'!$A$87:$I$107,6,0)),0%,VLOOKUP(A86,'Données projet'!$A$87:$I$107,6,0)*VLOOKUP('Données projet'!$B$11,Paramètres!$A$1:$I$88,7,0))</f>
        <v>0</v>
      </c>
      <c r="BO86" s="17">
        <f>IF(ISNA(VLOOKUP(A86,'Données projet'!$A$87:$I$107,7,0)),0%,VLOOKUP(A86,'Données projet'!$A$87:$I$107,7,0))</f>
        <v>0</v>
      </c>
      <c r="BP86" s="23">
        <f>EXP(-LN(2)/35)*BP85+(1-EXP(-LN(2)/35))/(LN(2)/35)*BL86*BM86*VLOOKUP('Données projet'!$B$11,Paramètres!$A$1:$I$88,3,0)*0.475*44/12</f>
        <v>60.408078937344321</v>
      </c>
      <c r="BQ86" s="23">
        <f>EXP(-LN(2)/25)*BQ85+(1-EXP(-LN(2)/25))/(LN(2)/25)*Calculateur!BL86*Calculateur!BN86*VLOOKUP('Données projet'!$B$11,Paramètres!$A$1:$I$88,3,0)*0.475*44/12</f>
        <v>25.950306512555812</v>
      </c>
      <c r="BR86" s="23">
        <f>EXP(-LN(2)/2)*BR85+(1-EXP(-LN(2)/2))/(LN(2)/2)*BL86*BO86*VLOOKUP('Données projet'!$B$11,Paramètres!$A$1:$I$88,3,0)*0.475*44/12</f>
        <v>0</v>
      </c>
      <c r="BS86" s="24">
        <f t="shared" si="63"/>
        <v>86.35838544990014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67.952634795541698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-1.1368683772161603E-13</v>
      </c>
      <c r="BZ86" s="14">
        <f>BY86*VLOOKUP('Données projet'!$B$12,Paramètres!$A$1:$I$88,3,0)*VLOOKUP('Données projet'!$B$12,Paramètres!$A$1:$I$88,5,0)</f>
        <v>-1.1527845344971866E-13</v>
      </c>
      <c r="CA86" s="14" t="e">
        <f t="shared" si="93"/>
        <v>#NUM!</v>
      </c>
      <c r="CB86" s="22" t="e">
        <f t="shared" si="64"/>
        <v>#NUM!</v>
      </c>
      <c r="CC86" s="62" t="e">
        <f t="shared" si="65"/>
        <v>#NUM!</v>
      </c>
      <c r="CD86" s="62">
        <f ca="1">AVERAGE(OFFSET($CC$3,0,0,'Données projet'!$E$12+1,1))-AVERAGE(OFFSET($H$3,0,0,'Données projet'!$E$12+1,1))</f>
        <v>310.53598044763282</v>
      </c>
      <c r="CE86" s="62">
        <f t="shared" si="94"/>
        <v>322.01096634040596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projet'!$B$12,Paramètres!$A$1:$I$88,7,0))</f>
        <v>0</v>
      </c>
      <c r="CI86" s="17">
        <f>IF(ISNA(VLOOKUP(A86,'Données projet'!$A$113:$I$133,6,0)),0%,VLOOKUP(A86,'Données projet'!$A$113:$I$133,6,0)*VLOOKUP('Données projet'!$B$12,Paramètres!$A$1:$I$88,7,0))</f>
        <v>0</v>
      </c>
      <c r="CJ86" s="17">
        <f>IF(ISNA(VLOOKUP(A86,'Données projet'!$A$113:$I$133,7,0)),0%,VLOOKUP(A86,'Données projet'!$A$113:$I$133,7,0))</f>
        <v>0</v>
      </c>
      <c r="CK86" s="23">
        <f>EXP(-LN(2)/35)*CK85+(1-EXP(-LN(2)/35))/(LN(2)/35)*CG86*CH86*VLOOKUP('Données projet'!$B$12,Paramètres!$A$1:$I$88,3,0)*0.475*44/12</f>
        <v>45.848493716126647</v>
      </c>
      <c r="CL86" s="23">
        <f>EXP(-LN(2)/25)*CL85+(1-EXP(-LN(2)/25))/(LN(2)/25)*Calculateur!CG86*Calculateur!CI86*VLOOKUP('Données projet'!$B$12,Paramètres!$A$1:$I$88,3,0)*0.475*44/12</f>
        <v>0</v>
      </c>
      <c r="CM86" s="23">
        <f>EXP(-LN(2)/2)*CM85+(1-EXP(-LN(2)/2))/(LN(2)/2)*CG86*CJ86*VLOOKUP('Données projet'!$B$12,Paramètres!$A$1:$I$88,3,0)*0.475*44/12</f>
        <v>0</v>
      </c>
      <c r="CN86" s="24">
        <f t="shared" si="66"/>
        <v>45.848493716126647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67.952634795541698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projet'!$B$13,Paramètres!$A$1:$I$88,3,0)*VLOOKUP('Données projet'!$B$13,Paramètres!$A$1:$I$88,5,0)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projet'!$B$13,Paramètres!$A$1:$I$88,7,0))</f>
        <v>0</v>
      </c>
      <c r="DD86" s="17">
        <f>IF(ISNA(VLOOKUP(A86,'Données projet'!$A$139:$I$159,6,0)),0%,VLOOKUP(A86,'Données projet'!$A$139:$I$159,6,0)*VLOOKUP('Données projet'!$B$13,Paramètres!$A$1:$I$88,7,0))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projet'!$B$13,Paramètres!$A$1:$I$88,3,0)*0.475*44/12</f>
        <v>#N/A</v>
      </c>
      <c r="DG86" s="23" t="e">
        <f>EXP(-LN(2)/25)*DG85+(1-EXP(-LN(2)/25))/(LN(2)/25)*Calculateur!DB86*Calculateur!DD86*VLOOKUP('Données projet'!$B$13,Paramètres!$A$1:$I$88,3,0)*0.475*44/12</f>
        <v>#N/A</v>
      </c>
      <c r="DH86" s="23" t="e">
        <f>EXP(-LN(2)/2)*DH85+(1-EXP(-LN(2)/2))/(LN(2)/2)*DB86*DE86*VLOOKUP('Données projet'!$B$13,Paramètres!$A$1:$I$88,3,0)*0.475*44/12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67.952634795541698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projet'!$B$14,Paramètres!$A$1:$I$88,3,0)*VLOOKUP('Données projet'!$B$14,Paramètres!$A$1:$I$88,5,0)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projet'!$B$14,Paramètres!$A$1:$I$88,7,0))</f>
        <v>0</v>
      </c>
      <c r="DY86" s="17">
        <f>IF(ISNA(VLOOKUP(A86,'Données projet'!$A$165:$I$185,6,0)),0%,VLOOKUP(A86,'Données projet'!$A$165:$I$185,6,0)*VLOOKUP('Données projet'!$B$14,Paramètres!$A$1:$I$88,7,0))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projet'!$B$14,Paramètres!$A$1:$I$88,3,0)*0.475*44/12</f>
        <v>#N/A</v>
      </c>
      <c r="EB86" s="23" t="e">
        <f>EXP(-LN(2)/25)*EB85+(1-EXP(-LN(2)/25))/(LN(2)/25)*Calculateur!DW86*Calculateur!DY86*VLOOKUP('Données projet'!$B$14,Paramètres!$A$1:$I$88,3,0)*0.475*44/12</f>
        <v>#N/A</v>
      </c>
      <c r="EC86" s="23" t="e">
        <f>EXP(-LN(2)/2)*EC85+(1-EXP(-LN(2)/2))/(LN(2)/2)*DW86*DZ86*VLOOKUP('Données projet'!$B$14,Paramètres!$A$1:$I$88,3,0)*0.475*44/12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67.952634795541698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projet'!$B$15,Paramètres!$A$1:$I$88,3,0)*VLOOKUP('Données projet'!$B$15,Paramètres!$A$1:$I$88,5,0)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projet'!$B$15,Paramètres!$A$1:$I$88,7,0))</f>
        <v>0</v>
      </c>
      <c r="ET86" s="17">
        <f>IF(ISNA(VLOOKUP(A86,'Données projet'!$A$191:$I$211,6,0)),0%,VLOOKUP(A86,'Données projet'!$A$191:$I$211,6,0)*VLOOKUP('Données projet'!$B$15,Paramètres!$A$1:$I$88,7,0))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projet'!$B$15,Paramètres!$A$1:$I$88,3,0)*0.475*44/12</f>
        <v>#N/A</v>
      </c>
      <c r="EW86" s="23" t="e">
        <f>EXP(-LN(2)/25)*EW85+(1-EXP(-LN(2)/25))/(LN(2)/25)*Calculateur!ER86*Calculateur!ET86*VLOOKUP('Données projet'!$B$15,Paramètres!$A$1:$I$88,3,0)*0.475*44/12</f>
        <v>#N/A</v>
      </c>
      <c r="EX86" s="23" t="e">
        <f>EXP(-LN(2)/2)*EX85+(1-EXP(-LN(2)/2))/(LN(2)/2)*ER86*EU86*VLOOKUP('Données projet'!$B$15,Paramètres!$A$1:$I$88,3,0)*0.475*44/12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67.952634795541698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projet'!$B$16,Paramètres!$A$1:$I$88,3,0)*VLOOKUP('Données projet'!$B$16,Paramètres!$A$1:$I$88,5,0)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projet'!$B$16,Paramètres!$A$1:$I$88,7,0))</f>
        <v>0</v>
      </c>
      <c r="FO86" s="17">
        <f>IF(ISNA(VLOOKUP(A86,'Données projet'!$A$217:$I$237,6,0)),0%,VLOOKUP(A86,'Données projet'!$A$217:$I$237,6,0)*VLOOKUP('Données projet'!$B$16,Paramètres!$A$1:$I$88,7,0))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projet'!$B$16,Paramètres!$A$1:$I$88,3,0)*0.475*44/12</f>
        <v>#N/A</v>
      </c>
      <c r="FR86" s="23" t="e">
        <f>EXP(-LN(2)/25)*FR85+(1-EXP(-LN(2)/25))/(LN(2)/25)*Calculateur!FM86*Calculateur!FO86*VLOOKUP('Données projet'!$B$16,Paramètres!$A$1:$I$88,3,0)*0.475*44/12</f>
        <v>#N/A</v>
      </c>
      <c r="FS86" s="23" t="e">
        <f>EXP(-LN(2)/2)*FS85+(1-EXP(-LN(2)/2))/(LN(2)/2)*FM86*FP86*VLOOKUP('Données projet'!$B$16,Paramètres!$A$1:$I$88,3,0)*0.475*44/12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67.952634795541698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projet'!$B$17,Paramètres!$A$1:$I$88,3,0)*VLOOKUP('Données projet'!$B$17,Paramètres!$A$1:$I$88,5,0)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projet'!$B$17,Paramètres!$A$1:$I$88,7,0))</f>
        <v>0</v>
      </c>
      <c r="GJ86" s="17">
        <f>IF(ISNA(VLOOKUP(A86,'Données projet'!$A$243:$I$263,6,0)),0%,VLOOKUP(A86,'Données projet'!$A$243:$I$263,6,0)*VLOOKUP('Données projet'!$B$17,Paramètres!$A$1:$I$88,7,0))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projet'!$B$17,Paramètres!$A$1:$I$88,3,0)*0.475*44/12</f>
        <v>#N/A</v>
      </c>
      <c r="GM86" s="23" t="e">
        <f>EXP(-LN(2)/25)*GM85+(1-EXP(-LN(2)/25))/(LN(2)/25)*Calculateur!GH86*Calculateur!GJ86*VLOOKUP('Données projet'!$B$17,Paramètres!$A$1:$I$88,3,0)*0.475*44/12</f>
        <v>#N/A</v>
      </c>
      <c r="GN86" s="23" t="e">
        <f>EXP(-LN(2)/2)*GN85+(1-EXP(-LN(2)/2))/(LN(2)/2)*GH86*GK86*VLOOKUP('Données projet'!$B$17,Paramètres!$A$1:$I$88,3,0)*0.475*44/12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67.952634795541698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projet'!$B$18,Paramètres!$A$1:$I$88,3,0)*VLOOKUP('Données projet'!$B$18,Paramètres!$A$1:$I$88,5,0)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projet'!$B$18,Paramètres!$A$1:$I$88,7,0))</f>
        <v>0</v>
      </c>
      <c r="HE86" s="17">
        <f>IF(ISNA(VLOOKUP(A86,'Données projet'!$A$269:$I$289,6,0)),0%,VLOOKUP(A86,'Données projet'!$A$269:$I$289,6,0)*VLOOKUP('Données projet'!$B$18,Paramètres!$A$1:$I$88,7,0))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projet'!$B$18,Paramètres!$A$1:$I$88,3,0)*0.475*44/12</f>
        <v>#N/A</v>
      </c>
      <c r="HH86" s="23" t="e">
        <f>EXP(-LN(2)/25)*HH85+(1-EXP(-LN(2)/25))/(LN(2)/25)*Calculateur!HC86*Calculateur!HE86*VLOOKUP('Données projet'!$B$18,Paramètres!$A$1:$I$88,3,0)*0.475*44/12</f>
        <v>#N/A</v>
      </c>
      <c r="HI86" s="23" t="e">
        <f>EXP(-LN(2)/2)*HI85+(1-EXP(-LN(2)/2))/(LN(2)/2)*HC86*HF86*VLOOKUP('Données projet'!$B$18,Paramètres!$A$1:$I$88,3,0)*0.475*44/12</f>
        <v>#N/A</v>
      </c>
      <c r="HJ86" s="24" t="e">
        <f t="shared" si="84"/>
        <v>#N/A</v>
      </c>
    </row>
    <row r="87" spans="1:218" s="5" customFormat="1" x14ac:dyDescent="0.35">
      <c r="A87" s="11">
        <f t="shared" si="85"/>
        <v>84</v>
      </c>
      <c r="B87" s="77">
        <f>'Scénario référence'!$B$16*5+'Scénario référence'!$B$17*0+'Scénario référence'!$B$18*5</f>
        <v>1.75</v>
      </c>
      <c r="C87" s="20">
        <f>Calculateur!C86+'Scénario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87" s="12">
        <f t="shared" si="86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6.416666666666667</v>
      </c>
      <c r="H87" s="70">
        <f t="shared" si="56"/>
        <v>231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67.988152004616168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3.4106051316484809E-13</v>
      </c>
      <c r="O87" s="14">
        <f>N87*VLOOKUP('Données projet'!$B$9,Paramètres!$A$1:$I$88,3,0)*VLOOKUP('Données projet'!$B$9,Paramètres!$A$1:$I$88,5,0)</f>
        <v>1.9065282685915009E-13</v>
      </c>
      <c r="P87" s="14">
        <f t="shared" si="87"/>
        <v>2.6568987209435707E-12</v>
      </c>
      <c r="Q87" s="22">
        <f t="shared" si="54"/>
        <v>4.959485612423072E-12</v>
      </c>
      <c r="R87" s="62">
        <f t="shared" si="55"/>
        <v>285.95655735026423</v>
      </c>
      <c r="S87" s="62">
        <f ca="1">AVERAGE(OFFSET($R$3,0,0,'Données projet'!$E$9+1,1))-AVERAGE(OFFSET($H$3,0,0,'Données projet'!$E$9+1,1))</f>
        <v>341.05096821796769</v>
      </c>
      <c r="T87" s="62">
        <f t="shared" si="88"/>
        <v>400.72519822215168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projet'!$B$9,Paramètres!$A$1:$I$88,7,0))</f>
        <v>0</v>
      </c>
      <c r="X87" s="17">
        <f>IF(ISNA(VLOOKUP(A87,'Données projet'!$A$35:$I$55,6,0)),0%,VLOOKUP(A87,'Données projet'!$A$35:$I$55,6,0)*VLOOKUP('Données projet'!$B$9,Paramètres!$A$1:$I$88,7,0))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projet'!$B$9,Paramètres!$A$1:$I$88,3,0)*0.475*44/12</f>
        <v>148.97464490301186</v>
      </c>
      <c r="AA87" s="23">
        <f>EXP(-LN(2)/25)*AA86+(1-EXP(-LN(2)/25))/(LN(2)/25)*Calculateur!V87*Calculateur!X87*VLOOKUP('Données projet'!$B$9,Paramètres!$A$1:$I$88,3,0)*0.475*44/12</f>
        <v>68.125067587998998</v>
      </c>
      <c r="AB87" s="23">
        <f>EXP(-LN(2)/2)*AB86+(1-EXP(-LN(2)/2))/(LN(2)/2)*V87*Y87*VLOOKUP('Données projet'!$B$9,Paramètres!$A$1:$I$88,3,0)*0.475*44/12</f>
        <v>0</v>
      </c>
      <c r="AC87" s="24">
        <f t="shared" si="57"/>
        <v>217.09971249101085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67.988152004616168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5.6843418860808015E-14</v>
      </c>
      <c r="AJ87" s="14">
        <f>AI87*VLOOKUP('Données projet'!$B$10,Paramètres!$A$1:$I$88,3,0)*VLOOKUP('Données projet'!$B$10,Paramètres!$A$1:$I$88,5,0)</f>
        <v>3.3992364478763198E-14</v>
      </c>
      <c r="AK87" s="14">
        <f t="shared" si="89"/>
        <v>5.790027782444094E-13</v>
      </c>
      <c r="AL87" s="22">
        <f t="shared" si="58"/>
        <v>1.0676332069095257E-12</v>
      </c>
      <c r="AM87" s="62">
        <f t="shared" si="59"/>
        <v>285.95655735026037</v>
      </c>
      <c r="AN87" s="62">
        <f ca="1">AVERAGE(OFFSET($AM$3,0,0,'Données projet'!$E$10+1,1))-AVERAGE(OFFSET($H$3,0,0,'Données projet'!$E$10+1,1))</f>
        <v>231.96474801342879</v>
      </c>
      <c r="AO87" s="62">
        <f t="shared" si="90"/>
        <v>237.75726086383668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projet'!$B$10,Paramètres!$A$1:$I$88,7,0))</f>
        <v>0</v>
      </c>
      <c r="AS87" s="17">
        <f>IF(ISNA(VLOOKUP(A87,'Données projet'!$A$61:$I$81,6,0)),0%,VLOOKUP(A87,'Données projet'!$A$61:$I$81,6,0)*VLOOKUP('Données projet'!$B$10,Paramètres!$A$1:$I$88,7,0))</f>
        <v>0</v>
      </c>
      <c r="AT87" s="17">
        <f>IF(ISNA(VLOOKUP(A87,'Données projet'!$A$61:$I$81,7,0)),0%,VLOOKUP(A87,'Données projet'!$A$61:$I$81,7,0))</f>
        <v>0</v>
      </c>
      <c r="AU87" s="23">
        <f>EXP(-LN(2)/35)*AU86+(1-EXP(-LN(2)/35))/(LN(2)/35)*AQ87*AR87*VLOOKUP('Données projet'!$B$10,Paramètres!$A$1:$I$88,3,0)*0.475*44/12</f>
        <v>58.748081381106772</v>
      </c>
      <c r="AV87" s="23">
        <f>EXP(-LN(2)/25)*AV86+(1-EXP(-LN(2)/25))/(LN(2)/25)*Calculateur!AQ87*Calculateur!AS87*VLOOKUP('Données projet'!$B$10,Paramètres!$A$1:$I$88,3,0)*0.475*44/12</f>
        <v>28.767493598437458</v>
      </c>
      <c r="AW87" s="23">
        <f>EXP(-LN(2)/2)*AW86+(1-EXP(-LN(2)/2))/(LN(2)/2)*AQ87*AT87*VLOOKUP('Données projet'!$B$10,Paramètres!$A$1:$I$88,3,0)*0.475*44/12</f>
        <v>0</v>
      </c>
      <c r="AX87" s="23">
        <f t="shared" si="60"/>
        <v>87.515574979544226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67.988152004616168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14.2</v>
      </c>
      <c r="BD87" s="13">
        <f>IF('Données projet'!$A$88&gt;35,BD86+BC87-BL86,IF(A87&lt;'Données projet'!$A$88,$BA$205^A87,IF(A87='Données projet'!$A$88,'Données projet'!$B$88,BD86+BC87-BL86)))</f>
        <v>538.60000000000025</v>
      </c>
      <c r="BE87" s="14">
        <f>BD87*VLOOKUP('Données projet'!$B$11,Paramètres!$A$1:$I$88,3,0)*VLOOKUP('Données projet'!$B$11,Paramètres!$A$1:$I$88,5,0)</f>
        <v>252.0648000000001</v>
      </c>
      <c r="BF87" s="14">
        <f t="shared" si="91"/>
        <v>61.027874813075776</v>
      </c>
      <c r="BG87" s="22">
        <f t="shared" si="61"/>
        <v>545.30307529944037</v>
      </c>
      <c r="BH87" s="62">
        <f t="shared" si="62"/>
        <v>831.2596326496996</v>
      </c>
      <c r="BI87" s="62">
        <f ca="1">AVERAGE(OFFSET($BH$3,0,0,'Données projet'!$E$11+1,1))-AVERAGE(OFFSET($H$3,0,0,'Données projet'!$E$11+1,1))</f>
        <v>364.96458059055169</v>
      </c>
      <c r="BJ87" s="62">
        <f t="shared" si="92"/>
        <v>246.27159120786257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projet'!$B$11,Paramètres!$A$1:$I$88,7,0))</f>
        <v>0</v>
      </c>
      <c r="BN87" s="17">
        <f>IF(ISNA(VLOOKUP(A87,'Données projet'!$A$87:$I$107,6,0)),0%,VLOOKUP(A87,'Données projet'!$A$87:$I$107,6,0)*VLOOKUP('Données projet'!$B$11,Paramètres!$A$1:$I$88,7,0))</f>
        <v>0</v>
      </c>
      <c r="BO87" s="17">
        <f>IF(ISNA(VLOOKUP(A87,'Données projet'!$A$87:$I$107,7,0)),0%,VLOOKUP(A87,'Données projet'!$A$87:$I$107,7,0))</f>
        <v>0</v>
      </c>
      <c r="BP87" s="23">
        <f>EXP(-LN(2)/35)*BP86+(1-EXP(-LN(2)/35))/(LN(2)/35)*BL87*BM87*VLOOKUP('Données projet'!$B$11,Paramètres!$A$1:$I$88,3,0)*0.475*44/12</f>
        <v>59.223513354672981</v>
      </c>
      <c r="BQ87" s="23">
        <f>EXP(-LN(2)/25)*BQ86+(1-EXP(-LN(2)/25))/(LN(2)/25)*Calculateur!BL87*Calculateur!BN87*VLOOKUP('Données projet'!$B$11,Paramètres!$A$1:$I$88,3,0)*0.475*44/12</f>
        <v>25.240694016302665</v>
      </c>
      <c r="BR87" s="23">
        <f>EXP(-LN(2)/2)*BR86+(1-EXP(-LN(2)/2))/(LN(2)/2)*BL87*BO87*VLOOKUP('Données projet'!$B$11,Paramètres!$A$1:$I$88,3,0)*0.475*44/12</f>
        <v>0</v>
      </c>
      <c r="BS87" s="24">
        <f t="shared" si="63"/>
        <v>84.464207370975643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67.988152004616168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-1.1368683772161603E-13</v>
      </c>
      <c r="BZ87" s="14">
        <f>BY87*VLOOKUP('Données projet'!$B$12,Paramètres!$A$1:$I$88,3,0)*VLOOKUP('Données projet'!$B$12,Paramètres!$A$1:$I$88,5,0)</f>
        <v>-1.1527845344971866E-13</v>
      </c>
      <c r="CA87" s="14" t="e">
        <f t="shared" si="93"/>
        <v>#NUM!</v>
      </c>
      <c r="CB87" s="22" t="e">
        <f t="shared" si="64"/>
        <v>#NUM!</v>
      </c>
      <c r="CC87" s="62" t="e">
        <f t="shared" si="65"/>
        <v>#NUM!</v>
      </c>
      <c r="CD87" s="62">
        <f ca="1">AVERAGE(OFFSET($CC$3,0,0,'Données projet'!$E$12+1,1))-AVERAGE(OFFSET($H$3,0,0,'Données projet'!$E$12+1,1))</f>
        <v>310.53598044763282</v>
      </c>
      <c r="CE87" s="62">
        <f t="shared" si="94"/>
        <v>322.01096634040596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projet'!$B$12,Paramètres!$A$1:$I$88,7,0))</f>
        <v>0</v>
      </c>
      <c r="CI87" s="17">
        <f>IF(ISNA(VLOOKUP(A87,'Données projet'!$A$113:$I$133,6,0)),0%,VLOOKUP(A87,'Données projet'!$A$113:$I$133,6,0)*VLOOKUP('Données projet'!$B$12,Paramètres!$A$1:$I$88,7,0))</f>
        <v>0</v>
      </c>
      <c r="CJ87" s="17">
        <f>IF(ISNA(VLOOKUP(A87,'Données projet'!$A$113:$I$133,7,0)),0%,VLOOKUP(A87,'Données projet'!$A$113:$I$133,7,0))</f>
        <v>0</v>
      </c>
      <c r="CK87" s="23">
        <f>EXP(-LN(2)/35)*CK86+(1-EXP(-LN(2)/35))/(LN(2)/35)*CG87*CH87*VLOOKUP('Données projet'!$B$12,Paramètres!$A$1:$I$88,3,0)*0.475*44/12</f>
        <v>44.949432719173274</v>
      </c>
      <c r="CL87" s="23">
        <f>EXP(-LN(2)/25)*CL86+(1-EXP(-LN(2)/25))/(LN(2)/25)*Calculateur!CG87*Calculateur!CI87*VLOOKUP('Données projet'!$B$12,Paramètres!$A$1:$I$88,3,0)*0.475*44/12</f>
        <v>0</v>
      </c>
      <c r="CM87" s="23">
        <f>EXP(-LN(2)/2)*CM86+(1-EXP(-LN(2)/2))/(LN(2)/2)*CG87*CJ87*VLOOKUP('Données projet'!$B$12,Paramètres!$A$1:$I$88,3,0)*0.475*44/12</f>
        <v>0</v>
      </c>
      <c r="CN87" s="24">
        <f t="shared" si="66"/>
        <v>44.949432719173274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67.988152004616168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projet'!$B$13,Paramètres!$A$1:$I$88,3,0)*VLOOKUP('Données projet'!$B$13,Paramètres!$A$1:$I$88,5,0)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projet'!$B$13,Paramètres!$A$1:$I$88,7,0))</f>
        <v>0</v>
      </c>
      <c r="DD87" s="17">
        <f>IF(ISNA(VLOOKUP(A87,'Données projet'!$A$139:$I$159,6,0)),0%,VLOOKUP(A87,'Données projet'!$A$139:$I$159,6,0)*VLOOKUP('Données projet'!$B$13,Paramètres!$A$1:$I$88,7,0))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projet'!$B$13,Paramètres!$A$1:$I$88,3,0)*0.475*44/12</f>
        <v>#N/A</v>
      </c>
      <c r="DG87" s="23" t="e">
        <f>EXP(-LN(2)/25)*DG86+(1-EXP(-LN(2)/25))/(LN(2)/25)*Calculateur!DB87*Calculateur!DD87*VLOOKUP('Données projet'!$B$13,Paramètres!$A$1:$I$88,3,0)*0.475*44/12</f>
        <v>#N/A</v>
      </c>
      <c r="DH87" s="23" t="e">
        <f>EXP(-LN(2)/2)*DH86+(1-EXP(-LN(2)/2))/(LN(2)/2)*DB87*DE87*VLOOKUP('Données projet'!$B$13,Paramètres!$A$1:$I$88,3,0)*0.475*44/12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67.988152004616168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projet'!$B$14,Paramètres!$A$1:$I$88,3,0)*VLOOKUP('Données projet'!$B$14,Paramètres!$A$1:$I$88,5,0)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projet'!$B$14,Paramètres!$A$1:$I$88,7,0))</f>
        <v>0</v>
      </c>
      <c r="DY87" s="17">
        <f>IF(ISNA(VLOOKUP(A87,'Données projet'!$A$165:$I$185,6,0)),0%,VLOOKUP(A87,'Données projet'!$A$165:$I$185,6,0)*VLOOKUP('Données projet'!$B$14,Paramètres!$A$1:$I$88,7,0))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projet'!$B$14,Paramètres!$A$1:$I$88,3,0)*0.475*44/12</f>
        <v>#N/A</v>
      </c>
      <c r="EB87" s="23" t="e">
        <f>EXP(-LN(2)/25)*EB86+(1-EXP(-LN(2)/25))/(LN(2)/25)*Calculateur!DW87*Calculateur!DY87*VLOOKUP('Données projet'!$B$14,Paramètres!$A$1:$I$88,3,0)*0.475*44/12</f>
        <v>#N/A</v>
      </c>
      <c r="EC87" s="23" t="e">
        <f>EXP(-LN(2)/2)*EC86+(1-EXP(-LN(2)/2))/(LN(2)/2)*DW87*DZ87*VLOOKUP('Données projet'!$B$14,Paramètres!$A$1:$I$88,3,0)*0.475*44/12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67.988152004616168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projet'!$B$15,Paramètres!$A$1:$I$88,3,0)*VLOOKUP('Données projet'!$B$15,Paramètres!$A$1:$I$88,5,0)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projet'!$B$15,Paramètres!$A$1:$I$88,7,0))</f>
        <v>0</v>
      </c>
      <c r="ET87" s="17">
        <f>IF(ISNA(VLOOKUP(A87,'Données projet'!$A$191:$I$211,6,0)),0%,VLOOKUP(A87,'Données projet'!$A$191:$I$211,6,0)*VLOOKUP('Données projet'!$B$15,Paramètres!$A$1:$I$88,7,0))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projet'!$B$15,Paramètres!$A$1:$I$88,3,0)*0.475*44/12</f>
        <v>#N/A</v>
      </c>
      <c r="EW87" s="23" t="e">
        <f>EXP(-LN(2)/25)*EW86+(1-EXP(-LN(2)/25))/(LN(2)/25)*Calculateur!ER87*Calculateur!ET87*VLOOKUP('Données projet'!$B$15,Paramètres!$A$1:$I$88,3,0)*0.475*44/12</f>
        <v>#N/A</v>
      </c>
      <c r="EX87" s="23" t="e">
        <f>EXP(-LN(2)/2)*EX86+(1-EXP(-LN(2)/2))/(LN(2)/2)*ER87*EU87*VLOOKUP('Données projet'!$B$15,Paramètres!$A$1:$I$88,3,0)*0.475*44/12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67.988152004616168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projet'!$B$16,Paramètres!$A$1:$I$88,3,0)*VLOOKUP('Données projet'!$B$16,Paramètres!$A$1:$I$88,5,0)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projet'!$B$16,Paramètres!$A$1:$I$88,7,0))</f>
        <v>0</v>
      </c>
      <c r="FO87" s="17">
        <f>IF(ISNA(VLOOKUP(A87,'Données projet'!$A$217:$I$237,6,0)),0%,VLOOKUP(A87,'Données projet'!$A$217:$I$237,6,0)*VLOOKUP('Données projet'!$B$16,Paramètres!$A$1:$I$88,7,0))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projet'!$B$16,Paramètres!$A$1:$I$88,3,0)*0.475*44/12</f>
        <v>#N/A</v>
      </c>
      <c r="FR87" s="23" t="e">
        <f>EXP(-LN(2)/25)*FR86+(1-EXP(-LN(2)/25))/(LN(2)/25)*Calculateur!FM87*Calculateur!FO87*VLOOKUP('Données projet'!$B$16,Paramètres!$A$1:$I$88,3,0)*0.475*44/12</f>
        <v>#N/A</v>
      </c>
      <c r="FS87" s="23" t="e">
        <f>EXP(-LN(2)/2)*FS86+(1-EXP(-LN(2)/2))/(LN(2)/2)*FM87*FP87*VLOOKUP('Données projet'!$B$16,Paramètres!$A$1:$I$88,3,0)*0.475*44/12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67.988152004616168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projet'!$B$17,Paramètres!$A$1:$I$88,3,0)*VLOOKUP('Données projet'!$B$17,Paramètres!$A$1:$I$88,5,0)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projet'!$B$17,Paramètres!$A$1:$I$88,7,0))</f>
        <v>0</v>
      </c>
      <c r="GJ87" s="17">
        <f>IF(ISNA(VLOOKUP(A87,'Données projet'!$A$243:$I$263,6,0)),0%,VLOOKUP(A87,'Données projet'!$A$243:$I$263,6,0)*VLOOKUP('Données projet'!$B$17,Paramètres!$A$1:$I$88,7,0))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projet'!$B$17,Paramètres!$A$1:$I$88,3,0)*0.475*44/12</f>
        <v>#N/A</v>
      </c>
      <c r="GM87" s="23" t="e">
        <f>EXP(-LN(2)/25)*GM86+(1-EXP(-LN(2)/25))/(LN(2)/25)*Calculateur!GH87*Calculateur!GJ87*VLOOKUP('Données projet'!$B$17,Paramètres!$A$1:$I$88,3,0)*0.475*44/12</f>
        <v>#N/A</v>
      </c>
      <c r="GN87" s="23" t="e">
        <f>EXP(-LN(2)/2)*GN86+(1-EXP(-LN(2)/2))/(LN(2)/2)*GH87*GK87*VLOOKUP('Données projet'!$B$17,Paramètres!$A$1:$I$88,3,0)*0.475*44/12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67.988152004616168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projet'!$B$18,Paramètres!$A$1:$I$88,3,0)*VLOOKUP('Données projet'!$B$18,Paramètres!$A$1:$I$88,5,0)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projet'!$B$18,Paramètres!$A$1:$I$88,7,0))</f>
        <v>0</v>
      </c>
      <c r="HE87" s="17">
        <f>IF(ISNA(VLOOKUP(A87,'Données projet'!$A$269:$I$289,6,0)),0%,VLOOKUP(A87,'Données projet'!$A$269:$I$289,6,0)*VLOOKUP('Données projet'!$B$18,Paramètres!$A$1:$I$88,7,0))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projet'!$B$18,Paramètres!$A$1:$I$88,3,0)*0.475*44/12</f>
        <v>#N/A</v>
      </c>
      <c r="HH87" s="23" t="e">
        <f>EXP(-LN(2)/25)*HH86+(1-EXP(-LN(2)/25))/(LN(2)/25)*Calculateur!HC87*Calculateur!HE87*VLOOKUP('Données projet'!$B$18,Paramètres!$A$1:$I$88,3,0)*0.475*44/12</f>
        <v>#N/A</v>
      </c>
      <c r="HI87" s="23" t="e">
        <f>EXP(-LN(2)/2)*HI86+(1-EXP(-LN(2)/2))/(LN(2)/2)*HC87*HF87*VLOOKUP('Données projet'!$B$18,Paramètres!$A$1:$I$88,3,0)*0.475*44/12</f>
        <v>#N/A</v>
      </c>
      <c r="HJ87" s="24" t="e">
        <f t="shared" si="84"/>
        <v>#N/A</v>
      </c>
    </row>
    <row r="88" spans="1:218" s="5" customFormat="1" x14ac:dyDescent="0.35">
      <c r="A88" s="11">
        <f t="shared" si="85"/>
        <v>85</v>
      </c>
      <c r="B88" s="77">
        <f>'Scénario référence'!$B$16*5+'Scénario référence'!$B$17*0+'Scénario référence'!$B$18*5</f>
        <v>1.75</v>
      </c>
      <c r="C88" s="20">
        <f>Calculateur!C87+'Scénario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88" s="12">
        <f t="shared" si="86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6.416666666666667</v>
      </c>
      <c r="H88" s="70">
        <f t="shared" si="56"/>
        <v>231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68.023053069517772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3.4106051316484809E-13</v>
      </c>
      <c r="O88" s="14">
        <f>N88*VLOOKUP('Données projet'!$B$9,Paramètres!$A$1:$I$88,3,0)*VLOOKUP('Données projet'!$B$9,Paramètres!$A$1:$I$88,5,0)</f>
        <v>1.9065282685915009E-13</v>
      </c>
      <c r="P88" s="14">
        <f t="shared" si="87"/>
        <v>2.6568987209435707E-12</v>
      </c>
      <c r="Q88" s="22">
        <f t="shared" si="54"/>
        <v>4.959485612423072E-12</v>
      </c>
      <c r="R88" s="62">
        <f t="shared" si="55"/>
        <v>286.0845279215701</v>
      </c>
      <c r="S88" s="62">
        <f ca="1">AVERAGE(OFFSET($R$3,0,0,'Données projet'!$E$9+1,1))-AVERAGE(OFFSET($H$3,0,0,'Données projet'!$E$9+1,1))</f>
        <v>341.05096821796769</v>
      </c>
      <c r="T88" s="62">
        <f t="shared" si="88"/>
        <v>400.72519822215168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projet'!$B$9,Paramètres!$A$1:$I$88,7,0))</f>
        <v>0</v>
      </c>
      <c r="X88" s="17">
        <f>IF(ISNA(VLOOKUP(A88,'Données projet'!$A$35:$I$55,6,0)),0%,VLOOKUP(A88,'Données projet'!$A$35:$I$55,6,0)*VLOOKUP('Données projet'!$B$9,Paramètres!$A$1:$I$88,7,0))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projet'!$B$9,Paramètres!$A$1:$I$88,3,0)*0.475*44/12</f>
        <v>146.05334298202496</v>
      </c>
      <c r="AA88" s="23">
        <f>EXP(-LN(2)/25)*AA87+(1-EXP(-LN(2)/25))/(LN(2)/25)*Calculateur!V88*Calculateur!X88*VLOOKUP('Données projet'!$B$9,Paramètres!$A$1:$I$88,3,0)*0.475*44/12</f>
        <v>66.262184032263562</v>
      </c>
      <c r="AB88" s="23">
        <f>EXP(-LN(2)/2)*AB87+(1-EXP(-LN(2)/2))/(LN(2)/2)*V88*Y88*VLOOKUP('Données projet'!$B$9,Paramètres!$A$1:$I$88,3,0)*0.475*44/12</f>
        <v>0</v>
      </c>
      <c r="AC88" s="24">
        <f t="shared" si="57"/>
        <v>212.31552701428853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68.023053069517772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5.6843418860808015E-14</v>
      </c>
      <c r="AJ88" s="14">
        <f>AI88*VLOOKUP('Données projet'!$B$10,Paramètres!$A$1:$I$88,3,0)*VLOOKUP('Données projet'!$B$10,Paramètres!$A$1:$I$88,5,0)</f>
        <v>3.3992364478763198E-14</v>
      </c>
      <c r="AK88" s="14">
        <f t="shared" si="89"/>
        <v>5.790027782444094E-13</v>
      </c>
      <c r="AL88" s="22">
        <f t="shared" si="58"/>
        <v>1.0676332069095257E-12</v>
      </c>
      <c r="AM88" s="62">
        <f t="shared" si="59"/>
        <v>286.08452792156623</v>
      </c>
      <c r="AN88" s="62">
        <f ca="1">AVERAGE(OFFSET($AM$3,0,0,'Données projet'!$E$10+1,1))-AVERAGE(OFFSET($H$3,0,0,'Données projet'!$E$10+1,1))</f>
        <v>231.96474801342879</v>
      </c>
      <c r="AO88" s="62">
        <f t="shared" si="90"/>
        <v>237.75726086383668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projet'!$B$10,Paramètres!$A$1:$I$88,7,0))</f>
        <v>0</v>
      </c>
      <c r="AS88" s="17">
        <f>IF(ISNA(VLOOKUP(A88,'Données projet'!$A$61:$I$81,6,0)),0%,VLOOKUP(A88,'Données projet'!$A$61:$I$81,6,0)*VLOOKUP('Données projet'!$B$10,Paramètres!$A$1:$I$88,7,0))</f>
        <v>0</v>
      </c>
      <c r="AT88" s="17">
        <f>IF(ISNA(VLOOKUP(A88,'Données projet'!$A$61:$I$81,7,0)),0%,VLOOKUP(A88,'Données projet'!$A$61:$I$81,7,0))</f>
        <v>0</v>
      </c>
      <c r="AU88" s="23">
        <f>EXP(-LN(2)/35)*AU87+(1-EXP(-LN(2)/35))/(LN(2)/35)*AQ88*AR88*VLOOKUP('Données projet'!$B$10,Paramètres!$A$1:$I$88,3,0)*0.475*44/12</f>
        <v>57.596067338014713</v>
      </c>
      <c r="AV88" s="23">
        <f>EXP(-LN(2)/25)*AV87+(1-EXP(-LN(2)/25))/(LN(2)/25)*Calculateur!AQ88*Calculateur!AS88*VLOOKUP('Données projet'!$B$10,Paramètres!$A$1:$I$88,3,0)*0.475*44/12</f>
        <v>27.980844973171447</v>
      </c>
      <c r="AW88" s="23">
        <f>EXP(-LN(2)/2)*AW87+(1-EXP(-LN(2)/2))/(LN(2)/2)*AQ88*AT88*VLOOKUP('Données projet'!$B$10,Paramètres!$A$1:$I$88,3,0)*0.475*44/12</f>
        <v>0</v>
      </c>
      <c r="AX88" s="23">
        <f t="shared" si="60"/>
        <v>85.576912311186163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68.023053069517772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14.2</v>
      </c>
      <c r="BD88" s="13">
        <f>IF('Données projet'!$A$88&gt;35,BD87+BC88-BL87,IF(A88&lt;'Données projet'!$A$88,$BA$205^A88,IF(A88='Données projet'!$A$88,'Données projet'!$B$88,BD87+BC88-BL87)))</f>
        <v>552.8000000000003</v>
      </c>
      <c r="BE88" s="14">
        <f>BD88*VLOOKUP('Données projet'!$B$11,Paramètres!$A$1:$I$88,3,0)*VLOOKUP('Données projet'!$B$11,Paramètres!$A$1:$I$88,5,0)</f>
        <v>258.71040000000011</v>
      </c>
      <c r="BF88" s="14">
        <f t="shared" si="91"/>
        <v>62.447407850003529</v>
      </c>
      <c r="BG88" s="22">
        <f t="shared" si="61"/>
        <v>559.34984867208959</v>
      </c>
      <c r="BH88" s="62">
        <f t="shared" si="62"/>
        <v>845.43437659365475</v>
      </c>
      <c r="BI88" s="62">
        <f ca="1">AVERAGE(OFFSET($BH$3,0,0,'Données projet'!$E$11+1,1))-AVERAGE(OFFSET($H$3,0,0,'Données projet'!$E$11+1,1))</f>
        <v>364.96458059055169</v>
      </c>
      <c r="BJ88" s="62">
        <f t="shared" si="92"/>
        <v>246.27159120786257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projet'!$B$11,Paramètres!$A$1:$I$88,7,0))</f>
        <v>0</v>
      </c>
      <c r="BN88" s="17">
        <f>IF(ISNA(VLOOKUP(A88,'Données projet'!$A$87:$I$107,6,0)),0%,VLOOKUP(A88,'Données projet'!$A$87:$I$107,6,0)*VLOOKUP('Données projet'!$B$11,Paramètres!$A$1:$I$88,7,0))</f>
        <v>0</v>
      </c>
      <c r="BO88" s="17">
        <f>IF(ISNA(VLOOKUP(A88,'Données projet'!$A$87:$I$107,7,0)),0%,VLOOKUP(A88,'Données projet'!$A$87:$I$107,7,0))</f>
        <v>0</v>
      </c>
      <c r="BP88" s="23">
        <f>EXP(-LN(2)/35)*BP87+(1-EXP(-LN(2)/35))/(LN(2)/35)*BL88*BM88*VLOOKUP('Données projet'!$B$11,Paramètres!$A$1:$I$88,3,0)*0.475*44/12</f>
        <v>58.062176380564161</v>
      </c>
      <c r="BQ88" s="23">
        <f>EXP(-LN(2)/25)*BQ87+(1-EXP(-LN(2)/25))/(LN(2)/25)*Calculateur!BL88*Calculateur!BN88*VLOOKUP('Données projet'!$B$11,Paramètres!$A$1:$I$88,3,0)*0.475*44/12</f>
        <v>24.550485911076461</v>
      </c>
      <c r="BR88" s="23">
        <f>EXP(-LN(2)/2)*BR87+(1-EXP(-LN(2)/2))/(LN(2)/2)*BL88*BO88*VLOOKUP('Données projet'!$B$11,Paramètres!$A$1:$I$88,3,0)*0.475*44/12</f>
        <v>0</v>
      </c>
      <c r="BS88" s="24">
        <f t="shared" si="63"/>
        <v>82.612662291640618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68.023053069517772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-1.1368683772161603E-13</v>
      </c>
      <c r="BZ88" s="14">
        <f>BY88*VLOOKUP('Données projet'!$B$12,Paramètres!$A$1:$I$88,3,0)*VLOOKUP('Données projet'!$B$12,Paramètres!$A$1:$I$88,5,0)</f>
        <v>-1.1527845344971866E-13</v>
      </c>
      <c r="CA88" s="14" t="e">
        <f t="shared" si="93"/>
        <v>#NUM!</v>
      </c>
      <c r="CB88" s="22" t="e">
        <f t="shared" si="64"/>
        <v>#NUM!</v>
      </c>
      <c r="CC88" s="62" t="e">
        <f t="shared" si="65"/>
        <v>#NUM!</v>
      </c>
      <c r="CD88" s="62">
        <f ca="1">AVERAGE(OFFSET($CC$3,0,0,'Données projet'!$E$12+1,1))-AVERAGE(OFFSET($H$3,0,0,'Données projet'!$E$12+1,1))</f>
        <v>310.53598044763282</v>
      </c>
      <c r="CE88" s="62">
        <f t="shared" si="94"/>
        <v>322.01096634040596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projet'!$B$12,Paramètres!$A$1:$I$88,7,0))</f>
        <v>0</v>
      </c>
      <c r="CI88" s="17">
        <f>IF(ISNA(VLOOKUP(A88,'Données projet'!$A$113:$I$133,6,0)),0%,VLOOKUP(A88,'Données projet'!$A$113:$I$133,6,0)*VLOOKUP('Données projet'!$B$12,Paramètres!$A$1:$I$88,7,0))</f>
        <v>0</v>
      </c>
      <c r="CJ88" s="17">
        <f>IF(ISNA(VLOOKUP(A88,'Données projet'!$A$113:$I$133,7,0)),0%,VLOOKUP(A88,'Données projet'!$A$113:$I$133,7,0))</f>
        <v>0</v>
      </c>
      <c r="CK88" s="23">
        <f>EXP(-LN(2)/35)*CK87+(1-EXP(-LN(2)/35))/(LN(2)/35)*CG88*CH88*VLOOKUP('Données projet'!$B$12,Paramètres!$A$1:$I$88,3,0)*0.475*44/12</f>
        <v>44.068001759997095</v>
      </c>
      <c r="CL88" s="23">
        <f>EXP(-LN(2)/25)*CL87+(1-EXP(-LN(2)/25))/(LN(2)/25)*Calculateur!CG88*Calculateur!CI88*VLOOKUP('Données projet'!$B$12,Paramètres!$A$1:$I$88,3,0)*0.475*44/12</f>
        <v>0</v>
      </c>
      <c r="CM88" s="23">
        <f>EXP(-LN(2)/2)*CM87+(1-EXP(-LN(2)/2))/(LN(2)/2)*CG88*CJ88*VLOOKUP('Données projet'!$B$12,Paramètres!$A$1:$I$88,3,0)*0.475*44/12</f>
        <v>0</v>
      </c>
      <c r="CN88" s="24">
        <f t="shared" si="66"/>
        <v>44.068001759997095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68.023053069517772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projet'!$B$13,Paramètres!$A$1:$I$88,3,0)*VLOOKUP('Données projet'!$B$13,Paramètres!$A$1:$I$88,5,0)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projet'!$B$13,Paramètres!$A$1:$I$88,7,0))</f>
        <v>0</v>
      </c>
      <c r="DD88" s="17">
        <f>IF(ISNA(VLOOKUP(A88,'Données projet'!$A$139:$I$159,6,0)),0%,VLOOKUP(A88,'Données projet'!$A$139:$I$159,6,0)*VLOOKUP('Données projet'!$B$13,Paramètres!$A$1:$I$88,7,0))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projet'!$B$13,Paramètres!$A$1:$I$88,3,0)*0.475*44/12</f>
        <v>#N/A</v>
      </c>
      <c r="DG88" s="23" t="e">
        <f>EXP(-LN(2)/25)*DG87+(1-EXP(-LN(2)/25))/(LN(2)/25)*Calculateur!DB88*Calculateur!DD88*VLOOKUP('Données projet'!$B$13,Paramètres!$A$1:$I$88,3,0)*0.475*44/12</f>
        <v>#N/A</v>
      </c>
      <c r="DH88" s="23" t="e">
        <f>EXP(-LN(2)/2)*DH87+(1-EXP(-LN(2)/2))/(LN(2)/2)*DB88*DE88*VLOOKUP('Données projet'!$B$13,Paramètres!$A$1:$I$88,3,0)*0.475*44/12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68.023053069517772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projet'!$B$14,Paramètres!$A$1:$I$88,3,0)*VLOOKUP('Données projet'!$B$14,Paramètres!$A$1:$I$88,5,0)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projet'!$B$14,Paramètres!$A$1:$I$88,7,0))</f>
        <v>0</v>
      </c>
      <c r="DY88" s="17">
        <f>IF(ISNA(VLOOKUP(A88,'Données projet'!$A$165:$I$185,6,0)),0%,VLOOKUP(A88,'Données projet'!$A$165:$I$185,6,0)*VLOOKUP('Données projet'!$B$14,Paramètres!$A$1:$I$88,7,0))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projet'!$B$14,Paramètres!$A$1:$I$88,3,0)*0.475*44/12</f>
        <v>#N/A</v>
      </c>
      <c r="EB88" s="23" t="e">
        <f>EXP(-LN(2)/25)*EB87+(1-EXP(-LN(2)/25))/(LN(2)/25)*Calculateur!DW88*Calculateur!DY88*VLOOKUP('Données projet'!$B$14,Paramètres!$A$1:$I$88,3,0)*0.475*44/12</f>
        <v>#N/A</v>
      </c>
      <c r="EC88" s="23" t="e">
        <f>EXP(-LN(2)/2)*EC87+(1-EXP(-LN(2)/2))/(LN(2)/2)*DW88*DZ88*VLOOKUP('Données projet'!$B$14,Paramètres!$A$1:$I$88,3,0)*0.475*44/12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68.023053069517772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projet'!$B$15,Paramètres!$A$1:$I$88,3,0)*VLOOKUP('Données projet'!$B$15,Paramètres!$A$1:$I$88,5,0)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projet'!$B$15,Paramètres!$A$1:$I$88,7,0))</f>
        <v>0</v>
      </c>
      <c r="ET88" s="17">
        <f>IF(ISNA(VLOOKUP(A88,'Données projet'!$A$191:$I$211,6,0)),0%,VLOOKUP(A88,'Données projet'!$A$191:$I$211,6,0)*VLOOKUP('Données projet'!$B$15,Paramètres!$A$1:$I$88,7,0))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projet'!$B$15,Paramètres!$A$1:$I$88,3,0)*0.475*44/12</f>
        <v>#N/A</v>
      </c>
      <c r="EW88" s="23" t="e">
        <f>EXP(-LN(2)/25)*EW87+(1-EXP(-LN(2)/25))/(LN(2)/25)*Calculateur!ER88*Calculateur!ET88*VLOOKUP('Données projet'!$B$15,Paramètres!$A$1:$I$88,3,0)*0.475*44/12</f>
        <v>#N/A</v>
      </c>
      <c r="EX88" s="23" t="e">
        <f>EXP(-LN(2)/2)*EX87+(1-EXP(-LN(2)/2))/(LN(2)/2)*ER88*EU88*VLOOKUP('Données projet'!$B$15,Paramètres!$A$1:$I$88,3,0)*0.475*44/12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68.023053069517772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projet'!$B$16,Paramètres!$A$1:$I$88,3,0)*VLOOKUP('Données projet'!$B$16,Paramètres!$A$1:$I$88,5,0)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projet'!$B$16,Paramètres!$A$1:$I$88,7,0))</f>
        <v>0</v>
      </c>
      <c r="FO88" s="17">
        <f>IF(ISNA(VLOOKUP(A88,'Données projet'!$A$217:$I$237,6,0)),0%,VLOOKUP(A88,'Données projet'!$A$217:$I$237,6,0)*VLOOKUP('Données projet'!$B$16,Paramètres!$A$1:$I$88,7,0))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projet'!$B$16,Paramètres!$A$1:$I$88,3,0)*0.475*44/12</f>
        <v>#N/A</v>
      </c>
      <c r="FR88" s="23" t="e">
        <f>EXP(-LN(2)/25)*FR87+(1-EXP(-LN(2)/25))/(LN(2)/25)*Calculateur!FM88*Calculateur!FO88*VLOOKUP('Données projet'!$B$16,Paramètres!$A$1:$I$88,3,0)*0.475*44/12</f>
        <v>#N/A</v>
      </c>
      <c r="FS88" s="23" t="e">
        <f>EXP(-LN(2)/2)*FS87+(1-EXP(-LN(2)/2))/(LN(2)/2)*FM88*FP88*VLOOKUP('Données projet'!$B$16,Paramètres!$A$1:$I$88,3,0)*0.475*44/12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68.023053069517772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projet'!$B$17,Paramètres!$A$1:$I$88,3,0)*VLOOKUP('Données projet'!$B$17,Paramètres!$A$1:$I$88,5,0)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projet'!$B$17,Paramètres!$A$1:$I$88,7,0))</f>
        <v>0</v>
      </c>
      <c r="GJ88" s="17">
        <f>IF(ISNA(VLOOKUP(A88,'Données projet'!$A$243:$I$263,6,0)),0%,VLOOKUP(A88,'Données projet'!$A$243:$I$263,6,0)*VLOOKUP('Données projet'!$B$17,Paramètres!$A$1:$I$88,7,0))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projet'!$B$17,Paramètres!$A$1:$I$88,3,0)*0.475*44/12</f>
        <v>#N/A</v>
      </c>
      <c r="GM88" s="23" t="e">
        <f>EXP(-LN(2)/25)*GM87+(1-EXP(-LN(2)/25))/(LN(2)/25)*Calculateur!GH88*Calculateur!GJ88*VLOOKUP('Données projet'!$B$17,Paramètres!$A$1:$I$88,3,0)*0.475*44/12</f>
        <v>#N/A</v>
      </c>
      <c r="GN88" s="23" t="e">
        <f>EXP(-LN(2)/2)*GN87+(1-EXP(-LN(2)/2))/(LN(2)/2)*GH88*GK88*VLOOKUP('Données projet'!$B$17,Paramètres!$A$1:$I$88,3,0)*0.475*44/12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68.023053069517772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projet'!$B$18,Paramètres!$A$1:$I$88,3,0)*VLOOKUP('Données projet'!$B$18,Paramètres!$A$1:$I$88,5,0)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projet'!$B$18,Paramètres!$A$1:$I$88,7,0))</f>
        <v>0</v>
      </c>
      <c r="HE88" s="17">
        <f>IF(ISNA(VLOOKUP(A88,'Données projet'!$A$269:$I$289,6,0)),0%,VLOOKUP(A88,'Données projet'!$A$269:$I$289,6,0)*VLOOKUP('Données projet'!$B$18,Paramètres!$A$1:$I$88,7,0))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projet'!$B$18,Paramètres!$A$1:$I$88,3,0)*0.475*44/12</f>
        <v>#N/A</v>
      </c>
      <c r="HH88" s="23" t="e">
        <f>EXP(-LN(2)/25)*HH87+(1-EXP(-LN(2)/25))/(LN(2)/25)*Calculateur!HC88*Calculateur!HE88*VLOOKUP('Données projet'!$B$18,Paramètres!$A$1:$I$88,3,0)*0.475*44/12</f>
        <v>#N/A</v>
      </c>
      <c r="HI88" s="23" t="e">
        <f>EXP(-LN(2)/2)*HI87+(1-EXP(-LN(2)/2))/(LN(2)/2)*HC88*HF88*VLOOKUP('Données projet'!$B$18,Paramètres!$A$1:$I$88,3,0)*0.475*44/12</f>
        <v>#N/A</v>
      </c>
      <c r="HJ88" s="24" t="e">
        <f t="shared" si="84"/>
        <v>#N/A</v>
      </c>
    </row>
    <row r="89" spans="1:218" s="5" customFormat="1" x14ac:dyDescent="0.35">
      <c r="A89" s="11">
        <f t="shared" si="85"/>
        <v>86</v>
      </c>
      <c r="B89" s="77">
        <f>'Scénario référence'!$B$16*5+'Scénario référence'!$B$17*0+'Scénario référence'!$B$18*5</f>
        <v>1.75</v>
      </c>
      <c r="C89" s="20">
        <f>Calculateur!C88+'Scénario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89" s="12">
        <f t="shared" si="86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6.416666666666667</v>
      </c>
      <c r="H89" s="70">
        <f t="shared" si="56"/>
        <v>231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68.057348678970442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3.4106051316484809E-13</v>
      </c>
      <c r="O89" s="14">
        <f>N89*VLOOKUP('Données projet'!$B$9,Paramètres!$A$1:$I$88,3,0)*VLOOKUP('Données projet'!$B$9,Paramètres!$A$1:$I$88,5,0)</f>
        <v>1.9065282685915009E-13</v>
      </c>
      <c r="P89" s="14">
        <f t="shared" si="87"/>
        <v>2.6568987209435707E-12</v>
      </c>
      <c r="Q89" s="22">
        <f t="shared" si="54"/>
        <v>4.959485612423072E-12</v>
      </c>
      <c r="R89" s="62">
        <f t="shared" si="55"/>
        <v>286.21027848956322</v>
      </c>
      <c r="S89" s="62">
        <f ca="1">AVERAGE(OFFSET($R$3,0,0,'Données projet'!$E$9+1,1))-AVERAGE(OFFSET($H$3,0,0,'Données projet'!$E$9+1,1))</f>
        <v>341.05096821796769</v>
      </c>
      <c r="T89" s="62">
        <f t="shared" si="88"/>
        <v>400.72519822215168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projet'!$B$9,Paramètres!$A$1:$I$88,7,0))</f>
        <v>0</v>
      </c>
      <c r="X89" s="17">
        <f>IF(ISNA(VLOOKUP(A89,'Données projet'!$A$35:$I$55,6,0)),0%,VLOOKUP(A89,'Données projet'!$A$35:$I$55,6,0)*VLOOKUP('Données projet'!$B$9,Paramètres!$A$1:$I$88,7,0))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projet'!$B$9,Paramètres!$A$1:$I$88,3,0)*0.475*44/12</f>
        <v>143.18932600989038</v>
      </c>
      <c r="AA89" s="23">
        <f>EXP(-LN(2)/25)*AA88+(1-EXP(-LN(2)/25))/(LN(2)/25)*Calculateur!V89*Calculateur!X89*VLOOKUP('Données projet'!$B$9,Paramètres!$A$1:$I$88,3,0)*0.475*44/12</f>
        <v>64.450241125324496</v>
      </c>
      <c r="AB89" s="23">
        <f>EXP(-LN(2)/2)*AB88+(1-EXP(-LN(2)/2))/(LN(2)/2)*V89*Y89*VLOOKUP('Données projet'!$B$9,Paramètres!$A$1:$I$88,3,0)*0.475*44/12</f>
        <v>0</v>
      </c>
      <c r="AC89" s="24">
        <f t="shared" si="57"/>
        <v>207.63956713521486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68.057348678970442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5.6843418860808015E-14</v>
      </c>
      <c r="AJ89" s="14">
        <f>AI89*VLOOKUP('Données projet'!$B$10,Paramètres!$A$1:$I$88,3,0)*VLOOKUP('Données projet'!$B$10,Paramètres!$A$1:$I$88,5,0)</f>
        <v>3.3992364478763198E-14</v>
      </c>
      <c r="AK89" s="14">
        <f t="shared" si="89"/>
        <v>5.790027782444094E-13</v>
      </c>
      <c r="AL89" s="22">
        <f t="shared" si="58"/>
        <v>1.0676332069095257E-12</v>
      </c>
      <c r="AM89" s="62">
        <f t="shared" si="59"/>
        <v>286.21027848955936</v>
      </c>
      <c r="AN89" s="62">
        <f ca="1">AVERAGE(OFFSET($AM$3,0,0,'Données projet'!$E$10+1,1))-AVERAGE(OFFSET($H$3,0,0,'Données projet'!$E$10+1,1))</f>
        <v>231.96474801342879</v>
      </c>
      <c r="AO89" s="62">
        <f t="shared" si="90"/>
        <v>237.75726086383668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projet'!$B$10,Paramètres!$A$1:$I$88,7,0))</f>
        <v>0</v>
      </c>
      <c r="AS89" s="17">
        <f>IF(ISNA(VLOOKUP(A89,'Données projet'!$A$61:$I$81,6,0)),0%,VLOOKUP(A89,'Données projet'!$A$61:$I$81,6,0)*VLOOKUP('Données projet'!$B$10,Paramètres!$A$1:$I$88,7,0))</f>
        <v>0</v>
      </c>
      <c r="AT89" s="17">
        <f>IF(ISNA(VLOOKUP(A89,'Données projet'!$A$61:$I$81,7,0)),0%,VLOOKUP(A89,'Données projet'!$A$61:$I$81,7,0))</f>
        <v>0</v>
      </c>
      <c r="AU89" s="23">
        <f>EXP(-LN(2)/35)*AU88+(1-EXP(-LN(2)/35))/(LN(2)/35)*AQ89*AR89*VLOOKUP('Données projet'!$B$10,Paramètres!$A$1:$I$88,3,0)*0.475*44/12</f>
        <v>56.466643587648505</v>
      </c>
      <c r="AV89" s="23">
        <f>EXP(-LN(2)/25)*AV88+(1-EXP(-LN(2)/25))/(LN(2)/25)*Calculateur!AQ89*Calculateur!AS89*VLOOKUP('Données projet'!$B$10,Paramètres!$A$1:$I$88,3,0)*0.475*44/12</f>
        <v>27.215707295931388</v>
      </c>
      <c r="AW89" s="23">
        <f>EXP(-LN(2)/2)*AW88+(1-EXP(-LN(2)/2))/(LN(2)/2)*AQ89*AT89*VLOOKUP('Données projet'!$B$10,Paramètres!$A$1:$I$88,3,0)*0.475*44/12</f>
        <v>0</v>
      </c>
      <c r="AX89" s="23">
        <f t="shared" si="60"/>
        <v>83.682350883579886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68.057348678970442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>
        <f>VLOOKUP(A89,'Données projet'!$A$87:$I$107,2,0)</f>
        <v>567</v>
      </c>
      <c r="BB89" s="13">
        <f>VLOOKUP(A89,'Données projet'!$A$87:$I$107,9,0)</f>
        <v>14.2</v>
      </c>
      <c r="BC89" s="13">
        <f t="array" ref="BC89">INDEX(BB:BB,MIN(IF(ISNUMBER(BB89:BB285),ROW(BB89:BB285),"")))</f>
        <v>14.2</v>
      </c>
      <c r="BD89" s="13">
        <f>IF('Données projet'!$A$88&gt;35,BD88+BC89-BL88,IF(A89&lt;'Données projet'!$A$88,$BA$205^A89,IF(A89='Données projet'!$A$88,'Données projet'!$B$88,BD88+BC89-BL88)))</f>
        <v>567.00000000000034</v>
      </c>
      <c r="BE89" s="14">
        <f>BD89*VLOOKUP('Données projet'!$B$11,Paramètres!$A$1:$I$88,3,0)*VLOOKUP('Données projet'!$B$11,Paramètres!$A$1:$I$88,5,0)</f>
        <v>265.35600000000017</v>
      </c>
      <c r="BF89" s="14">
        <f t="shared" si="91"/>
        <v>63.862702309129887</v>
      </c>
      <c r="BG89" s="22">
        <f t="shared" si="61"/>
        <v>573.38923985506824</v>
      </c>
      <c r="BH89" s="62">
        <f t="shared" si="62"/>
        <v>859.59951834462652</v>
      </c>
      <c r="BI89" s="62">
        <f ca="1">AVERAGE(OFFSET($BH$3,0,0,'Données projet'!$E$11+1,1))-AVERAGE(OFFSET($H$3,0,0,'Données projet'!$E$11+1,1))</f>
        <v>364.96458059055169</v>
      </c>
      <c r="BJ89" s="62">
        <f t="shared" si="92"/>
        <v>246.27159120786257</v>
      </c>
      <c r="BK89" s="16">
        <f>IF(ISNA(VLOOKUP(A89,'Données projet'!$A$87:$I$107,3,0)),0,VLOOKUP(A89,'Données projet'!$A$87:$I$107,3,0))</f>
        <v>5</v>
      </c>
      <c r="BL89" s="16">
        <f>IF(ISNA(VLOOKUP(A89,'Données projet'!$A$87:$I$107,4,0)),0,VLOOKUP(A89,'Données projet'!$A$87:$I$107,4,0))</f>
        <v>108</v>
      </c>
      <c r="BM89" s="17">
        <f>IF(ISNA(VLOOKUP(A89,'Données projet'!$A$87:$I$107,5,0)),0%,VLOOKUP(A89,'Données projet'!$A$87:$I$107,5,0)*VLOOKUP('Données projet'!$B$11,Paramètres!$A$1:$I$88,7,0))</f>
        <v>0.38500000000000001</v>
      </c>
      <c r="BN89" s="17">
        <f>IF(ISNA(VLOOKUP(A89,'Données projet'!$A$87:$I$107,6,0)),0%,VLOOKUP(A89,'Données projet'!$A$87:$I$107,6,0)*VLOOKUP('Données projet'!$B$11,Paramètres!$A$1:$I$88,7,0))</f>
        <v>0.16500000000000001</v>
      </c>
      <c r="BO89" s="17">
        <f>IF(ISNA(VLOOKUP(A89,'Données projet'!$A$87:$I$107,7,0)),0%,VLOOKUP(A89,'Données projet'!$A$87:$I$107,7,0))</f>
        <v>0</v>
      </c>
      <c r="BP89" s="23">
        <f>EXP(-LN(2)/35)*BP88+(1-EXP(-LN(2)/35))/(LN(2)/35)*BL89*BM89*VLOOKUP('Données projet'!$B$11,Paramètres!$A$1:$I$88,3,0)*0.475*44/12</f>
        <v>82.737813942930416</v>
      </c>
      <c r="BQ89" s="23">
        <f>EXP(-LN(2)/25)*BQ88+(1-EXP(-LN(2)/25))/(LN(2)/25)*Calculateur!BL89*Calculateur!BN89*VLOOKUP('Données projet'!$B$11,Paramètres!$A$1:$I$88,3,0)*0.475*44/12</f>
        <v>34.898820616966724</v>
      </c>
      <c r="BR89" s="23">
        <f>EXP(-LN(2)/2)*BR88+(1-EXP(-LN(2)/2))/(LN(2)/2)*BL89*BO89*VLOOKUP('Données projet'!$B$11,Paramètres!$A$1:$I$88,3,0)*0.475*44/12</f>
        <v>0</v>
      </c>
      <c r="BS89" s="24">
        <f t="shared" si="63"/>
        <v>117.63663455989715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68.057348678970442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-1.1368683772161603E-13</v>
      </c>
      <c r="BZ89" s="14">
        <f>BY89*VLOOKUP('Données projet'!$B$12,Paramètres!$A$1:$I$88,3,0)*VLOOKUP('Données projet'!$B$12,Paramètres!$A$1:$I$88,5,0)</f>
        <v>-1.1527845344971866E-13</v>
      </c>
      <c r="CA89" s="14" t="e">
        <f t="shared" si="93"/>
        <v>#NUM!</v>
      </c>
      <c r="CB89" s="22" t="e">
        <f t="shared" si="64"/>
        <v>#NUM!</v>
      </c>
      <c r="CC89" s="62" t="e">
        <f t="shared" si="65"/>
        <v>#NUM!</v>
      </c>
      <c r="CD89" s="62">
        <f ca="1">AVERAGE(OFFSET($CC$3,0,0,'Données projet'!$E$12+1,1))-AVERAGE(OFFSET($H$3,0,0,'Données projet'!$E$12+1,1))</f>
        <v>310.53598044763282</v>
      </c>
      <c r="CE89" s="62">
        <f t="shared" si="94"/>
        <v>322.01096634040596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projet'!$B$12,Paramètres!$A$1:$I$88,7,0))</f>
        <v>0</v>
      </c>
      <c r="CI89" s="17">
        <f>IF(ISNA(VLOOKUP(A89,'Données projet'!$A$113:$I$133,6,0)),0%,VLOOKUP(A89,'Données projet'!$A$113:$I$133,6,0)*VLOOKUP('Données projet'!$B$12,Paramètres!$A$1:$I$88,7,0))</f>
        <v>0</v>
      </c>
      <c r="CJ89" s="17">
        <f>IF(ISNA(VLOOKUP(A89,'Données projet'!$A$113:$I$133,7,0)),0%,VLOOKUP(A89,'Données projet'!$A$113:$I$133,7,0))</f>
        <v>0</v>
      </c>
      <c r="CK89" s="23">
        <f>EXP(-LN(2)/35)*CK88+(1-EXP(-LN(2)/35))/(LN(2)/35)*CG89*CH89*VLOOKUP('Données projet'!$B$12,Paramètres!$A$1:$I$88,3,0)*0.475*44/12</f>
        <v>43.203855124310564</v>
      </c>
      <c r="CL89" s="23">
        <f>EXP(-LN(2)/25)*CL88+(1-EXP(-LN(2)/25))/(LN(2)/25)*Calculateur!CG89*Calculateur!CI89*VLOOKUP('Données projet'!$B$12,Paramètres!$A$1:$I$88,3,0)*0.475*44/12</f>
        <v>0</v>
      </c>
      <c r="CM89" s="23">
        <f>EXP(-LN(2)/2)*CM88+(1-EXP(-LN(2)/2))/(LN(2)/2)*CG89*CJ89*VLOOKUP('Données projet'!$B$12,Paramètres!$A$1:$I$88,3,0)*0.475*44/12</f>
        <v>0</v>
      </c>
      <c r="CN89" s="24">
        <f t="shared" si="66"/>
        <v>43.203855124310564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68.057348678970442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projet'!$B$13,Paramètres!$A$1:$I$88,3,0)*VLOOKUP('Données projet'!$B$13,Paramètres!$A$1:$I$88,5,0)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projet'!$B$13,Paramètres!$A$1:$I$88,7,0))</f>
        <v>0</v>
      </c>
      <c r="DD89" s="17">
        <f>IF(ISNA(VLOOKUP(A89,'Données projet'!$A$139:$I$159,6,0)),0%,VLOOKUP(A89,'Données projet'!$A$139:$I$159,6,0)*VLOOKUP('Données projet'!$B$13,Paramètres!$A$1:$I$88,7,0))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projet'!$B$13,Paramètres!$A$1:$I$88,3,0)*0.475*44/12</f>
        <v>#N/A</v>
      </c>
      <c r="DG89" s="23" t="e">
        <f>EXP(-LN(2)/25)*DG88+(1-EXP(-LN(2)/25))/(LN(2)/25)*Calculateur!DB89*Calculateur!DD89*VLOOKUP('Données projet'!$B$13,Paramètres!$A$1:$I$88,3,0)*0.475*44/12</f>
        <v>#N/A</v>
      </c>
      <c r="DH89" s="23" t="e">
        <f>EXP(-LN(2)/2)*DH88+(1-EXP(-LN(2)/2))/(LN(2)/2)*DB89*DE89*VLOOKUP('Données projet'!$B$13,Paramètres!$A$1:$I$88,3,0)*0.475*44/12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68.057348678970442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projet'!$B$14,Paramètres!$A$1:$I$88,3,0)*VLOOKUP('Données projet'!$B$14,Paramètres!$A$1:$I$88,5,0)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projet'!$B$14,Paramètres!$A$1:$I$88,7,0))</f>
        <v>0</v>
      </c>
      <c r="DY89" s="17">
        <f>IF(ISNA(VLOOKUP(A89,'Données projet'!$A$165:$I$185,6,0)),0%,VLOOKUP(A89,'Données projet'!$A$165:$I$185,6,0)*VLOOKUP('Données projet'!$B$14,Paramètres!$A$1:$I$88,7,0))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projet'!$B$14,Paramètres!$A$1:$I$88,3,0)*0.475*44/12</f>
        <v>#N/A</v>
      </c>
      <c r="EB89" s="23" t="e">
        <f>EXP(-LN(2)/25)*EB88+(1-EXP(-LN(2)/25))/(LN(2)/25)*Calculateur!DW89*Calculateur!DY89*VLOOKUP('Données projet'!$B$14,Paramètres!$A$1:$I$88,3,0)*0.475*44/12</f>
        <v>#N/A</v>
      </c>
      <c r="EC89" s="23" t="e">
        <f>EXP(-LN(2)/2)*EC88+(1-EXP(-LN(2)/2))/(LN(2)/2)*DW89*DZ89*VLOOKUP('Données projet'!$B$14,Paramètres!$A$1:$I$88,3,0)*0.475*44/12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68.057348678970442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projet'!$B$15,Paramètres!$A$1:$I$88,3,0)*VLOOKUP('Données projet'!$B$15,Paramètres!$A$1:$I$88,5,0)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projet'!$B$15,Paramètres!$A$1:$I$88,7,0))</f>
        <v>0</v>
      </c>
      <c r="ET89" s="17">
        <f>IF(ISNA(VLOOKUP(A89,'Données projet'!$A$191:$I$211,6,0)),0%,VLOOKUP(A89,'Données projet'!$A$191:$I$211,6,0)*VLOOKUP('Données projet'!$B$15,Paramètres!$A$1:$I$88,7,0))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projet'!$B$15,Paramètres!$A$1:$I$88,3,0)*0.475*44/12</f>
        <v>#N/A</v>
      </c>
      <c r="EW89" s="23" t="e">
        <f>EXP(-LN(2)/25)*EW88+(1-EXP(-LN(2)/25))/(LN(2)/25)*Calculateur!ER89*Calculateur!ET89*VLOOKUP('Données projet'!$B$15,Paramètres!$A$1:$I$88,3,0)*0.475*44/12</f>
        <v>#N/A</v>
      </c>
      <c r="EX89" s="23" t="e">
        <f>EXP(-LN(2)/2)*EX88+(1-EXP(-LN(2)/2))/(LN(2)/2)*ER89*EU89*VLOOKUP('Données projet'!$B$15,Paramètres!$A$1:$I$88,3,0)*0.475*44/12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68.057348678970442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projet'!$B$16,Paramètres!$A$1:$I$88,3,0)*VLOOKUP('Données projet'!$B$16,Paramètres!$A$1:$I$88,5,0)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projet'!$B$16,Paramètres!$A$1:$I$88,7,0))</f>
        <v>0</v>
      </c>
      <c r="FO89" s="17">
        <f>IF(ISNA(VLOOKUP(A89,'Données projet'!$A$217:$I$237,6,0)),0%,VLOOKUP(A89,'Données projet'!$A$217:$I$237,6,0)*VLOOKUP('Données projet'!$B$16,Paramètres!$A$1:$I$88,7,0))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projet'!$B$16,Paramètres!$A$1:$I$88,3,0)*0.475*44/12</f>
        <v>#N/A</v>
      </c>
      <c r="FR89" s="23" t="e">
        <f>EXP(-LN(2)/25)*FR88+(1-EXP(-LN(2)/25))/(LN(2)/25)*Calculateur!FM89*Calculateur!FO89*VLOOKUP('Données projet'!$B$16,Paramètres!$A$1:$I$88,3,0)*0.475*44/12</f>
        <v>#N/A</v>
      </c>
      <c r="FS89" s="23" t="e">
        <f>EXP(-LN(2)/2)*FS88+(1-EXP(-LN(2)/2))/(LN(2)/2)*FM89*FP89*VLOOKUP('Données projet'!$B$16,Paramètres!$A$1:$I$88,3,0)*0.475*44/12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68.057348678970442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projet'!$B$17,Paramètres!$A$1:$I$88,3,0)*VLOOKUP('Données projet'!$B$17,Paramètres!$A$1:$I$88,5,0)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projet'!$B$17,Paramètres!$A$1:$I$88,7,0))</f>
        <v>0</v>
      </c>
      <c r="GJ89" s="17">
        <f>IF(ISNA(VLOOKUP(A89,'Données projet'!$A$243:$I$263,6,0)),0%,VLOOKUP(A89,'Données projet'!$A$243:$I$263,6,0)*VLOOKUP('Données projet'!$B$17,Paramètres!$A$1:$I$88,7,0))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projet'!$B$17,Paramètres!$A$1:$I$88,3,0)*0.475*44/12</f>
        <v>#N/A</v>
      </c>
      <c r="GM89" s="23" t="e">
        <f>EXP(-LN(2)/25)*GM88+(1-EXP(-LN(2)/25))/(LN(2)/25)*Calculateur!GH89*Calculateur!GJ89*VLOOKUP('Données projet'!$B$17,Paramètres!$A$1:$I$88,3,0)*0.475*44/12</f>
        <v>#N/A</v>
      </c>
      <c r="GN89" s="23" t="e">
        <f>EXP(-LN(2)/2)*GN88+(1-EXP(-LN(2)/2))/(LN(2)/2)*GH89*GK89*VLOOKUP('Données projet'!$B$17,Paramètres!$A$1:$I$88,3,0)*0.475*44/12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68.057348678970442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projet'!$B$18,Paramètres!$A$1:$I$88,3,0)*VLOOKUP('Données projet'!$B$18,Paramètres!$A$1:$I$88,5,0)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projet'!$B$18,Paramètres!$A$1:$I$88,7,0))</f>
        <v>0</v>
      </c>
      <c r="HE89" s="17">
        <f>IF(ISNA(VLOOKUP(A89,'Données projet'!$A$269:$I$289,6,0)),0%,VLOOKUP(A89,'Données projet'!$A$269:$I$289,6,0)*VLOOKUP('Données projet'!$B$18,Paramètres!$A$1:$I$88,7,0))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projet'!$B$18,Paramètres!$A$1:$I$88,3,0)*0.475*44/12</f>
        <v>#N/A</v>
      </c>
      <c r="HH89" s="23" t="e">
        <f>EXP(-LN(2)/25)*HH88+(1-EXP(-LN(2)/25))/(LN(2)/25)*Calculateur!HC89*Calculateur!HE89*VLOOKUP('Données projet'!$B$18,Paramètres!$A$1:$I$88,3,0)*0.475*44/12</f>
        <v>#N/A</v>
      </c>
      <c r="HI89" s="23" t="e">
        <f>EXP(-LN(2)/2)*HI88+(1-EXP(-LN(2)/2))/(LN(2)/2)*HC89*HF89*VLOOKUP('Données projet'!$B$18,Paramètres!$A$1:$I$88,3,0)*0.475*44/12</f>
        <v>#N/A</v>
      </c>
      <c r="HJ89" s="24" t="e">
        <f t="shared" si="84"/>
        <v>#N/A</v>
      </c>
    </row>
    <row r="90" spans="1:218" s="5" customFormat="1" x14ac:dyDescent="0.35">
      <c r="A90" s="11">
        <f t="shared" si="85"/>
        <v>87</v>
      </c>
      <c r="B90" s="77">
        <f>'Scénario référence'!$B$16*5+'Scénario référence'!$B$17*0+'Scénario référence'!$B$18*5</f>
        <v>1.75</v>
      </c>
      <c r="C90" s="20">
        <f>Calculateur!C89+'Scénario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90" s="12">
        <f t="shared" si="86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6.416666666666667</v>
      </c>
      <c r="H90" s="70">
        <f t="shared" si="56"/>
        <v>231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68.09104933627259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3.4106051316484809E-13</v>
      </c>
      <c r="O90" s="14">
        <f>N90*VLOOKUP('Données projet'!$B$9,Paramètres!$A$1:$I$88,3,0)*VLOOKUP('Données projet'!$B$9,Paramètres!$A$1:$I$88,5,0)</f>
        <v>1.9065282685915009E-13</v>
      </c>
      <c r="P90" s="14">
        <f t="shared" si="87"/>
        <v>2.6568987209435707E-12</v>
      </c>
      <c r="Q90" s="22">
        <f t="shared" si="54"/>
        <v>4.959485612423072E-12</v>
      </c>
      <c r="R90" s="62">
        <f t="shared" si="55"/>
        <v>286.33384756633779</v>
      </c>
      <c r="S90" s="62">
        <f ca="1">AVERAGE(OFFSET($R$3,0,0,'Données projet'!$E$9+1,1))-AVERAGE(OFFSET($H$3,0,0,'Données projet'!$E$9+1,1))</f>
        <v>341.05096821796769</v>
      </c>
      <c r="T90" s="62">
        <f t="shared" si="88"/>
        <v>400.72519822215168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projet'!$B$9,Paramètres!$A$1:$I$88,7,0))</f>
        <v>0</v>
      </c>
      <c r="X90" s="17">
        <f>IF(ISNA(VLOOKUP(A90,'Données projet'!$A$35:$I$55,6,0)),0%,VLOOKUP(A90,'Données projet'!$A$35:$I$55,6,0)*VLOOKUP('Données projet'!$B$9,Paramètres!$A$1:$I$88,7,0))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projet'!$B$9,Paramètres!$A$1:$I$88,3,0)*0.475*44/12</f>
        <v>140.38147066370149</v>
      </c>
      <c r="AA90" s="23">
        <f>EXP(-LN(2)/25)*AA89+(1-EXP(-LN(2)/25))/(LN(2)/25)*Calculateur!V90*Calculateur!X90*VLOOKUP('Données projet'!$B$9,Paramètres!$A$1:$I$88,3,0)*0.475*44/12</f>
        <v>62.687845892461617</v>
      </c>
      <c r="AB90" s="23">
        <f>EXP(-LN(2)/2)*AB89+(1-EXP(-LN(2)/2))/(LN(2)/2)*V90*Y90*VLOOKUP('Données projet'!$B$9,Paramètres!$A$1:$I$88,3,0)*0.475*44/12</f>
        <v>0</v>
      </c>
      <c r="AC90" s="24">
        <f t="shared" si="57"/>
        <v>203.0693165561631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68.09104933627259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5.6843418860808015E-14</v>
      </c>
      <c r="AJ90" s="14">
        <f>AI90*VLOOKUP('Données projet'!$B$10,Paramètres!$A$1:$I$88,3,0)*VLOOKUP('Données projet'!$B$10,Paramètres!$A$1:$I$88,5,0)</f>
        <v>3.3992364478763198E-14</v>
      </c>
      <c r="AK90" s="14">
        <f t="shared" si="89"/>
        <v>5.790027782444094E-13</v>
      </c>
      <c r="AL90" s="22">
        <f t="shared" si="58"/>
        <v>1.0676332069095257E-12</v>
      </c>
      <c r="AM90" s="62">
        <f t="shared" si="59"/>
        <v>286.33384756633393</v>
      </c>
      <c r="AN90" s="62">
        <f ca="1">AVERAGE(OFFSET($AM$3,0,0,'Données projet'!$E$10+1,1))-AVERAGE(OFFSET($H$3,0,0,'Données projet'!$E$10+1,1))</f>
        <v>231.96474801342879</v>
      </c>
      <c r="AO90" s="62">
        <f t="shared" si="90"/>
        <v>237.75726086383668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projet'!$B$10,Paramètres!$A$1:$I$88,7,0))</f>
        <v>0</v>
      </c>
      <c r="AS90" s="17">
        <f>IF(ISNA(VLOOKUP(A90,'Données projet'!$A$61:$I$81,6,0)),0%,VLOOKUP(A90,'Données projet'!$A$61:$I$81,6,0)*VLOOKUP('Données projet'!$B$10,Paramètres!$A$1:$I$88,7,0))</f>
        <v>0</v>
      </c>
      <c r="AT90" s="17">
        <f>IF(ISNA(VLOOKUP(A90,'Données projet'!$A$61:$I$81,7,0)),0%,VLOOKUP(A90,'Données projet'!$A$61:$I$81,7,0))</f>
        <v>0</v>
      </c>
      <c r="AU90" s="23">
        <f>EXP(-LN(2)/35)*AU89+(1-EXP(-LN(2)/35))/(LN(2)/35)*AQ90*AR90*VLOOKUP('Données projet'!$B$10,Paramètres!$A$1:$I$88,3,0)*0.475*44/12</f>
        <v>55.359367148146518</v>
      </c>
      <c r="AV90" s="23">
        <f>EXP(-LN(2)/25)*AV89+(1-EXP(-LN(2)/25))/(LN(2)/25)*Calculateur!AQ90*Calculateur!AS90*VLOOKUP('Données projet'!$B$10,Paramètres!$A$1:$I$88,3,0)*0.475*44/12</f>
        <v>26.4714923487123</v>
      </c>
      <c r="AW90" s="23">
        <f>EXP(-LN(2)/2)*AW89+(1-EXP(-LN(2)/2))/(LN(2)/2)*AQ90*AT90*VLOOKUP('Données projet'!$B$10,Paramètres!$A$1:$I$88,3,0)*0.475*44/12</f>
        <v>0</v>
      </c>
      <c r="AX90" s="23">
        <f t="shared" si="60"/>
        <v>81.830859496858821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68.09104933627259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13</v>
      </c>
      <c r="BD90" s="13">
        <f>IF('Données projet'!$A$88&gt;35,BD89+BC90-BL89,IF(A90&lt;'Données projet'!$A$88,$BA$205^A90,IF(A90='Données projet'!$A$88,'Données projet'!$B$88,BD89+BC90-BL89)))</f>
        <v>472.00000000000034</v>
      </c>
      <c r="BE90" s="14">
        <f>BD90*VLOOKUP('Données projet'!$B$11,Paramètres!$A$1:$I$88,3,0)*VLOOKUP('Données projet'!$B$11,Paramètres!$A$1:$I$88,5,0)</f>
        <v>220.89600000000019</v>
      </c>
      <c r="BF90" s="14">
        <f t="shared" si="91"/>
        <v>54.309580803412331</v>
      </c>
      <c r="BG90" s="22">
        <f t="shared" si="61"/>
        <v>479.3163865659435</v>
      </c>
      <c r="BH90" s="62">
        <f t="shared" si="62"/>
        <v>765.65023413227641</v>
      </c>
      <c r="BI90" s="62">
        <f ca="1">AVERAGE(OFFSET($BH$3,0,0,'Données projet'!$E$11+1,1))-AVERAGE(OFFSET($H$3,0,0,'Données projet'!$E$11+1,1))</f>
        <v>364.96458059055169</v>
      </c>
      <c r="BJ90" s="62">
        <f t="shared" si="92"/>
        <v>246.27159120786257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projet'!$B$11,Paramètres!$A$1:$I$88,7,0))</f>
        <v>0</v>
      </c>
      <c r="BN90" s="17">
        <f>IF(ISNA(VLOOKUP(A90,'Données projet'!$A$87:$I$107,6,0)),0%,VLOOKUP(A90,'Données projet'!$A$87:$I$107,6,0)*VLOOKUP('Données projet'!$B$11,Paramètres!$A$1:$I$88,7,0))</f>
        <v>0</v>
      </c>
      <c r="BO90" s="17">
        <f>IF(ISNA(VLOOKUP(A90,'Données projet'!$A$87:$I$107,7,0)),0%,VLOOKUP(A90,'Données projet'!$A$87:$I$107,7,0))</f>
        <v>0</v>
      </c>
      <c r="BP90" s="23">
        <f>EXP(-LN(2)/35)*BP89+(1-EXP(-LN(2)/35))/(LN(2)/35)*BL90*BM90*VLOOKUP('Données projet'!$B$11,Paramètres!$A$1:$I$88,3,0)*0.475*44/12</f>
        <v>81.115375876593049</v>
      </c>
      <c r="BQ90" s="23">
        <f>EXP(-LN(2)/25)*BQ89+(1-EXP(-LN(2)/25))/(LN(2)/25)*Calculateur!BL90*Calculateur!BN90*VLOOKUP('Données projet'!$B$11,Paramètres!$A$1:$I$88,3,0)*0.475*44/12</f>
        <v>33.944510531946555</v>
      </c>
      <c r="BR90" s="23">
        <f>EXP(-LN(2)/2)*BR89+(1-EXP(-LN(2)/2))/(LN(2)/2)*BL90*BO90*VLOOKUP('Données projet'!$B$11,Paramètres!$A$1:$I$88,3,0)*0.475*44/12</f>
        <v>0</v>
      </c>
      <c r="BS90" s="24">
        <f t="shared" si="63"/>
        <v>115.0598864085396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68.09104933627259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-1.1368683772161603E-13</v>
      </c>
      <c r="BZ90" s="14">
        <f>BY90*VLOOKUP('Données projet'!$B$12,Paramètres!$A$1:$I$88,3,0)*VLOOKUP('Données projet'!$B$12,Paramètres!$A$1:$I$88,5,0)</f>
        <v>-1.1527845344971866E-13</v>
      </c>
      <c r="CA90" s="14" t="e">
        <f t="shared" si="93"/>
        <v>#NUM!</v>
      </c>
      <c r="CB90" s="22" t="e">
        <f t="shared" si="64"/>
        <v>#NUM!</v>
      </c>
      <c r="CC90" s="62" t="e">
        <f t="shared" si="65"/>
        <v>#NUM!</v>
      </c>
      <c r="CD90" s="62">
        <f ca="1">AVERAGE(OFFSET($CC$3,0,0,'Données projet'!$E$12+1,1))-AVERAGE(OFFSET($H$3,0,0,'Données projet'!$E$12+1,1))</f>
        <v>310.53598044763282</v>
      </c>
      <c r="CE90" s="62">
        <f t="shared" si="94"/>
        <v>322.01096634040596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projet'!$B$12,Paramètres!$A$1:$I$88,7,0))</f>
        <v>0</v>
      </c>
      <c r="CI90" s="17">
        <f>IF(ISNA(VLOOKUP(A90,'Données projet'!$A$113:$I$133,6,0)),0%,VLOOKUP(A90,'Données projet'!$A$113:$I$133,6,0)*VLOOKUP('Données projet'!$B$12,Paramètres!$A$1:$I$88,7,0))</f>
        <v>0</v>
      </c>
      <c r="CJ90" s="17">
        <f>IF(ISNA(VLOOKUP(A90,'Données projet'!$A$113:$I$133,7,0)),0%,VLOOKUP(A90,'Données projet'!$A$113:$I$133,7,0))</f>
        <v>0</v>
      </c>
      <c r="CK90" s="23">
        <f>EXP(-LN(2)/35)*CK89+(1-EXP(-LN(2)/35))/(LN(2)/35)*CG90*CH90*VLOOKUP('Données projet'!$B$12,Paramètres!$A$1:$I$88,3,0)*0.475*44/12</f>
        <v>42.356653877072439</v>
      </c>
      <c r="CL90" s="23">
        <f>EXP(-LN(2)/25)*CL89+(1-EXP(-LN(2)/25))/(LN(2)/25)*Calculateur!CG90*Calculateur!CI90*VLOOKUP('Données projet'!$B$12,Paramètres!$A$1:$I$88,3,0)*0.475*44/12</f>
        <v>0</v>
      </c>
      <c r="CM90" s="23">
        <f>EXP(-LN(2)/2)*CM89+(1-EXP(-LN(2)/2))/(LN(2)/2)*CG90*CJ90*VLOOKUP('Données projet'!$B$12,Paramètres!$A$1:$I$88,3,0)*0.475*44/12</f>
        <v>0</v>
      </c>
      <c r="CN90" s="24">
        <f t="shared" si="66"/>
        <v>42.356653877072439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68.09104933627259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projet'!$B$13,Paramètres!$A$1:$I$88,3,0)*VLOOKUP('Données projet'!$B$13,Paramètres!$A$1:$I$88,5,0)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projet'!$B$13,Paramètres!$A$1:$I$88,7,0))</f>
        <v>0</v>
      </c>
      <c r="DD90" s="17">
        <f>IF(ISNA(VLOOKUP(A90,'Données projet'!$A$139:$I$159,6,0)),0%,VLOOKUP(A90,'Données projet'!$A$139:$I$159,6,0)*VLOOKUP('Données projet'!$B$13,Paramètres!$A$1:$I$88,7,0))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projet'!$B$13,Paramètres!$A$1:$I$88,3,0)*0.475*44/12</f>
        <v>#N/A</v>
      </c>
      <c r="DG90" s="23" t="e">
        <f>EXP(-LN(2)/25)*DG89+(1-EXP(-LN(2)/25))/(LN(2)/25)*Calculateur!DB90*Calculateur!DD90*VLOOKUP('Données projet'!$B$13,Paramètres!$A$1:$I$88,3,0)*0.475*44/12</f>
        <v>#N/A</v>
      </c>
      <c r="DH90" s="23" t="e">
        <f>EXP(-LN(2)/2)*DH89+(1-EXP(-LN(2)/2))/(LN(2)/2)*DB90*DE90*VLOOKUP('Données projet'!$B$13,Paramètres!$A$1:$I$88,3,0)*0.475*44/12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68.09104933627259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projet'!$B$14,Paramètres!$A$1:$I$88,3,0)*VLOOKUP('Données projet'!$B$14,Paramètres!$A$1:$I$88,5,0)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projet'!$B$14,Paramètres!$A$1:$I$88,7,0))</f>
        <v>0</v>
      </c>
      <c r="DY90" s="17">
        <f>IF(ISNA(VLOOKUP(A90,'Données projet'!$A$165:$I$185,6,0)),0%,VLOOKUP(A90,'Données projet'!$A$165:$I$185,6,0)*VLOOKUP('Données projet'!$B$14,Paramètres!$A$1:$I$88,7,0))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projet'!$B$14,Paramètres!$A$1:$I$88,3,0)*0.475*44/12</f>
        <v>#N/A</v>
      </c>
      <c r="EB90" s="23" t="e">
        <f>EXP(-LN(2)/25)*EB89+(1-EXP(-LN(2)/25))/(LN(2)/25)*Calculateur!DW90*Calculateur!DY90*VLOOKUP('Données projet'!$B$14,Paramètres!$A$1:$I$88,3,0)*0.475*44/12</f>
        <v>#N/A</v>
      </c>
      <c r="EC90" s="23" t="e">
        <f>EXP(-LN(2)/2)*EC89+(1-EXP(-LN(2)/2))/(LN(2)/2)*DW90*DZ90*VLOOKUP('Données projet'!$B$14,Paramètres!$A$1:$I$88,3,0)*0.475*44/12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68.09104933627259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projet'!$B$15,Paramètres!$A$1:$I$88,3,0)*VLOOKUP('Données projet'!$B$15,Paramètres!$A$1:$I$88,5,0)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projet'!$B$15,Paramètres!$A$1:$I$88,7,0))</f>
        <v>0</v>
      </c>
      <c r="ET90" s="17">
        <f>IF(ISNA(VLOOKUP(A90,'Données projet'!$A$191:$I$211,6,0)),0%,VLOOKUP(A90,'Données projet'!$A$191:$I$211,6,0)*VLOOKUP('Données projet'!$B$15,Paramètres!$A$1:$I$88,7,0))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projet'!$B$15,Paramètres!$A$1:$I$88,3,0)*0.475*44/12</f>
        <v>#N/A</v>
      </c>
      <c r="EW90" s="23" t="e">
        <f>EXP(-LN(2)/25)*EW89+(1-EXP(-LN(2)/25))/(LN(2)/25)*Calculateur!ER90*Calculateur!ET90*VLOOKUP('Données projet'!$B$15,Paramètres!$A$1:$I$88,3,0)*0.475*44/12</f>
        <v>#N/A</v>
      </c>
      <c r="EX90" s="23" t="e">
        <f>EXP(-LN(2)/2)*EX89+(1-EXP(-LN(2)/2))/(LN(2)/2)*ER90*EU90*VLOOKUP('Données projet'!$B$15,Paramètres!$A$1:$I$88,3,0)*0.475*44/12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68.09104933627259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projet'!$B$16,Paramètres!$A$1:$I$88,3,0)*VLOOKUP('Données projet'!$B$16,Paramètres!$A$1:$I$88,5,0)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projet'!$B$16,Paramètres!$A$1:$I$88,7,0))</f>
        <v>0</v>
      </c>
      <c r="FO90" s="17">
        <f>IF(ISNA(VLOOKUP(A90,'Données projet'!$A$217:$I$237,6,0)),0%,VLOOKUP(A90,'Données projet'!$A$217:$I$237,6,0)*VLOOKUP('Données projet'!$B$16,Paramètres!$A$1:$I$88,7,0))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projet'!$B$16,Paramètres!$A$1:$I$88,3,0)*0.475*44/12</f>
        <v>#N/A</v>
      </c>
      <c r="FR90" s="23" t="e">
        <f>EXP(-LN(2)/25)*FR89+(1-EXP(-LN(2)/25))/(LN(2)/25)*Calculateur!FM90*Calculateur!FO90*VLOOKUP('Données projet'!$B$16,Paramètres!$A$1:$I$88,3,0)*0.475*44/12</f>
        <v>#N/A</v>
      </c>
      <c r="FS90" s="23" t="e">
        <f>EXP(-LN(2)/2)*FS89+(1-EXP(-LN(2)/2))/(LN(2)/2)*FM90*FP90*VLOOKUP('Données projet'!$B$16,Paramètres!$A$1:$I$88,3,0)*0.475*44/12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68.09104933627259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projet'!$B$17,Paramètres!$A$1:$I$88,3,0)*VLOOKUP('Données projet'!$B$17,Paramètres!$A$1:$I$88,5,0)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projet'!$B$17,Paramètres!$A$1:$I$88,7,0))</f>
        <v>0</v>
      </c>
      <c r="GJ90" s="17">
        <f>IF(ISNA(VLOOKUP(A90,'Données projet'!$A$243:$I$263,6,0)),0%,VLOOKUP(A90,'Données projet'!$A$243:$I$263,6,0)*VLOOKUP('Données projet'!$B$17,Paramètres!$A$1:$I$88,7,0))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projet'!$B$17,Paramètres!$A$1:$I$88,3,0)*0.475*44/12</f>
        <v>#N/A</v>
      </c>
      <c r="GM90" s="23" t="e">
        <f>EXP(-LN(2)/25)*GM89+(1-EXP(-LN(2)/25))/(LN(2)/25)*Calculateur!GH90*Calculateur!GJ90*VLOOKUP('Données projet'!$B$17,Paramètres!$A$1:$I$88,3,0)*0.475*44/12</f>
        <v>#N/A</v>
      </c>
      <c r="GN90" s="23" t="e">
        <f>EXP(-LN(2)/2)*GN89+(1-EXP(-LN(2)/2))/(LN(2)/2)*GH90*GK90*VLOOKUP('Données projet'!$B$17,Paramètres!$A$1:$I$88,3,0)*0.475*44/12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68.09104933627259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projet'!$B$18,Paramètres!$A$1:$I$88,3,0)*VLOOKUP('Données projet'!$B$18,Paramètres!$A$1:$I$88,5,0)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projet'!$B$18,Paramètres!$A$1:$I$88,7,0))</f>
        <v>0</v>
      </c>
      <c r="HE90" s="17">
        <f>IF(ISNA(VLOOKUP(A90,'Données projet'!$A$269:$I$289,6,0)),0%,VLOOKUP(A90,'Données projet'!$A$269:$I$289,6,0)*VLOOKUP('Données projet'!$B$18,Paramètres!$A$1:$I$88,7,0))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projet'!$B$18,Paramètres!$A$1:$I$88,3,0)*0.475*44/12</f>
        <v>#N/A</v>
      </c>
      <c r="HH90" s="23" t="e">
        <f>EXP(-LN(2)/25)*HH89+(1-EXP(-LN(2)/25))/(LN(2)/25)*Calculateur!HC90*Calculateur!HE90*VLOOKUP('Données projet'!$B$18,Paramètres!$A$1:$I$88,3,0)*0.475*44/12</f>
        <v>#N/A</v>
      </c>
      <c r="HI90" s="23" t="e">
        <f>EXP(-LN(2)/2)*HI89+(1-EXP(-LN(2)/2))/(LN(2)/2)*HC90*HF90*VLOOKUP('Données projet'!$B$18,Paramètres!$A$1:$I$88,3,0)*0.475*44/12</f>
        <v>#N/A</v>
      </c>
      <c r="HJ90" s="24" t="e">
        <f t="shared" si="84"/>
        <v>#N/A</v>
      </c>
    </row>
    <row r="91" spans="1:218" s="5" customFormat="1" x14ac:dyDescent="0.35">
      <c r="A91" s="11">
        <f t="shared" si="85"/>
        <v>88</v>
      </c>
      <c r="B91" s="77">
        <f>'Scénario référence'!$B$16*5+'Scénario référence'!$B$17*0+'Scénario référence'!$B$18*5</f>
        <v>1.75</v>
      </c>
      <c r="C91" s="20">
        <f>Calculateur!C90+'Scénario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91" s="12">
        <f t="shared" si="86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6.416666666666667</v>
      </c>
      <c r="H91" s="70">
        <f t="shared" si="56"/>
        <v>231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68.124165362513935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3.4106051316484809E-13</v>
      </c>
      <c r="O91" s="14">
        <f>N91*VLOOKUP('Données projet'!$B$9,Paramètres!$A$1:$I$88,3,0)*VLOOKUP('Données projet'!$B$9,Paramètres!$A$1:$I$88,5,0)</f>
        <v>1.9065282685915009E-13</v>
      </c>
      <c r="P91" s="14">
        <f t="shared" si="87"/>
        <v>2.6568987209435707E-12</v>
      </c>
      <c r="Q91" s="22">
        <f t="shared" si="54"/>
        <v>4.959485612423072E-12</v>
      </c>
      <c r="R91" s="62">
        <f t="shared" si="55"/>
        <v>286.45527299588935</v>
      </c>
      <c r="S91" s="62">
        <f ca="1">AVERAGE(OFFSET($R$3,0,0,'Données projet'!$E$9+1,1))-AVERAGE(OFFSET($H$3,0,0,'Données projet'!$E$9+1,1))</f>
        <v>341.05096821796769</v>
      </c>
      <c r="T91" s="62">
        <f t="shared" si="88"/>
        <v>400.72519822215168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projet'!$B$9,Paramètres!$A$1:$I$88,7,0))</f>
        <v>0</v>
      </c>
      <c r="X91" s="17">
        <f>IF(ISNA(VLOOKUP(A91,'Données projet'!$A$35:$I$55,6,0)),0%,VLOOKUP(A91,'Données projet'!$A$35:$I$55,6,0)*VLOOKUP('Données projet'!$B$9,Paramètres!$A$1:$I$88,7,0))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projet'!$B$9,Paramètres!$A$1:$I$88,3,0)*0.475*44/12</f>
        <v>137.62867564822872</v>
      </c>
      <c r="AA91" s="23">
        <f>EXP(-LN(2)/25)*AA90+(1-EXP(-LN(2)/25))/(LN(2)/25)*Calculateur!V91*Calculateur!X91*VLOOKUP('Données projet'!$B$9,Paramètres!$A$1:$I$88,3,0)*0.475*44/12</f>
        <v>60.973643449921717</v>
      </c>
      <c r="AB91" s="23">
        <f>EXP(-LN(2)/2)*AB90+(1-EXP(-LN(2)/2))/(LN(2)/2)*V91*Y91*VLOOKUP('Données projet'!$B$9,Paramètres!$A$1:$I$88,3,0)*0.475*44/12</f>
        <v>0</v>
      </c>
      <c r="AC91" s="24">
        <f t="shared" si="57"/>
        <v>198.60231909815045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68.124165362513935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5.6843418860808015E-14</v>
      </c>
      <c r="AJ91" s="14">
        <f>AI91*VLOOKUP('Données projet'!$B$10,Paramètres!$A$1:$I$88,3,0)*VLOOKUP('Données projet'!$B$10,Paramètres!$A$1:$I$88,5,0)</f>
        <v>3.3992364478763198E-14</v>
      </c>
      <c r="AK91" s="14">
        <f t="shared" si="89"/>
        <v>5.790027782444094E-13</v>
      </c>
      <c r="AL91" s="22">
        <f t="shared" si="58"/>
        <v>1.0676332069095257E-12</v>
      </c>
      <c r="AM91" s="62">
        <f t="shared" si="59"/>
        <v>286.45527299588548</v>
      </c>
      <c r="AN91" s="62">
        <f ca="1">AVERAGE(OFFSET($AM$3,0,0,'Données projet'!$E$10+1,1))-AVERAGE(OFFSET($H$3,0,0,'Données projet'!$E$10+1,1))</f>
        <v>231.96474801342879</v>
      </c>
      <c r="AO91" s="62">
        <f t="shared" si="90"/>
        <v>237.75726086383668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projet'!$B$10,Paramètres!$A$1:$I$88,7,0))</f>
        <v>0</v>
      </c>
      <c r="AS91" s="17">
        <f>IF(ISNA(VLOOKUP(A91,'Données projet'!$A$61:$I$81,6,0)),0%,VLOOKUP(A91,'Données projet'!$A$61:$I$81,6,0)*VLOOKUP('Données projet'!$B$10,Paramètres!$A$1:$I$88,7,0))</f>
        <v>0</v>
      </c>
      <c r="AT91" s="17">
        <f>IF(ISNA(VLOOKUP(A91,'Données projet'!$A$61:$I$81,7,0)),0%,VLOOKUP(A91,'Données projet'!$A$61:$I$81,7,0))</f>
        <v>0</v>
      </c>
      <c r="AU91" s="23">
        <f>EXP(-LN(2)/35)*AU90+(1-EXP(-LN(2)/35))/(LN(2)/35)*AQ91*AR91*VLOOKUP('Données projet'!$B$10,Paramètres!$A$1:$I$88,3,0)*0.475*44/12</f>
        <v>54.273803724251223</v>
      </c>
      <c r="AV91" s="23">
        <f>EXP(-LN(2)/25)*AV90+(1-EXP(-LN(2)/25))/(LN(2)/25)*Calculateur!AQ91*Calculateur!AS91*VLOOKUP('Données projet'!$B$10,Paramètres!$A$1:$I$88,3,0)*0.475*44/12</f>
        <v>25.74762799836148</v>
      </c>
      <c r="AW91" s="23">
        <f>EXP(-LN(2)/2)*AW90+(1-EXP(-LN(2)/2))/(LN(2)/2)*AQ91*AT91*VLOOKUP('Données projet'!$B$10,Paramètres!$A$1:$I$88,3,0)*0.475*44/12</f>
        <v>0</v>
      </c>
      <c r="AX91" s="23">
        <f t="shared" si="60"/>
        <v>80.021431722612704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68.124165362513935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13</v>
      </c>
      <c r="BD91" s="13">
        <f>IF('Données projet'!$A$88&gt;35,BD90+BC91-BL90,IF(A91&lt;'Données projet'!$A$88,$BA$205^A91,IF(A91='Données projet'!$A$88,'Données projet'!$B$88,BD90+BC91-BL90)))</f>
        <v>485.00000000000034</v>
      </c>
      <c r="BE91" s="14">
        <f>BD91*VLOOKUP('Données projet'!$B$11,Paramètres!$A$1:$I$88,3,0)*VLOOKUP('Données projet'!$B$11,Paramètres!$A$1:$I$88,5,0)</f>
        <v>226.98000000000016</v>
      </c>
      <c r="BF91" s="14">
        <f t="shared" si="91"/>
        <v>55.629185455335978</v>
      </c>
      <c r="BG91" s="22">
        <f t="shared" si="61"/>
        <v>492.21099800137716</v>
      </c>
      <c r="BH91" s="62">
        <f t="shared" si="62"/>
        <v>778.66627099726156</v>
      </c>
      <c r="BI91" s="62">
        <f ca="1">AVERAGE(OFFSET($BH$3,0,0,'Données projet'!$E$11+1,1))-AVERAGE(OFFSET($H$3,0,0,'Données projet'!$E$11+1,1))</f>
        <v>364.96458059055169</v>
      </c>
      <c r="BJ91" s="62">
        <f t="shared" si="92"/>
        <v>246.27159120786257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projet'!$B$11,Paramètres!$A$1:$I$88,7,0))</f>
        <v>0</v>
      </c>
      <c r="BN91" s="17">
        <f>IF(ISNA(VLOOKUP(A91,'Données projet'!$A$87:$I$107,6,0)),0%,VLOOKUP(A91,'Données projet'!$A$87:$I$107,6,0)*VLOOKUP('Données projet'!$B$11,Paramètres!$A$1:$I$88,7,0))</f>
        <v>0</v>
      </c>
      <c r="BO91" s="17">
        <f>IF(ISNA(VLOOKUP(A91,'Données projet'!$A$87:$I$107,7,0)),0%,VLOOKUP(A91,'Données projet'!$A$87:$I$107,7,0))</f>
        <v>0</v>
      </c>
      <c r="BP91" s="23">
        <f>EXP(-LN(2)/35)*BP90+(1-EXP(-LN(2)/35))/(LN(2)/35)*BL91*BM91*VLOOKUP('Données projet'!$B$11,Paramètres!$A$1:$I$88,3,0)*0.475*44/12</f>
        <v>79.52475283114704</v>
      </c>
      <c r="BQ91" s="23">
        <f>EXP(-LN(2)/25)*BQ90+(1-EXP(-LN(2)/25))/(LN(2)/25)*Calculateur!BL91*Calculateur!BN91*VLOOKUP('Données projet'!$B$11,Paramètres!$A$1:$I$88,3,0)*0.475*44/12</f>
        <v>33.01629610638625</v>
      </c>
      <c r="BR91" s="23">
        <f>EXP(-LN(2)/2)*BR90+(1-EXP(-LN(2)/2))/(LN(2)/2)*BL91*BO91*VLOOKUP('Données projet'!$B$11,Paramètres!$A$1:$I$88,3,0)*0.475*44/12</f>
        <v>0</v>
      </c>
      <c r="BS91" s="24">
        <f t="shared" si="63"/>
        <v>112.54104893753329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68.124165362513935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-1.1368683772161603E-13</v>
      </c>
      <c r="BZ91" s="14">
        <f>BY91*VLOOKUP('Données projet'!$B$12,Paramètres!$A$1:$I$88,3,0)*VLOOKUP('Données projet'!$B$12,Paramètres!$A$1:$I$88,5,0)</f>
        <v>-1.1527845344971866E-13</v>
      </c>
      <c r="CA91" s="14" t="e">
        <f t="shared" si="93"/>
        <v>#NUM!</v>
      </c>
      <c r="CB91" s="22" t="e">
        <f t="shared" si="64"/>
        <v>#NUM!</v>
      </c>
      <c r="CC91" s="62" t="e">
        <f t="shared" si="65"/>
        <v>#NUM!</v>
      </c>
      <c r="CD91" s="62">
        <f ca="1">AVERAGE(OFFSET($CC$3,0,0,'Données projet'!$E$12+1,1))-AVERAGE(OFFSET($H$3,0,0,'Données projet'!$E$12+1,1))</f>
        <v>310.53598044763282</v>
      </c>
      <c r="CE91" s="62">
        <f t="shared" si="94"/>
        <v>322.01096634040596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projet'!$B$12,Paramètres!$A$1:$I$88,7,0))</f>
        <v>0</v>
      </c>
      <c r="CI91" s="17">
        <f>IF(ISNA(VLOOKUP(A91,'Données projet'!$A$113:$I$133,6,0)),0%,VLOOKUP(A91,'Données projet'!$A$113:$I$133,6,0)*VLOOKUP('Données projet'!$B$12,Paramètres!$A$1:$I$88,7,0))</f>
        <v>0</v>
      </c>
      <c r="CJ91" s="17">
        <f>IF(ISNA(VLOOKUP(A91,'Données projet'!$A$113:$I$133,7,0)),0%,VLOOKUP(A91,'Données projet'!$A$113:$I$133,7,0))</f>
        <v>0</v>
      </c>
      <c r="CK91" s="23">
        <f>EXP(-LN(2)/35)*CK90+(1-EXP(-LN(2)/35))/(LN(2)/35)*CG91*CH91*VLOOKUP('Données projet'!$B$12,Paramètres!$A$1:$I$88,3,0)*0.475*44/12</f>
        <v>41.526065729550922</v>
      </c>
      <c r="CL91" s="23">
        <f>EXP(-LN(2)/25)*CL90+(1-EXP(-LN(2)/25))/(LN(2)/25)*Calculateur!CG91*Calculateur!CI91*VLOOKUP('Données projet'!$B$12,Paramètres!$A$1:$I$88,3,0)*0.475*44/12</f>
        <v>0</v>
      </c>
      <c r="CM91" s="23">
        <f>EXP(-LN(2)/2)*CM90+(1-EXP(-LN(2)/2))/(LN(2)/2)*CG91*CJ91*VLOOKUP('Données projet'!$B$12,Paramètres!$A$1:$I$88,3,0)*0.475*44/12</f>
        <v>0</v>
      </c>
      <c r="CN91" s="24">
        <f t="shared" si="66"/>
        <v>41.526065729550922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68.124165362513935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projet'!$B$13,Paramètres!$A$1:$I$88,3,0)*VLOOKUP('Données projet'!$B$13,Paramètres!$A$1:$I$88,5,0)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projet'!$B$13,Paramètres!$A$1:$I$88,7,0))</f>
        <v>0</v>
      </c>
      <c r="DD91" s="17">
        <f>IF(ISNA(VLOOKUP(A91,'Données projet'!$A$139:$I$159,6,0)),0%,VLOOKUP(A91,'Données projet'!$A$139:$I$159,6,0)*VLOOKUP('Données projet'!$B$13,Paramètres!$A$1:$I$88,7,0))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projet'!$B$13,Paramètres!$A$1:$I$88,3,0)*0.475*44/12</f>
        <v>#N/A</v>
      </c>
      <c r="DG91" s="23" t="e">
        <f>EXP(-LN(2)/25)*DG90+(1-EXP(-LN(2)/25))/(LN(2)/25)*Calculateur!DB91*Calculateur!DD91*VLOOKUP('Données projet'!$B$13,Paramètres!$A$1:$I$88,3,0)*0.475*44/12</f>
        <v>#N/A</v>
      </c>
      <c r="DH91" s="23" t="e">
        <f>EXP(-LN(2)/2)*DH90+(1-EXP(-LN(2)/2))/(LN(2)/2)*DB91*DE91*VLOOKUP('Données projet'!$B$13,Paramètres!$A$1:$I$88,3,0)*0.475*44/12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68.124165362513935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projet'!$B$14,Paramètres!$A$1:$I$88,3,0)*VLOOKUP('Données projet'!$B$14,Paramètres!$A$1:$I$88,5,0)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projet'!$B$14,Paramètres!$A$1:$I$88,7,0))</f>
        <v>0</v>
      </c>
      <c r="DY91" s="17">
        <f>IF(ISNA(VLOOKUP(A91,'Données projet'!$A$165:$I$185,6,0)),0%,VLOOKUP(A91,'Données projet'!$A$165:$I$185,6,0)*VLOOKUP('Données projet'!$B$14,Paramètres!$A$1:$I$88,7,0))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projet'!$B$14,Paramètres!$A$1:$I$88,3,0)*0.475*44/12</f>
        <v>#N/A</v>
      </c>
      <c r="EB91" s="23" t="e">
        <f>EXP(-LN(2)/25)*EB90+(1-EXP(-LN(2)/25))/(LN(2)/25)*Calculateur!DW91*Calculateur!DY91*VLOOKUP('Données projet'!$B$14,Paramètres!$A$1:$I$88,3,0)*0.475*44/12</f>
        <v>#N/A</v>
      </c>
      <c r="EC91" s="23" t="e">
        <f>EXP(-LN(2)/2)*EC90+(1-EXP(-LN(2)/2))/(LN(2)/2)*DW91*DZ91*VLOOKUP('Données projet'!$B$14,Paramètres!$A$1:$I$88,3,0)*0.475*44/12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68.124165362513935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projet'!$B$15,Paramètres!$A$1:$I$88,3,0)*VLOOKUP('Données projet'!$B$15,Paramètres!$A$1:$I$88,5,0)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projet'!$B$15,Paramètres!$A$1:$I$88,7,0))</f>
        <v>0</v>
      </c>
      <c r="ET91" s="17">
        <f>IF(ISNA(VLOOKUP(A91,'Données projet'!$A$191:$I$211,6,0)),0%,VLOOKUP(A91,'Données projet'!$A$191:$I$211,6,0)*VLOOKUP('Données projet'!$B$15,Paramètres!$A$1:$I$88,7,0))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projet'!$B$15,Paramètres!$A$1:$I$88,3,0)*0.475*44/12</f>
        <v>#N/A</v>
      </c>
      <c r="EW91" s="23" t="e">
        <f>EXP(-LN(2)/25)*EW90+(1-EXP(-LN(2)/25))/(LN(2)/25)*Calculateur!ER91*Calculateur!ET91*VLOOKUP('Données projet'!$B$15,Paramètres!$A$1:$I$88,3,0)*0.475*44/12</f>
        <v>#N/A</v>
      </c>
      <c r="EX91" s="23" t="e">
        <f>EXP(-LN(2)/2)*EX90+(1-EXP(-LN(2)/2))/(LN(2)/2)*ER91*EU91*VLOOKUP('Données projet'!$B$15,Paramètres!$A$1:$I$88,3,0)*0.475*44/12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68.124165362513935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projet'!$B$16,Paramètres!$A$1:$I$88,3,0)*VLOOKUP('Données projet'!$B$16,Paramètres!$A$1:$I$88,5,0)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projet'!$B$16,Paramètres!$A$1:$I$88,7,0))</f>
        <v>0</v>
      </c>
      <c r="FO91" s="17">
        <f>IF(ISNA(VLOOKUP(A91,'Données projet'!$A$217:$I$237,6,0)),0%,VLOOKUP(A91,'Données projet'!$A$217:$I$237,6,0)*VLOOKUP('Données projet'!$B$16,Paramètres!$A$1:$I$88,7,0))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projet'!$B$16,Paramètres!$A$1:$I$88,3,0)*0.475*44/12</f>
        <v>#N/A</v>
      </c>
      <c r="FR91" s="23" t="e">
        <f>EXP(-LN(2)/25)*FR90+(1-EXP(-LN(2)/25))/(LN(2)/25)*Calculateur!FM91*Calculateur!FO91*VLOOKUP('Données projet'!$B$16,Paramètres!$A$1:$I$88,3,0)*0.475*44/12</f>
        <v>#N/A</v>
      </c>
      <c r="FS91" s="23" t="e">
        <f>EXP(-LN(2)/2)*FS90+(1-EXP(-LN(2)/2))/(LN(2)/2)*FM91*FP91*VLOOKUP('Données projet'!$B$16,Paramètres!$A$1:$I$88,3,0)*0.475*44/12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68.124165362513935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projet'!$B$17,Paramètres!$A$1:$I$88,3,0)*VLOOKUP('Données projet'!$B$17,Paramètres!$A$1:$I$88,5,0)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projet'!$B$17,Paramètres!$A$1:$I$88,7,0))</f>
        <v>0</v>
      </c>
      <c r="GJ91" s="17">
        <f>IF(ISNA(VLOOKUP(A91,'Données projet'!$A$243:$I$263,6,0)),0%,VLOOKUP(A91,'Données projet'!$A$243:$I$263,6,0)*VLOOKUP('Données projet'!$B$17,Paramètres!$A$1:$I$88,7,0))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projet'!$B$17,Paramètres!$A$1:$I$88,3,0)*0.475*44/12</f>
        <v>#N/A</v>
      </c>
      <c r="GM91" s="23" t="e">
        <f>EXP(-LN(2)/25)*GM90+(1-EXP(-LN(2)/25))/(LN(2)/25)*Calculateur!GH91*Calculateur!GJ91*VLOOKUP('Données projet'!$B$17,Paramètres!$A$1:$I$88,3,0)*0.475*44/12</f>
        <v>#N/A</v>
      </c>
      <c r="GN91" s="23" t="e">
        <f>EXP(-LN(2)/2)*GN90+(1-EXP(-LN(2)/2))/(LN(2)/2)*GH91*GK91*VLOOKUP('Données projet'!$B$17,Paramètres!$A$1:$I$88,3,0)*0.475*44/12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68.124165362513935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projet'!$B$18,Paramètres!$A$1:$I$88,3,0)*VLOOKUP('Données projet'!$B$18,Paramètres!$A$1:$I$88,5,0)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projet'!$B$18,Paramètres!$A$1:$I$88,7,0))</f>
        <v>0</v>
      </c>
      <c r="HE91" s="17">
        <f>IF(ISNA(VLOOKUP(A91,'Données projet'!$A$269:$I$289,6,0)),0%,VLOOKUP(A91,'Données projet'!$A$269:$I$289,6,0)*VLOOKUP('Données projet'!$B$18,Paramètres!$A$1:$I$88,7,0))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projet'!$B$18,Paramètres!$A$1:$I$88,3,0)*0.475*44/12</f>
        <v>#N/A</v>
      </c>
      <c r="HH91" s="23" t="e">
        <f>EXP(-LN(2)/25)*HH90+(1-EXP(-LN(2)/25))/(LN(2)/25)*Calculateur!HC91*Calculateur!HE91*VLOOKUP('Données projet'!$B$18,Paramètres!$A$1:$I$88,3,0)*0.475*44/12</f>
        <v>#N/A</v>
      </c>
      <c r="HI91" s="23" t="e">
        <f>EXP(-LN(2)/2)*HI90+(1-EXP(-LN(2)/2))/(LN(2)/2)*HC91*HF91*VLOOKUP('Données projet'!$B$18,Paramètres!$A$1:$I$88,3,0)*0.475*44/12</f>
        <v>#N/A</v>
      </c>
      <c r="HJ91" s="24" t="e">
        <f t="shared" si="84"/>
        <v>#N/A</v>
      </c>
    </row>
    <row r="92" spans="1:218" s="5" customFormat="1" x14ac:dyDescent="0.35">
      <c r="A92" s="11">
        <f t="shared" si="85"/>
        <v>89</v>
      </c>
      <c r="B92" s="77">
        <f>'Scénario référence'!$B$16*5+'Scénario référence'!$B$17*0+'Scénario référence'!$B$18*5</f>
        <v>1.75</v>
      </c>
      <c r="C92" s="20">
        <f>Calculateur!C91+'Scénario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92" s="12">
        <f t="shared" si="86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6.416666666666667</v>
      </c>
      <c r="H92" s="70">
        <f t="shared" si="56"/>
        <v>231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68.156706899736349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3.4106051316484809E-13</v>
      </c>
      <c r="O92" s="14">
        <f>N92*VLOOKUP('Données projet'!$B$9,Paramètres!$A$1:$I$88,3,0)*VLOOKUP('Données projet'!$B$9,Paramètres!$A$1:$I$88,5,0)</f>
        <v>1.9065282685915009E-13</v>
      </c>
      <c r="P92" s="14">
        <f t="shared" si="87"/>
        <v>2.6568987209435707E-12</v>
      </c>
      <c r="Q92" s="22">
        <f t="shared" si="54"/>
        <v>4.959485612423072E-12</v>
      </c>
      <c r="R92" s="62">
        <f t="shared" si="55"/>
        <v>286.57459196570488</v>
      </c>
      <c r="S92" s="62">
        <f ca="1">AVERAGE(OFFSET($R$3,0,0,'Données projet'!$E$9+1,1))-AVERAGE(OFFSET($H$3,0,0,'Données projet'!$E$9+1,1))</f>
        <v>341.05096821796769</v>
      </c>
      <c r="T92" s="62">
        <f t="shared" si="88"/>
        <v>400.72519822215168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projet'!$B$9,Paramètres!$A$1:$I$88,7,0))</f>
        <v>0</v>
      </c>
      <c r="X92" s="17">
        <f>IF(ISNA(VLOOKUP(A92,'Données projet'!$A$35:$I$55,6,0)),0%,VLOOKUP(A92,'Données projet'!$A$35:$I$55,6,0)*VLOOKUP('Données projet'!$B$9,Paramètres!$A$1:$I$88,7,0))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projet'!$B$9,Paramètres!$A$1:$I$88,3,0)*0.475*44/12</f>
        <v>134.9298612639702</v>
      </c>
      <c r="AA92" s="23">
        <f>EXP(-LN(2)/25)*AA91+(1-EXP(-LN(2)/25))/(LN(2)/25)*Calculateur!V92*Calculateur!X92*VLOOKUP('Données projet'!$B$9,Paramètres!$A$1:$I$88,3,0)*0.475*44/12</f>
        <v>59.306315963319058</v>
      </c>
      <c r="AB92" s="23">
        <f>EXP(-LN(2)/2)*AB91+(1-EXP(-LN(2)/2))/(LN(2)/2)*V92*Y92*VLOOKUP('Données projet'!$B$9,Paramètres!$A$1:$I$88,3,0)*0.475*44/12</f>
        <v>0</v>
      </c>
      <c r="AC92" s="24">
        <f t="shared" si="57"/>
        <v>194.23617722728926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68.156706899736349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5.6843418860808015E-14</v>
      </c>
      <c r="AJ92" s="14">
        <f>AI92*VLOOKUP('Données projet'!$B$10,Paramètres!$A$1:$I$88,3,0)*VLOOKUP('Données projet'!$B$10,Paramètres!$A$1:$I$88,5,0)</f>
        <v>3.3992364478763198E-14</v>
      </c>
      <c r="AK92" s="14">
        <f t="shared" si="89"/>
        <v>5.790027782444094E-13</v>
      </c>
      <c r="AL92" s="22">
        <f t="shared" si="58"/>
        <v>1.0676332069095257E-12</v>
      </c>
      <c r="AM92" s="62">
        <f t="shared" si="59"/>
        <v>286.57459196570102</v>
      </c>
      <c r="AN92" s="62">
        <f ca="1">AVERAGE(OFFSET($AM$3,0,0,'Données projet'!$E$10+1,1))-AVERAGE(OFFSET($H$3,0,0,'Données projet'!$E$10+1,1))</f>
        <v>231.96474801342879</v>
      </c>
      <c r="AO92" s="62">
        <f t="shared" si="90"/>
        <v>237.75726086383668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projet'!$B$10,Paramètres!$A$1:$I$88,7,0))</f>
        <v>0</v>
      </c>
      <c r="AS92" s="17">
        <f>IF(ISNA(VLOOKUP(A92,'Données projet'!$A$61:$I$81,6,0)),0%,VLOOKUP(A92,'Données projet'!$A$61:$I$81,6,0)*VLOOKUP('Données projet'!$B$10,Paramètres!$A$1:$I$88,7,0))</f>
        <v>0</v>
      </c>
      <c r="AT92" s="17">
        <f>IF(ISNA(VLOOKUP(A92,'Données projet'!$A$61:$I$81,7,0)),0%,VLOOKUP(A92,'Données projet'!$A$61:$I$81,7,0))</f>
        <v>0</v>
      </c>
      <c r="AU92" s="23">
        <f>EXP(-LN(2)/35)*AU91+(1-EXP(-LN(2)/35))/(LN(2)/35)*AQ92*AR92*VLOOKUP('Données projet'!$B$10,Paramètres!$A$1:$I$88,3,0)*0.475*44/12</f>
        <v>53.209527536970207</v>
      </c>
      <c r="AV92" s="23">
        <f>EXP(-LN(2)/25)*AV91+(1-EXP(-LN(2)/25))/(LN(2)/25)*Calculateur!AQ92*Calculateur!AS92*VLOOKUP('Données projet'!$B$10,Paramètres!$A$1:$I$88,3,0)*0.475*44/12</f>
        <v>25.043557756737375</v>
      </c>
      <c r="AW92" s="23">
        <f>EXP(-LN(2)/2)*AW91+(1-EXP(-LN(2)/2))/(LN(2)/2)*AQ92*AT92*VLOOKUP('Données projet'!$B$10,Paramètres!$A$1:$I$88,3,0)*0.475*44/12</f>
        <v>0</v>
      </c>
      <c r="AX92" s="23">
        <f t="shared" si="60"/>
        <v>78.253085293707585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68.156706899736349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13</v>
      </c>
      <c r="BD92" s="13">
        <f>IF('Données projet'!$A$88&gt;35,BD91+BC92-BL91,IF(A92&lt;'Données projet'!$A$88,$BA$205^A92,IF(A92='Données projet'!$A$88,'Données projet'!$B$88,BD91+BC92-BL91)))</f>
        <v>498.00000000000034</v>
      </c>
      <c r="BE92" s="14">
        <f>BD92*VLOOKUP('Données projet'!$B$11,Paramètres!$A$1:$I$88,3,0)*VLOOKUP('Données projet'!$B$11,Paramètres!$A$1:$I$88,5,0)</f>
        <v>233.06400000000016</v>
      </c>
      <c r="BF92" s="14">
        <f t="shared" si="91"/>
        <v>56.944678836622806</v>
      </c>
      <c r="BG92" s="22">
        <f t="shared" si="61"/>
        <v>505.09844897378497</v>
      </c>
      <c r="BH92" s="62">
        <f t="shared" si="62"/>
        <v>791.67304093948496</v>
      </c>
      <c r="BI92" s="62">
        <f ca="1">AVERAGE(OFFSET($BH$3,0,0,'Données projet'!$E$11+1,1))-AVERAGE(OFFSET($H$3,0,0,'Données projet'!$E$11+1,1))</f>
        <v>364.96458059055169</v>
      </c>
      <c r="BJ92" s="62">
        <f t="shared" si="92"/>
        <v>246.27159120786257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projet'!$B$11,Paramètres!$A$1:$I$88,7,0))</f>
        <v>0</v>
      </c>
      <c r="BN92" s="17">
        <f>IF(ISNA(VLOOKUP(A92,'Données projet'!$A$87:$I$107,6,0)),0%,VLOOKUP(A92,'Données projet'!$A$87:$I$107,6,0)*VLOOKUP('Données projet'!$B$11,Paramètres!$A$1:$I$88,7,0))</f>
        <v>0</v>
      </c>
      <c r="BO92" s="17">
        <f>IF(ISNA(VLOOKUP(A92,'Données projet'!$A$87:$I$107,7,0)),0%,VLOOKUP(A92,'Données projet'!$A$87:$I$107,7,0))</f>
        <v>0</v>
      </c>
      <c r="BP92" s="23">
        <f>EXP(-LN(2)/35)*BP91+(1-EXP(-LN(2)/35))/(LN(2)/35)*BL92*BM92*VLOOKUP('Données projet'!$B$11,Paramètres!$A$1:$I$88,3,0)*0.475*44/12</f>
        <v>77.965320933437965</v>
      </c>
      <c r="BQ92" s="23">
        <f>EXP(-LN(2)/25)*BQ91+(1-EXP(-LN(2)/25))/(LN(2)/25)*Calculateur!BL92*Calculateur!BN92*VLOOKUP('Données projet'!$B$11,Paramètres!$A$1:$I$88,3,0)*0.475*44/12</f>
        <v>32.113463753105563</v>
      </c>
      <c r="BR92" s="23">
        <f>EXP(-LN(2)/2)*BR91+(1-EXP(-LN(2)/2))/(LN(2)/2)*BL92*BO92*VLOOKUP('Données projet'!$B$11,Paramètres!$A$1:$I$88,3,0)*0.475*44/12</f>
        <v>0</v>
      </c>
      <c r="BS92" s="24">
        <f t="shared" si="63"/>
        <v>110.07878468654353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68.156706899736349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-1.1368683772161603E-13</v>
      </c>
      <c r="BZ92" s="14">
        <f>BY92*VLOOKUP('Données projet'!$B$12,Paramètres!$A$1:$I$88,3,0)*VLOOKUP('Données projet'!$B$12,Paramètres!$A$1:$I$88,5,0)</f>
        <v>-1.1527845344971866E-13</v>
      </c>
      <c r="CA92" s="14" t="e">
        <f t="shared" si="93"/>
        <v>#NUM!</v>
      </c>
      <c r="CB92" s="22" t="e">
        <f t="shared" si="64"/>
        <v>#NUM!</v>
      </c>
      <c r="CC92" s="62" t="e">
        <f t="shared" si="65"/>
        <v>#NUM!</v>
      </c>
      <c r="CD92" s="62">
        <f ca="1">AVERAGE(OFFSET($CC$3,0,0,'Données projet'!$E$12+1,1))-AVERAGE(OFFSET($H$3,0,0,'Données projet'!$E$12+1,1))</f>
        <v>310.53598044763282</v>
      </c>
      <c r="CE92" s="62">
        <f t="shared" si="94"/>
        <v>322.01096634040596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projet'!$B$12,Paramètres!$A$1:$I$88,7,0))</f>
        <v>0</v>
      </c>
      <c r="CI92" s="17">
        <f>IF(ISNA(VLOOKUP(A92,'Données projet'!$A$113:$I$133,6,0)),0%,VLOOKUP(A92,'Données projet'!$A$113:$I$133,6,0)*VLOOKUP('Données projet'!$B$12,Paramètres!$A$1:$I$88,7,0))</f>
        <v>0</v>
      </c>
      <c r="CJ92" s="17">
        <f>IF(ISNA(VLOOKUP(A92,'Données projet'!$A$113:$I$133,7,0)),0%,VLOOKUP(A92,'Données projet'!$A$113:$I$133,7,0))</f>
        <v>0</v>
      </c>
      <c r="CK92" s="23">
        <f>EXP(-LN(2)/35)*CK91+(1-EXP(-LN(2)/35))/(LN(2)/35)*CG92*CH92*VLOOKUP('Données projet'!$B$12,Paramètres!$A$1:$I$88,3,0)*0.475*44/12</f>
        <v>40.711764908993551</v>
      </c>
      <c r="CL92" s="23">
        <f>EXP(-LN(2)/25)*CL91+(1-EXP(-LN(2)/25))/(LN(2)/25)*Calculateur!CG92*Calculateur!CI92*VLOOKUP('Données projet'!$B$12,Paramètres!$A$1:$I$88,3,0)*0.475*44/12</f>
        <v>0</v>
      </c>
      <c r="CM92" s="23">
        <f>EXP(-LN(2)/2)*CM91+(1-EXP(-LN(2)/2))/(LN(2)/2)*CG92*CJ92*VLOOKUP('Données projet'!$B$12,Paramètres!$A$1:$I$88,3,0)*0.475*44/12</f>
        <v>0</v>
      </c>
      <c r="CN92" s="24">
        <f t="shared" si="66"/>
        <v>40.711764908993551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68.156706899736349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projet'!$B$13,Paramètres!$A$1:$I$88,3,0)*VLOOKUP('Données projet'!$B$13,Paramètres!$A$1:$I$88,5,0)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projet'!$B$13,Paramètres!$A$1:$I$88,7,0))</f>
        <v>0</v>
      </c>
      <c r="DD92" s="17">
        <f>IF(ISNA(VLOOKUP(A92,'Données projet'!$A$139:$I$159,6,0)),0%,VLOOKUP(A92,'Données projet'!$A$139:$I$159,6,0)*VLOOKUP('Données projet'!$B$13,Paramètres!$A$1:$I$88,7,0))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projet'!$B$13,Paramètres!$A$1:$I$88,3,0)*0.475*44/12</f>
        <v>#N/A</v>
      </c>
      <c r="DG92" s="23" t="e">
        <f>EXP(-LN(2)/25)*DG91+(1-EXP(-LN(2)/25))/(LN(2)/25)*Calculateur!DB92*Calculateur!DD92*VLOOKUP('Données projet'!$B$13,Paramètres!$A$1:$I$88,3,0)*0.475*44/12</f>
        <v>#N/A</v>
      </c>
      <c r="DH92" s="23" t="e">
        <f>EXP(-LN(2)/2)*DH91+(1-EXP(-LN(2)/2))/(LN(2)/2)*DB92*DE92*VLOOKUP('Données projet'!$B$13,Paramètres!$A$1:$I$88,3,0)*0.475*44/12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68.156706899736349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projet'!$B$14,Paramètres!$A$1:$I$88,3,0)*VLOOKUP('Données projet'!$B$14,Paramètres!$A$1:$I$88,5,0)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projet'!$B$14,Paramètres!$A$1:$I$88,7,0))</f>
        <v>0</v>
      </c>
      <c r="DY92" s="17">
        <f>IF(ISNA(VLOOKUP(A92,'Données projet'!$A$165:$I$185,6,0)),0%,VLOOKUP(A92,'Données projet'!$A$165:$I$185,6,0)*VLOOKUP('Données projet'!$B$14,Paramètres!$A$1:$I$88,7,0))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projet'!$B$14,Paramètres!$A$1:$I$88,3,0)*0.475*44/12</f>
        <v>#N/A</v>
      </c>
      <c r="EB92" s="23" t="e">
        <f>EXP(-LN(2)/25)*EB91+(1-EXP(-LN(2)/25))/(LN(2)/25)*Calculateur!DW92*Calculateur!DY92*VLOOKUP('Données projet'!$B$14,Paramètres!$A$1:$I$88,3,0)*0.475*44/12</f>
        <v>#N/A</v>
      </c>
      <c r="EC92" s="23" t="e">
        <f>EXP(-LN(2)/2)*EC91+(1-EXP(-LN(2)/2))/(LN(2)/2)*DW92*DZ92*VLOOKUP('Données projet'!$B$14,Paramètres!$A$1:$I$88,3,0)*0.475*44/12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68.156706899736349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projet'!$B$15,Paramètres!$A$1:$I$88,3,0)*VLOOKUP('Données projet'!$B$15,Paramètres!$A$1:$I$88,5,0)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projet'!$B$15,Paramètres!$A$1:$I$88,7,0))</f>
        <v>0</v>
      </c>
      <c r="ET92" s="17">
        <f>IF(ISNA(VLOOKUP(A92,'Données projet'!$A$191:$I$211,6,0)),0%,VLOOKUP(A92,'Données projet'!$A$191:$I$211,6,0)*VLOOKUP('Données projet'!$B$15,Paramètres!$A$1:$I$88,7,0))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projet'!$B$15,Paramètres!$A$1:$I$88,3,0)*0.475*44/12</f>
        <v>#N/A</v>
      </c>
      <c r="EW92" s="23" t="e">
        <f>EXP(-LN(2)/25)*EW91+(1-EXP(-LN(2)/25))/(LN(2)/25)*Calculateur!ER92*Calculateur!ET92*VLOOKUP('Données projet'!$B$15,Paramètres!$A$1:$I$88,3,0)*0.475*44/12</f>
        <v>#N/A</v>
      </c>
      <c r="EX92" s="23" t="e">
        <f>EXP(-LN(2)/2)*EX91+(1-EXP(-LN(2)/2))/(LN(2)/2)*ER92*EU92*VLOOKUP('Données projet'!$B$15,Paramètres!$A$1:$I$88,3,0)*0.475*44/12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68.156706899736349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projet'!$B$16,Paramètres!$A$1:$I$88,3,0)*VLOOKUP('Données projet'!$B$16,Paramètres!$A$1:$I$88,5,0)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projet'!$B$16,Paramètres!$A$1:$I$88,7,0))</f>
        <v>0</v>
      </c>
      <c r="FO92" s="17">
        <f>IF(ISNA(VLOOKUP(A92,'Données projet'!$A$217:$I$237,6,0)),0%,VLOOKUP(A92,'Données projet'!$A$217:$I$237,6,0)*VLOOKUP('Données projet'!$B$16,Paramètres!$A$1:$I$88,7,0))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projet'!$B$16,Paramètres!$A$1:$I$88,3,0)*0.475*44/12</f>
        <v>#N/A</v>
      </c>
      <c r="FR92" s="23" t="e">
        <f>EXP(-LN(2)/25)*FR91+(1-EXP(-LN(2)/25))/(LN(2)/25)*Calculateur!FM92*Calculateur!FO92*VLOOKUP('Données projet'!$B$16,Paramètres!$A$1:$I$88,3,0)*0.475*44/12</f>
        <v>#N/A</v>
      </c>
      <c r="FS92" s="23" t="e">
        <f>EXP(-LN(2)/2)*FS91+(1-EXP(-LN(2)/2))/(LN(2)/2)*FM92*FP92*VLOOKUP('Données projet'!$B$16,Paramètres!$A$1:$I$88,3,0)*0.475*44/12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68.156706899736349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projet'!$B$17,Paramètres!$A$1:$I$88,3,0)*VLOOKUP('Données projet'!$B$17,Paramètres!$A$1:$I$88,5,0)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projet'!$B$17,Paramètres!$A$1:$I$88,7,0))</f>
        <v>0</v>
      </c>
      <c r="GJ92" s="17">
        <f>IF(ISNA(VLOOKUP(A92,'Données projet'!$A$243:$I$263,6,0)),0%,VLOOKUP(A92,'Données projet'!$A$243:$I$263,6,0)*VLOOKUP('Données projet'!$B$17,Paramètres!$A$1:$I$88,7,0))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projet'!$B$17,Paramètres!$A$1:$I$88,3,0)*0.475*44/12</f>
        <v>#N/A</v>
      </c>
      <c r="GM92" s="23" t="e">
        <f>EXP(-LN(2)/25)*GM91+(1-EXP(-LN(2)/25))/(LN(2)/25)*Calculateur!GH92*Calculateur!GJ92*VLOOKUP('Données projet'!$B$17,Paramètres!$A$1:$I$88,3,0)*0.475*44/12</f>
        <v>#N/A</v>
      </c>
      <c r="GN92" s="23" t="e">
        <f>EXP(-LN(2)/2)*GN91+(1-EXP(-LN(2)/2))/(LN(2)/2)*GH92*GK92*VLOOKUP('Données projet'!$B$17,Paramètres!$A$1:$I$88,3,0)*0.475*44/12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68.156706899736349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projet'!$B$18,Paramètres!$A$1:$I$88,3,0)*VLOOKUP('Données projet'!$B$18,Paramètres!$A$1:$I$88,5,0)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projet'!$B$18,Paramètres!$A$1:$I$88,7,0))</f>
        <v>0</v>
      </c>
      <c r="HE92" s="17">
        <f>IF(ISNA(VLOOKUP(A92,'Données projet'!$A$269:$I$289,6,0)),0%,VLOOKUP(A92,'Données projet'!$A$269:$I$289,6,0)*VLOOKUP('Données projet'!$B$18,Paramètres!$A$1:$I$88,7,0))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projet'!$B$18,Paramètres!$A$1:$I$88,3,0)*0.475*44/12</f>
        <v>#N/A</v>
      </c>
      <c r="HH92" s="23" t="e">
        <f>EXP(-LN(2)/25)*HH91+(1-EXP(-LN(2)/25))/(LN(2)/25)*Calculateur!HC92*Calculateur!HE92*VLOOKUP('Données projet'!$B$18,Paramètres!$A$1:$I$88,3,0)*0.475*44/12</f>
        <v>#N/A</v>
      </c>
      <c r="HI92" s="23" t="e">
        <f>EXP(-LN(2)/2)*HI91+(1-EXP(-LN(2)/2))/(LN(2)/2)*HC92*HF92*VLOOKUP('Données projet'!$B$18,Paramètres!$A$1:$I$88,3,0)*0.475*44/12</f>
        <v>#N/A</v>
      </c>
      <c r="HJ92" s="24" t="e">
        <f t="shared" si="84"/>
        <v>#N/A</v>
      </c>
    </row>
    <row r="93" spans="1:218" s="5" customFormat="1" x14ac:dyDescent="0.35">
      <c r="A93" s="11">
        <f t="shared" si="85"/>
        <v>90</v>
      </c>
      <c r="B93" s="77">
        <f>'Scénario référence'!$B$16*5+'Scénario référence'!$B$17*0+'Scénario référence'!$B$18*5</f>
        <v>1.75</v>
      </c>
      <c r="C93" s="20">
        <f>Calculateur!C92+'Scénario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93" s="12">
        <f t="shared" si="86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6.416666666666667</v>
      </c>
      <c r="H93" s="70">
        <f t="shared" si="56"/>
        <v>231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68.188683914039913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3.4106051316484809E-13</v>
      </c>
      <c r="O93" s="14">
        <f>N93*VLOOKUP('Données projet'!$B$9,Paramètres!$A$1:$I$88,3,0)*VLOOKUP('Données projet'!$B$9,Paramètres!$A$1:$I$88,5,0)</f>
        <v>1.9065282685915009E-13</v>
      </c>
      <c r="P93" s="14">
        <f t="shared" si="87"/>
        <v>2.6568987209435707E-12</v>
      </c>
      <c r="Q93" s="22">
        <f t="shared" si="54"/>
        <v>4.959485612423072E-12</v>
      </c>
      <c r="R93" s="62">
        <f t="shared" si="55"/>
        <v>286.69184101815131</v>
      </c>
      <c r="S93" s="62">
        <f ca="1">AVERAGE(OFFSET($R$3,0,0,'Données projet'!$E$9+1,1))-AVERAGE(OFFSET($H$3,0,0,'Données projet'!$E$9+1,1))</f>
        <v>341.05096821796769</v>
      </c>
      <c r="T93" s="62">
        <f t="shared" si="88"/>
        <v>400.72519822215168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projet'!$B$9,Paramètres!$A$1:$I$88,7,0))</f>
        <v>0</v>
      </c>
      <c r="X93" s="17">
        <f>IF(ISNA(VLOOKUP(A93,'Données projet'!$A$35:$I$55,6,0)),0%,VLOOKUP(A93,'Données projet'!$A$35:$I$55,6,0)*VLOOKUP('Données projet'!$B$9,Paramètres!$A$1:$I$88,7,0))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projet'!$B$9,Paramètres!$A$1:$I$88,3,0)*0.475*44/12</f>
        <v>132.28396898367276</v>
      </c>
      <c r="AA93" s="23">
        <f>EXP(-LN(2)/25)*AA92+(1-EXP(-LN(2)/25))/(LN(2)/25)*Calculateur!V93*Calculateur!X93*VLOOKUP('Données projet'!$B$9,Paramètres!$A$1:$I$88,3,0)*0.475*44/12</f>
        <v>57.684581634518487</v>
      </c>
      <c r="AB93" s="23">
        <f>EXP(-LN(2)/2)*AB92+(1-EXP(-LN(2)/2))/(LN(2)/2)*V93*Y93*VLOOKUP('Données projet'!$B$9,Paramètres!$A$1:$I$88,3,0)*0.475*44/12</f>
        <v>0</v>
      </c>
      <c r="AC93" s="24">
        <f t="shared" si="57"/>
        <v>189.96855061819124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68.188683914039913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5.6843418860808015E-14</v>
      </c>
      <c r="AJ93" s="14">
        <f>AI93*VLOOKUP('Données projet'!$B$10,Paramètres!$A$1:$I$88,3,0)*VLOOKUP('Données projet'!$B$10,Paramètres!$A$1:$I$88,5,0)</f>
        <v>3.3992364478763198E-14</v>
      </c>
      <c r="AK93" s="14">
        <f t="shared" si="89"/>
        <v>5.790027782444094E-13</v>
      </c>
      <c r="AL93" s="22">
        <f t="shared" si="58"/>
        <v>1.0676332069095257E-12</v>
      </c>
      <c r="AM93" s="62">
        <f t="shared" si="59"/>
        <v>286.69184101814744</v>
      </c>
      <c r="AN93" s="62">
        <f ca="1">AVERAGE(OFFSET($AM$3,0,0,'Données projet'!$E$10+1,1))-AVERAGE(OFFSET($H$3,0,0,'Données projet'!$E$10+1,1))</f>
        <v>231.96474801342879</v>
      </c>
      <c r="AO93" s="62">
        <f t="shared" si="90"/>
        <v>237.75726086383668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projet'!$B$10,Paramètres!$A$1:$I$88,7,0))</f>
        <v>0</v>
      </c>
      <c r="AS93" s="17">
        <f>IF(ISNA(VLOOKUP(A93,'Données projet'!$A$61:$I$81,6,0)),0%,VLOOKUP(A93,'Données projet'!$A$61:$I$81,6,0)*VLOOKUP('Données projet'!$B$10,Paramètres!$A$1:$I$88,7,0))</f>
        <v>0</v>
      </c>
      <c r="AT93" s="17">
        <f>IF(ISNA(VLOOKUP(A93,'Données projet'!$A$61:$I$81,7,0)),0%,VLOOKUP(A93,'Données projet'!$A$61:$I$81,7,0))</f>
        <v>0</v>
      </c>
      <c r="AU93" s="23">
        <f>EXP(-LN(2)/35)*AU92+(1-EXP(-LN(2)/35))/(LN(2)/35)*AQ93*AR93*VLOOKUP('Données projet'!$B$10,Paramètres!$A$1:$I$88,3,0)*0.475*44/12</f>
        <v>52.16612115657739</v>
      </c>
      <c r="AV93" s="23">
        <f>EXP(-LN(2)/25)*AV92+(1-EXP(-LN(2)/25))/(LN(2)/25)*Calculateur!AQ93*Calculateur!AS93*VLOOKUP('Données projet'!$B$10,Paramètres!$A$1:$I$88,3,0)*0.475*44/12</f>
        <v>24.358740352895925</v>
      </c>
      <c r="AW93" s="23">
        <f>EXP(-LN(2)/2)*AW92+(1-EXP(-LN(2)/2))/(LN(2)/2)*AQ93*AT93*VLOOKUP('Données projet'!$B$10,Paramètres!$A$1:$I$88,3,0)*0.475*44/12</f>
        <v>0</v>
      </c>
      <c r="AX93" s="23">
        <f t="shared" si="60"/>
        <v>76.524861509473311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68.188683914039913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13</v>
      </c>
      <c r="BD93" s="13">
        <f>IF('Données projet'!$A$88&gt;35,BD92+BC93-BL92,IF(A93&lt;'Données projet'!$A$88,$BA$205^A93,IF(A93='Données projet'!$A$88,'Données projet'!$B$88,BD92+BC93-BL92)))</f>
        <v>511.00000000000034</v>
      </c>
      <c r="BE93" s="14">
        <f>BD93*VLOOKUP('Données projet'!$B$11,Paramètres!$A$1:$I$88,3,0)*VLOOKUP('Données projet'!$B$11,Paramètres!$A$1:$I$88,5,0)</f>
        <v>239.14800000000017</v>
      </c>
      <c r="BF93" s="14">
        <f t="shared" si="91"/>
        <v>58.256180607577839</v>
      </c>
      <c r="BG93" s="22">
        <f t="shared" si="61"/>
        <v>517.97894789153167</v>
      </c>
      <c r="BH93" s="62">
        <f t="shared" si="62"/>
        <v>804.67078890967809</v>
      </c>
      <c r="BI93" s="62">
        <f ca="1">AVERAGE(OFFSET($BH$3,0,0,'Données projet'!$E$11+1,1))-AVERAGE(OFFSET($H$3,0,0,'Données projet'!$E$11+1,1))</f>
        <v>364.96458059055169</v>
      </c>
      <c r="BJ93" s="62">
        <f t="shared" si="92"/>
        <v>246.27159120786257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projet'!$B$11,Paramètres!$A$1:$I$88,7,0))</f>
        <v>0</v>
      </c>
      <c r="BN93" s="17">
        <f>IF(ISNA(VLOOKUP(A93,'Données projet'!$A$87:$I$107,6,0)),0%,VLOOKUP(A93,'Données projet'!$A$87:$I$107,6,0)*VLOOKUP('Données projet'!$B$11,Paramètres!$A$1:$I$88,7,0))</f>
        <v>0</v>
      </c>
      <c r="BO93" s="17">
        <f>IF(ISNA(VLOOKUP(A93,'Données projet'!$A$87:$I$107,7,0)),0%,VLOOKUP(A93,'Données projet'!$A$87:$I$107,7,0))</f>
        <v>0</v>
      </c>
      <c r="BP93" s="23">
        <f>EXP(-LN(2)/35)*BP92+(1-EXP(-LN(2)/35))/(LN(2)/35)*BL93*BM93*VLOOKUP('Données projet'!$B$11,Paramètres!$A$1:$I$88,3,0)*0.475*44/12</f>
        <v>76.436468544083439</v>
      </c>
      <c r="BQ93" s="23">
        <f>EXP(-LN(2)/25)*BQ92+(1-EXP(-LN(2)/25))/(LN(2)/25)*Calculateur!BL93*Calculateur!BN93*VLOOKUP('Données projet'!$B$11,Paramètres!$A$1:$I$88,3,0)*0.475*44/12</f>
        <v>31.235319398003227</v>
      </c>
      <c r="BR93" s="23">
        <f>EXP(-LN(2)/2)*BR92+(1-EXP(-LN(2)/2))/(LN(2)/2)*BL93*BO93*VLOOKUP('Données projet'!$B$11,Paramètres!$A$1:$I$88,3,0)*0.475*44/12</f>
        <v>0</v>
      </c>
      <c r="BS93" s="24">
        <f t="shared" si="63"/>
        <v>107.67178794208667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68.188683914039913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-1.1368683772161603E-13</v>
      </c>
      <c r="BZ93" s="14">
        <f>BY93*VLOOKUP('Données projet'!$B$12,Paramètres!$A$1:$I$88,3,0)*VLOOKUP('Données projet'!$B$12,Paramètres!$A$1:$I$88,5,0)</f>
        <v>-1.1527845344971866E-13</v>
      </c>
      <c r="CA93" s="14" t="e">
        <f t="shared" si="93"/>
        <v>#NUM!</v>
      </c>
      <c r="CB93" s="22" t="e">
        <f t="shared" si="64"/>
        <v>#NUM!</v>
      </c>
      <c r="CC93" s="62" t="e">
        <f t="shared" si="65"/>
        <v>#NUM!</v>
      </c>
      <c r="CD93" s="62">
        <f ca="1">AVERAGE(OFFSET($CC$3,0,0,'Données projet'!$E$12+1,1))-AVERAGE(OFFSET($H$3,0,0,'Données projet'!$E$12+1,1))</f>
        <v>310.53598044763282</v>
      </c>
      <c r="CE93" s="62">
        <f t="shared" si="94"/>
        <v>322.01096634040596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projet'!$B$12,Paramètres!$A$1:$I$88,7,0))</f>
        <v>0</v>
      </c>
      <c r="CI93" s="17">
        <f>IF(ISNA(VLOOKUP(A93,'Données projet'!$A$113:$I$133,6,0)),0%,VLOOKUP(A93,'Données projet'!$A$113:$I$133,6,0)*VLOOKUP('Données projet'!$B$12,Paramètres!$A$1:$I$88,7,0))</f>
        <v>0</v>
      </c>
      <c r="CJ93" s="17">
        <f>IF(ISNA(VLOOKUP(A93,'Données projet'!$A$113:$I$133,7,0)),0%,VLOOKUP(A93,'Données projet'!$A$113:$I$133,7,0))</f>
        <v>0</v>
      </c>
      <c r="CK93" s="23">
        <f>EXP(-LN(2)/35)*CK92+(1-EXP(-LN(2)/35))/(LN(2)/35)*CG93*CH93*VLOOKUP('Données projet'!$B$12,Paramètres!$A$1:$I$88,3,0)*0.475*44/12</f>
        <v>39.913432030852853</v>
      </c>
      <c r="CL93" s="23">
        <f>EXP(-LN(2)/25)*CL92+(1-EXP(-LN(2)/25))/(LN(2)/25)*Calculateur!CG93*Calculateur!CI93*VLOOKUP('Données projet'!$B$12,Paramètres!$A$1:$I$88,3,0)*0.475*44/12</f>
        <v>0</v>
      </c>
      <c r="CM93" s="23">
        <f>EXP(-LN(2)/2)*CM92+(1-EXP(-LN(2)/2))/(LN(2)/2)*CG93*CJ93*VLOOKUP('Données projet'!$B$12,Paramètres!$A$1:$I$88,3,0)*0.475*44/12</f>
        <v>0</v>
      </c>
      <c r="CN93" s="24">
        <f t="shared" si="66"/>
        <v>39.913432030852853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68.188683914039913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projet'!$B$13,Paramètres!$A$1:$I$88,3,0)*VLOOKUP('Données projet'!$B$13,Paramètres!$A$1:$I$88,5,0)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projet'!$B$13,Paramètres!$A$1:$I$88,7,0))</f>
        <v>0</v>
      </c>
      <c r="DD93" s="17">
        <f>IF(ISNA(VLOOKUP(A93,'Données projet'!$A$139:$I$159,6,0)),0%,VLOOKUP(A93,'Données projet'!$A$139:$I$159,6,0)*VLOOKUP('Données projet'!$B$13,Paramètres!$A$1:$I$88,7,0))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projet'!$B$13,Paramètres!$A$1:$I$88,3,0)*0.475*44/12</f>
        <v>#N/A</v>
      </c>
      <c r="DG93" s="23" t="e">
        <f>EXP(-LN(2)/25)*DG92+(1-EXP(-LN(2)/25))/(LN(2)/25)*Calculateur!DB93*Calculateur!DD93*VLOOKUP('Données projet'!$B$13,Paramètres!$A$1:$I$88,3,0)*0.475*44/12</f>
        <v>#N/A</v>
      </c>
      <c r="DH93" s="23" t="e">
        <f>EXP(-LN(2)/2)*DH92+(1-EXP(-LN(2)/2))/(LN(2)/2)*DB93*DE93*VLOOKUP('Données projet'!$B$13,Paramètres!$A$1:$I$88,3,0)*0.475*44/12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68.188683914039913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projet'!$B$14,Paramètres!$A$1:$I$88,3,0)*VLOOKUP('Données projet'!$B$14,Paramètres!$A$1:$I$88,5,0)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projet'!$B$14,Paramètres!$A$1:$I$88,7,0))</f>
        <v>0</v>
      </c>
      <c r="DY93" s="17">
        <f>IF(ISNA(VLOOKUP(A93,'Données projet'!$A$165:$I$185,6,0)),0%,VLOOKUP(A93,'Données projet'!$A$165:$I$185,6,0)*VLOOKUP('Données projet'!$B$14,Paramètres!$A$1:$I$88,7,0))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projet'!$B$14,Paramètres!$A$1:$I$88,3,0)*0.475*44/12</f>
        <v>#N/A</v>
      </c>
      <c r="EB93" s="23" t="e">
        <f>EXP(-LN(2)/25)*EB92+(1-EXP(-LN(2)/25))/(LN(2)/25)*Calculateur!DW93*Calculateur!DY93*VLOOKUP('Données projet'!$B$14,Paramètres!$A$1:$I$88,3,0)*0.475*44/12</f>
        <v>#N/A</v>
      </c>
      <c r="EC93" s="23" t="e">
        <f>EXP(-LN(2)/2)*EC92+(1-EXP(-LN(2)/2))/(LN(2)/2)*DW93*DZ93*VLOOKUP('Données projet'!$B$14,Paramètres!$A$1:$I$88,3,0)*0.475*44/12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68.188683914039913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projet'!$B$15,Paramètres!$A$1:$I$88,3,0)*VLOOKUP('Données projet'!$B$15,Paramètres!$A$1:$I$88,5,0)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projet'!$B$15,Paramètres!$A$1:$I$88,7,0))</f>
        <v>0</v>
      </c>
      <c r="ET93" s="17">
        <f>IF(ISNA(VLOOKUP(A93,'Données projet'!$A$191:$I$211,6,0)),0%,VLOOKUP(A93,'Données projet'!$A$191:$I$211,6,0)*VLOOKUP('Données projet'!$B$15,Paramètres!$A$1:$I$88,7,0))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projet'!$B$15,Paramètres!$A$1:$I$88,3,0)*0.475*44/12</f>
        <v>#N/A</v>
      </c>
      <c r="EW93" s="23" t="e">
        <f>EXP(-LN(2)/25)*EW92+(1-EXP(-LN(2)/25))/(LN(2)/25)*Calculateur!ER93*Calculateur!ET93*VLOOKUP('Données projet'!$B$15,Paramètres!$A$1:$I$88,3,0)*0.475*44/12</f>
        <v>#N/A</v>
      </c>
      <c r="EX93" s="23" t="e">
        <f>EXP(-LN(2)/2)*EX92+(1-EXP(-LN(2)/2))/(LN(2)/2)*ER93*EU93*VLOOKUP('Données projet'!$B$15,Paramètres!$A$1:$I$88,3,0)*0.475*44/12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68.188683914039913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projet'!$B$16,Paramètres!$A$1:$I$88,3,0)*VLOOKUP('Données projet'!$B$16,Paramètres!$A$1:$I$88,5,0)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projet'!$B$16,Paramètres!$A$1:$I$88,7,0))</f>
        <v>0</v>
      </c>
      <c r="FO93" s="17">
        <f>IF(ISNA(VLOOKUP(A93,'Données projet'!$A$217:$I$237,6,0)),0%,VLOOKUP(A93,'Données projet'!$A$217:$I$237,6,0)*VLOOKUP('Données projet'!$B$16,Paramètres!$A$1:$I$88,7,0))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projet'!$B$16,Paramètres!$A$1:$I$88,3,0)*0.475*44/12</f>
        <v>#N/A</v>
      </c>
      <c r="FR93" s="23" t="e">
        <f>EXP(-LN(2)/25)*FR92+(1-EXP(-LN(2)/25))/(LN(2)/25)*Calculateur!FM93*Calculateur!FO93*VLOOKUP('Données projet'!$B$16,Paramètres!$A$1:$I$88,3,0)*0.475*44/12</f>
        <v>#N/A</v>
      </c>
      <c r="FS93" s="23" t="e">
        <f>EXP(-LN(2)/2)*FS92+(1-EXP(-LN(2)/2))/(LN(2)/2)*FM93*FP93*VLOOKUP('Données projet'!$B$16,Paramètres!$A$1:$I$88,3,0)*0.475*44/12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68.188683914039913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projet'!$B$17,Paramètres!$A$1:$I$88,3,0)*VLOOKUP('Données projet'!$B$17,Paramètres!$A$1:$I$88,5,0)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projet'!$B$17,Paramètres!$A$1:$I$88,7,0))</f>
        <v>0</v>
      </c>
      <c r="GJ93" s="17">
        <f>IF(ISNA(VLOOKUP(A93,'Données projet'!$A$243:$I$263,6,0)),0%,VLOOKUP(A93,'Données projet'!$A$243:$I$263,6,0)*VLOOKUP('Données projet'!$B$17,Paramètres!$A$1:$I$88,7,0))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projet'!$B$17,Paramètres!$A$1:$I$88,3,0)*0.475*44/12</f>
        <v>#N/A</v>
      </c>
      <c r="GM93" s="23" t="e">
        <f>EXP(-LN(2)/25)*GM92+(1-EXP(-LN(2)/25))/(LN(2)/25)*Calculateur!GH93*Calculateur!GJ93*VLOOKUP('Données projet'!$B$17,Paramètres!$A$1:$I$88,3,0)*0.475*44/12</f>
        <v>#N/A</v>
      </c>
      <c r="GN93" s="23" t="e">
        <f>EXP(-LN(2)/2)*GN92+(1-EXP(-LN(2)/2))/(LN(2)/2)*GH93*GK93*VLOOKUP('Données projet'!$B$17,Paramètres!$A$1:$I$88,3,0)*0.475*44/12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68.188683914039913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projet'!$B$18,Paramètres!$A$1:$I$88,3,0)*VLOOKUP('Données projet'!$B$18,Paramètres!$A$1:$I$88,5,0)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projet'!$B$18,Paramètres!$A$1:$I$88,7,0))</f>
        <v>0</v>
      </c>
      <c r="HE93" s="17">
        <f>IF(ISNA(VLOOKUP(A93,'Données projet'!$A$269:$I$289,6,0)),0%,VLOOKUP(A93,'Données projet'!$A$269:$I$289,6,0)*VLOOKUP('Données projet'!$B$18,Paramètres!$A$1:$I$88,7,0))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projet'!$B$18,Paramètres!$A$1:$I$88,3,0)*0.475*44/12</f>
        <v>#N/A</v>
      </c>
      <c r="HH93" s="23" t="e">
        <f>EXP(-LN(2)/25)*HH92+(1-EXP(-LN(2)/25))/(LN(2)/25)*Calculateur!HC93*Calculateur!HE93*VLOOKUP('Données projet'!$B$18,Paramètres!$A$1:$I$88,3,0)*0.475*44/12</f>
        <v>#N/A</v>
      </c>
      <c r="HI93" s="23" t="e">
        <f>EXP(-LN(2)/2)*HI92+(1-EXP(-LN(2)/2))/(LN(2)/2)*HC93*HF93*VLOOKUP('Données projet'!$B$18,Paramètres!$A$1:$I$88,3,0)*0.475*44/12</f>
        <v>#N/A</v>
      </c>
      <c r="HJ93" s="24" t="e">
        <f t="shared" si="84"/>
        <v>#N/A</v>
      </c>
    </row>
    <row r="94" spans="1:218" s="5" customFormat="1" x14ac:dyDescent="0.35">
      <c r="A94" s="11">
        <f t="shared" si="85"/>
        <v>91</v>
      </c>
      <c r="B94" s="77">
        <f>'Scénario référence'!$B$16*5+'Scénario référence'!$B$17*0+'Scénario référence'!$B$18*5</f>
        <v>1.75</v>
      </c>
      <c r="C94" s="20">
        <f>Calculateur!C93+'Scénario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94" s="12">
        <f t="shared" si="86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6.416666666666667</v>
      </c>
      <c r="H94" s="70">
        <f t="shared" si="56"/>
        <v>231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68.220106198635207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3.4106051316484809E-13</v>
      </c>
      <c r="O94" s="14">
        <f>N94*VLOOKUP('Données projet'!$B$9,Paramètres!$A$1:$I$88,3,0)*VLOOKUP('Données projet'!$B$9,Paramètres!$A$1:$I$88,5,0)</f>
        <v>1.9065282685915009E-13</v>
      </c>
      <c r="P94" s="14">
        <f t="shared" si="87"/>
        <v>2.6568987209435707E-12</v>
      </c>
      <c r="Q94" s="22">
        <f t="shared" si="54"/>
        <v>4.959485612423072E-12</v>
      </c>
      <c r="R94" s="62">
        <f t="shared" si="55"/>
        <v>286.80705606166737</v>
      </c>
      <c r="S94" s="62">
        <f ca="1">AVERAGE(OFFSET($R$3,0,0,'Données projet'!$E$9+1,1))-AVERAGE(OFFSET($H$3,0,0,'Données projet'!$E$9+1,1))</f>
        <v>341.05096821796769</v>
      </c>
      <c r="T94" s="62">
        <f t="shared" si="88"/>
        <v>400.72519822215168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projet'!$B$9,Paramètres!$A$1:$I$88,7,0))</f>
        <v>0</v>
      </c>
      <c r="X94" s="17">
        <f>IF(ISNA(VLOOKUP(A94,'Données projet'!$A$35:$I$55,6,0)),0%,VLOOKUP(A94,'Données projet'!$A$35:$I$55,6,0)*VLOOKUP('Données projet'!$B$9,Paramètres!$A$1:$I$88,7,0))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projet'!$B$9,Paramètres!$A$1:$I$88,3,0)*0.475*44/12</f>
        <v>129.68996103715702</v>
      </c>
      <c r="AA94" s="23">
        <f>EXP(-LN(2)/25)*AA93+(1-EXP(-LN(2)/25))/(LN(2)/25)*Calculateur!V94*Calculateur!X94*VLOOKUP('Données projet'!$B$9,Paramètres!$A$1:$I$88,3,0)*0.475*44/12</f>
        <v>56.10719371622227</v>
      </c>
      <c r="AB94" s="23">
        <f>EXP(-LN(2)/2)*AB93+(1-EXP(-LN(2)/2))/(LN(2)/2)*V94*Y94*VLOOKUP('Données projet'!$B$9,Paramètres!$A$1:$I$88,3,0)*0.475*44/12</f>
        <v>0</v>
      </c>
      <c r="AC94" s="24">
        <f t="shared" si="57"/>
        <v>185.79715475337929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68.220106198635207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5.6843418860808015E-14</v>
      </c>
      <c r="AJ94" s="14">
        <f>AI94*VLOOKUP('Données projet'!$B$10,Paramètres!$A$1:$I$88,3,0)*VLOOKUP('Données projet'!$B$10,Paramètres!$A$1:$I$88,5,0)</f>
        <v>3.3992364478763198E-14</v>
      </c>
      <c r="AK94" s="14">
        <f t="shared" si="89"/>
        <v>5.790027782444094E-13</v>
      </c>
      <c r="AL94" s="22">
        <f t="shared" si="58"/>
        <v>1.0676332069095257E-12</v>
      </c>
      <c r="AM94" s="62">
        <f t="shared" si="59"/>
        <v>286.8070560616635</v>
      </c>
      <c r="AN94" s="62">
        <f ca="1">AVERAGE(OFFSET($AM$3,0,0,'Données projet'!$E$10+1,1))-AVERAGE(OFFSET($H$3,0,0,'Données projet'!$E$10+1,1))</f>
        <v>231.96474801342879</v>
      </c>
      <c r="AO94" s="62">
        <f t="shared" si="90"/>
        <v>237.75726086383668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projet'!$B$10,Paramètres!$A$1:$I$88,7,0))</f>
        <v>0</v>
      </c>
      <c r="AS94" s="17">
        <f>IF(ISNA(VLOOKUP(A94,'Données projet'!$A$61:$I$81,6,0)),0%,VLOOKUP(A94,'Données projet'!$A$61:$I$81,6,0)*VLOOKUP('Données projet'!$B$10,Paramètres!$A$1:$I$88,7,0))</f>
        <v>0</v>
      </c>
      <c r="AT94" s="17">
        <f>IF(ISNA(VLOOKUP(A94,'Données projet'!$A$61:$I$81,7,0)),0%,VLOOKUP(A94,'Données projet'!$A$61:$I$81,7,0))</f>
        <v>0</v>
      </c>
      <c r="AU94" s="23">
        <f>EXP(-LN(2)/35)*AU93+(1-EXP(-LN(2)/35))/(LN(2)/35)*AQ94*AR94*VLOOKUP('Données projet'!$B$10,Paramètres!$A$1:$I$88,3,0)*0.475*44/12</f>
        <v>51.14317533888903</v>
      </c>
      <c r="AV94" s="23">
        <f>EXP(-LN(2)/25)*AV93+(1-EXP(-LN(2)/25))/(LN(2)/25)*Calculateur!AQ94*Calculateur!AS94*VLOOKUP('Données projet'!$B$10,Paramètres!$A$1:$I$88,3,0)*0.475*44/12</f>
        <v>23.692649316975505</v>
      </c>
      <c r="AW94" s="23">
        <f>EXP(-LN(2)/2)*AW93+(1-EXP(-LN(2)/2))/(LN(2)/2)*AQ94*AT94*VLOOKUP('Données projet'!$B$10,Paramètres!$A$1:$I$88,3,0)*0.475*44/12</f>
        <v>0</v>
      </c>
      <c r="AX94" s="23">
        <f t="shared" si="60"/>
        <v>74.835824655864542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68.220106198635207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13</v>
      </c>
      <c r="BD94" s="13">
        <f>IF('Données projet'!$A$88&gt;35,BD93+BC94-BL93,IF(A94&lt;'Données projet'!$A$88,$BA$205^A94,IF(A94='Données projet'!$A$88,'Données projet'!$B$88,BD93+BC94-BL93)))</f>
        <v>524.00000000000034</v>
      </c>
      <c r="BE94" s="14">
        <f>BD94*VLOOKUP('Données projet'!$B$11,Paramètres!$A$1:$I$88,3,0)*VLOOKUP('Données projet'!$B$11,Paramètres!$A$1:$I$88,5,0)</f>
        <v>245.23200000000017</v>
      </c>
      <c r="BF94" s="14">
        <f t="shared" si="91"/>
        <v>59.563803993206548</v>
      </c>
      <c r="BG94" s="22">
        <f t="shared" si="61"/>
        <v>530.852691954835</v>
      </c>
      <c r="BH94" s="62">
        <f t="shared" si="62"/>
        <v>817.65974801649736</v>
      </c>
      <c r="BI94" s="62">
        <f ca="1">AVERAGE(OFFSET($BH$3,0,0,'Données projet'!$E$11+1,1))-AVERAGE(OFFSET($H$3,0,0,'Données projet'!$E$11+1,1))</f>
        <v>364.96458059055169</v>
      </c>
      <c r="BJ94" s="62">
        <f t="shared" si="92"/>
        <v>246.27159120786257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projet'!$B$11,Paramètres!$A$1:$I$88,7,0))</f>
        <v>0</v>
      </c>
      <c r="BN94" s="17">
        <f>IF(ISNA(VLOOKUP(A94,'Données projet'!$A$87:$I$107,6,0)),0%,VLOOKUP(A94,'Données projet'!$A$87:$I$107,6,0)*VLOOKUP('Données projet'!$B$11,Paramètres!$A$1:$I$88,7,0))</f>
        <v>0</v>
      </c>
      <c r="BO94" s="17">
        <f>IF(ISNA(VLOOKUP(A94,'Données projet'!$A$87:$I$107,7,0)),0%,VLOOKUP(A94,'Données projet'!$A$87:$I$107,7,0))</f>
        <v>0</v>
      </c>
      <c r="BP94" s="23">
        <f>EXP(-LN(2)/35)*BP93+(1-EXP(-LN(2)/35))/(LN(2)/35)*BL94*BM94*VLOOKUP('Données projet'!$B$11,Paramètres!$A$1:$I$88,3,0)*0.475*44/12</f>
        <v>74.937596017576269</v>
      </c>
      <c r="BQ94" s="23">
        <f>EXP(-LN(2)/25)*BQ93+(1-EXP(-LN(2)/25))/(LN(2)/25)*Calculateur!BL94*Calculateur!BN94*VLOOKUP('Données projet'!$B$11,Paramètres!$A$1:$I$88,3,0)*0.475*44/12</f>
        <v>30.381187946470771</v>
      </c>
      <c r="BR94" s="23">
        <f>EXP(-LN(2)/2)*BR93+(1-EXP(-LN(2)/2))/(LN(2)/2)*BL94*BO94*VLOOKUP('Données projet'!$B$11,Paramètres!$A$1:$I$88,3,0)*0.475*44/12</f>
        <v>0</v>
      </c>
      <c r="BS94" s="24">
        <f t="shared" si="63"/>
        <v>105.31878396404704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68.220106198635207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-1.1368683772161603E-13</v>
      </c>
      <c r="BZ94" s="14">
        <f>BY94*VLOOKUP('Données projet'!$B$12,Paramètres!$A$1:$I$88,3,0)*VLOOKUP('Données projet'!$B$12,Paramètres!$A$1:$I$88,5,0)</f>
        <v>-1.1527845344971866E-13</v>
      </c>
      <c r="CA94" s="14" t="e">
        <f t="shared" si="93"/>
        <v>#NUM!</v>
      </c>
      <c r="CB94" s="22" t="e">
        <f t="shared" si="64"/>
        <v>#NUM!</v>
      </c>
      <c r="CC94" s="62" t="e">
        <f t="shared" si="65"/>
        <v>#NUM!</v>
      </c>
      <c r="CD94" s="62">
        <f ca="1">AVERAGE(OFFSET($CC$3,0,0,'Données projet'!$E$12+1,1))-AVERAGE(OFFSET($H$3,0,0,'Données projet'!$E$12+1,1))</f>
        <v>310.53598044763282</v>
      </c>
      <c r="CE94" s="62">
        <f t="shared" si="94"/>
        <v>322.01096634040596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projet'!$B$12,Paramètres!$A$1:$I$88,7,0))</f>
        <v>0</v>
      </c>
      <c r="CI94" s="17">
        <f>IF(ISNA(VLOOKUP(A94,'Données projet'!$A$113:$I$133,6,0)),0%,VLOOKUP(A94,'Données projet'!$A$113:$I$133,6,0)*VLOOKUP('Données projet'!$B$12,Paramètres!$A$1:$I$88,7,0))</f>
        <v>0</v>
      </c>
      <c r="CJ94" s="17">
        <f>IF(ISNA(VLOOKUP(A94,'Données projet'!$A$113:$I$133,7,0)),0%,VLOOKUP(A94,'Données projet'!$A$113:$I$133,7,0))</f>
        <v>0</v>
      </c>
      <c r="CK94" s="23">
        <f>EXP(-LN(2)/35)*CK93+(1-EXP(-LN(2)/35))/(LN(2)/35)*CG94*CH94*VLOOKUP('Données projet'!$B$12,Paramètres!$A$1:$I$88,3,0)*0.475*44/12</f>
        <v>39.130753973517521</v>
      </c>
      <c r="CL94" s="23">
        <f>EXP(-LN(2)/25)*CL93+(1-EXP(-LN(2)/25))/(LN(2)/25)*Calculateur!CG94*Calculateur!CI94*VLOOKUP('Données projet'!$B$12,Paramètres!$A$1:$I$88,3,0)*0.475*44/12</f>
        <v>0</v>
      </c>
      <c r="CM94" s="23">
        <f>EXP(-LN(2)/2)*CM93+(1-EXP(-LN(2)/2))/(LN(2)/2)*CG94*CJ94*VLOOKUP('Données projet'!$B$12,Paramètres!$A$1:$I$88,3,0)*0.475*44/12</f>
        <v>0</v>
      </c>
      <c r="CN94" s="24">
        <f t="shared" si="66"/>
        <v>39.130753973517521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68.220106198635207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projet'!$B$13,Paramètres!$A$1:$I$88,3,0)*VLOOKUP('Données projet'!$B$13,Paramètres!$A$1:$I$88,5,0)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projet'!$B$13,Paramètres!$A$1:$I$88,7,0))</f>
        <v>0</v>
      </c>
      <c r="DD94" s="17">
        <f>IF(ISNA(VLOOKUP(A94,'Données projet'!$A$139:$I$159,6,0)),0%,VLOOKUP(A94,'Données projet'!$A$139:$I$159,6,0)*VLOOKUP('Données projet'!$B$13,Paramètres!$A$1:$I$88,7,0))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projet'!$B$13,Paramètres!$A$1:$I$88,3,0)*0.475*44/12</f>
        <v>#N/A</v>
      </c>
      <c r="DG94" s="23" t="e">
        <f>EXP(-LN(2)/25)*DG93+(1-EXP(-LN(2)/25))/(LN(2)/25)*Calculateur!DB94*Calculateur!DD94*VLOOKUP('Données projet'!$B$13,Paramètres!$A$1:$I$88,3,0)*0.475*44/12</f>
        <v>#N/A</v>
      </c>
      <c r="DH94" s="23" t="e">
        <f>EXP(-LN(2)/2)*DH93+(1-EXP(-LN(2)/2))/(LN(2)/2)*DB94*DE94*VLOOKUP('Données projet'!$B$13,Paramètres!$A$1:$I$88,3,0)*0.475*44/12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68.220106198635207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projet'!$B$14,Paramètres!$A$1:$I$88,3,0)*VLOOKUP('Données projet'!$B$14,Paramètres!$A$1:$I$88,5,0)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projet'!$B$14,Paramètres!$A$1:$I$88,7,0))</f>
        <v>0</v>
      </c>
      <c r="DY94" s="17">
        <f>IF(ISNA(VLOOKUP(A94,'Données projet'!$A$165:$I$185,6,0)),0%,VLOOKUP(A94,'Données projet'!$A$165:$I$185,6,0)*VLOOKUP('Données projet'!$B$14,Paramètres!$A$1:$I$88,7,0))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projet'!$B$14,Paramètres!$A$1:$I$88,3,0)*0.475*44/12</f>
        <v>#N/A</v>
      </c>
      <c r="EB94" s="23" t="e">
        <f>EXP(-LN(2)/25)*EB93+(1-EXP(-LN(2)/25))/(LN(2)/25)*Calculateur!DW94*Calculateur!DY94*VLOOKUP('Données projet'!$B$14,Paramètres!$A$1:$I$88,3,0)*0.475*44/12</f>
        <v>#N/A</v>
      </c>
      <c r="EC94" s="23" t="e">
        <f>EXP(-LN(2)/2)*EC93+(1-EXP(-LN(2)/2))/(LN(2)/2)*DW94*DZ94*VLOOKUP('Données projet'!$B$14,Paramètres!$A$1:$I$88,3,0)*0.475*44/12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68.220106198635207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projet'!$B$15,Paramètres!$A$1:$I$88,3,0)*VLOOKUP('Données projet'!$B$15,Paramètres!$A$1:$I$88,5,0)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projet'!$B$15,Paramètres!$A$1:$I$88,7,0))</f>
        <v>0</v>
      </c>
      <c r="ET94" s="17">
        <f>IF(ISNA(VLOOKUP(A94,'Données projet'!$A$191:$I$211,6,0)),0%,VLOOKUP(A94,'Données projet'!$A$191:$I$211,6,0)*VLOOKUP('Données projet'!$B$15,Paramètres!$A$1:$I$88,7,0))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projet'!$B$15,Paramètres!$A$1:$I$88,3,0)*0.475*44/12</f>
        <v>#N/A</v>
      </c>
      <c r="EW94" s="23" t="e">
        <f>EXP(-LN(2)/25)*EW93+(1-EXP(-LN(2)/25))/(LN(2)/25)*Calculateur!ER94*Calculateur!ET94*VLOOKUP('Données projet'!$B$15,Paramètres!$A$1:$I$88,3,0)*0.475*44/12</f>
        <v>#N/A</v>
      </c>
      <c r="EX94" s="23" t="e">
        <f>EXP(-LN(2)/2)*EX93+(1-EXP(-LN(2)/2))/(LN(2)/2)*ER94*EU94*VLOOKUP('Données projet'!$B$15,Paramètres!$A$1:$I$88,3,0)*0.475*44/12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68.220106198635207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projet'!$B$16,Paramètres!$A$1:$I$88,3,0)*VLOOKUP('Données projet'!$B$16,Paramètres!$A$1:$I$88,5,0)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projet'!$B$16,Paramètres!$A$1:$I$88,7,0))</f>
        <v>0</v>
      </c>
      <c r="FO94" s="17">
        <f>IF(ISNA(VLOOKUP(A94,'Données projet'!$A$217:$I$237,6,0)),0%,VLOOKUP(A94,'Données projet'!$A$217:$I$237,6,0)*VLOOKUP('Données projet'!$B$16,Paramètres!$A$1:$I$88,7,0))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projet'!$B$16,Paramètres!$A$1:$I$88,3,0)*0.475*44/12</f>
        <v>#N/A</v>
      </c>
      <c r="FR94" s="23" t="e">
        <f>EXP(-LN(2)/25)*FR93+(1-EXP(-LN(2)/25))/(LN(2)/25)*Calculateur!FM94*Calculateur!FO94*VLOOKUP('Données projet'!$B$16,Paramètres!$A$1:$I$88,3,0)*0.475*44/12</f>
        <v>#N/A</v>
      </c>
      <c r="FS94" s="23" t="e">
        <f>EXP(-LN(2)/2)*FS93+(1-EXP(-LN(2)/2))/(LN(2)/2)*FM94*FP94*VLOOKUP('Données projet'!$B$16,Paramètres!$A$1:$I$88,3,0)*0.475*44/12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68.220106198635207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projet'!$B$17,Paramètres!$A$1:$I$88,3,0)*VLOOKUP('Données projet'!$B$17,Paramètres!$A$1:$I$88,5,0)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projet'!$B$17,Paramètres!$A$1:$I$88,7,0))</f>
        <v>0</v>
      </c>
      <c r="GJ94" s="17">
        <f>IF(ISNA(VLOOKUP(A94,'Données projet'!$A$243:$I$263,6,0)),0%,VLOOKUP(A94,'Données projet'!$A$243:$I$263,6,0)*VLOOKUP('Données projet'!$B$17,Paramètres!$A$1:$I$88,7,0))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projet'!$B$17,Paramètres!$A$1:$I$88,3,0)*0.475*44/12</f>
        <v>#N/A</v>
      </c>
      <c r="GM94" s="23" t="e">
        <f>EXP(-LN(2)/25)*GM93+(1-EXP(-LN(2)/25))/(LN(2)/25)*Calculateur!GH94*Calculateur!GJ94*VLOOKUP('Données projet'!$B$17,Paramètres!$A$1:$I$88,3,0)*0.475*44/12</f>
        <v>#N/A</v>
      </c>
      <c r="GN94" s="23" t="e">
        <f>EXP(-LN(2)/2)*GN93+(1-EXP(-LN(2)/2))/(LN(2)/2)*GH94*GK94*VLOOKUP('Données projet'!$B$17,Paramètres!$A$1:$I$88,3,0)*0.475*44/12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68.220106198635207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projet'!$B$18,Paramètres!$A$1:$I$88,3,0)*VLOOKUP('Données projet'!$B$18,Paramètres!$A$1:$I$88,5,0)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projet'!$B$18,Paramètres!$A$1:$I$88,7,0))</f>
        <v>0</v>
      </c>
      <c r="HE94" s="17">
        <f>IF(ISNA(VLOOKUP(A94,'Données projet'!$A$269:$I$289,6,0)),0%,VLOOKUP(A94,'Données projet'!$A$269:$I$289,6,0)*VLOOKUP('Données projet'!$B$18,Paramètres!$A$1:$I$88,7,0))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projet'!$B$18,Paramètres!$A$1:$I$88,3,0)*0.475*44/12</f>
        <v>#N/A</v>
      </c>
      <c r="HH94" s="23" t="e">
        <f>EXP(-LN(2)/25)*HH93+(1-EXP(-LN(2)/25))/(LN(2)/25)*Calculateur!HC94*Calculateur!HE94*VLOOKUP('Données projet'!$B$18,Paramètres!$A$1:$I$88,3,0)*0.475*44/12</f>
        <v>#N/A</v>
      </c>
      <c r="HI94" s="23" t="e">
        <f>EXP(-LN(2)/2)*HI93+(1-EXP(-LN(2)/2))/(LN(2)/2)*HC94*HF94*VLOOKUP('Données projet'!$B$18,Paramètres!$A$1:$I$88,3,0)*0.475*44/12</f>
        <v>#N/A</v>
      </c>
      <c r="HJ94" s="24" t="e">
        <f t="shared" si="84"/>
        <v>#N/A</v>
      </c>
    </row>
    <row r="95" spans="1:218" s="5" customFormat="1" x14ac:dyDescent="0.35">
      <c r="A95" s="11">
        <f t="shared" si="85"/>
        <v>92</v>
      </c>
      <c r="B95" s="77">
        <f>'Scénario référence'!$B$16*5+'Scénario référence'!$B$17*0+'Scénario référence'!$B$18*5</f>
        <v>1.75</v>
      </c>
      <c r="C95" s="20">
        <f>Calculateur!C94+'Scénario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95" s="12">
        <f t="shared" si="86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6.416666666666667</v>
      </c>
      <c r="H95" s="70">
        <f t="shared" si="56"/>
        <v>231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68.250983376842484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3.4106051316484809E-13</v>
      </c>
      <c r="O95" s="14">
        <f>N95*VLOOKUP('Données projet'!$B$9,Paramètres!$A$1:$I$88,3,0)*VLOOKUP('Données projet'!$B$9,Paramètres!$A$1:$I$88,5,0)</f>
        <v>1.9065282685915009E-13</v>
      </c>
      <c r="P95" s="14">
        <f t="shared" si="87"/>
        <v>2.6568987209435707E-12</v>
      </c>
      <c r="Q95" s="22">
        <f t="shared" si="54"/>
        <v>4.959485612423072E-12</v>
      </c>
      <c r="R95" s="62">
        <f t="shared" si="55"/>
        <v>286.9202723817607</v>
      </c>
      <c r="S95" s="62">
        <f ca="1">AVERAGE(OFFSET($R$3,0,0,'Données projet'!$E$9+1,1))-AVERAGE(OFFSET($H$3,0,0,'Données projet'!$E$9+1,1))</f>
        <v>341.05096821796769</v>
      </c>
      <c r="T95" s="62">
        <f t="shared" si="88"/>
        <v>400.72519822215168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projet'!$B$9,Paramètres!$A$1:$I$88,7,0))</f>
        <v>0</v>
      </c>
      <c r="X95" s="17">
        <f>IF(ISNA(VLOOKUP(A95,'Données projet'!$A$35:$I$55,6,0)),0%,VLOOKUP(A95,'Données projet'!$A$35:$I$55,6,0)*VLOOKUP('Données projet'!$B$9,Paramètres!$A$1:$I$88,7,0))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projet'!$B$9,Paramètres!$A$1:$I$88,3,0)*0.475*44/12</f>
        <v>127.14682000428382</v>
      </c>
      <c r="AA95" s="23">
        <f>EXP(-LN(2)/25)*AA94+(1-EXP(-LN(2)/25))/(LN(2)/25)*Calculateur!V95*Calculateur!X95*VLOOKUP('Données projet'!$B$9,Paramètres!$A$1:$I$88,3,0)*0.475*44/12</f>
        <v>54.57293955350309</v>
      </c>
      <c r="AB95" s="23">
        <f>EXP(-LN(2)/2)*AB94+(1-EXP(-LN(2)/2))/(LN(2)/2)*V95*Y95*VLOOKUP('Données projet'!$B$9,Paramètres!$A$1:$I$88,3,0)*0.475*44/12</f>
        <v>0</v>
      </c>
      <c r="AC95" s="24">
        <f t="shared" si="57"/>
        <v>181.71975955778692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68.250983376842484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5.6843418860808015E-14</v>
      </c>
      <c r="AJ95" s="14">
        <f>AI95*VLOOKUP('Données projet'!$B$10,Paramètres!$A$1:$I$88,3,0)*VLOOKUP('Données projet'!$B$10,Paramètres!$A$1:$I$88,5,0)</f>
        <v>3.3992364478763198E-14</v>
      </c>
      <c r="AK95" s="14">
        <f t="shared" si="89"/>
        <v>5.790027782444094E-13</v>
      </c>
      <c r="AL95" s="22">
        <f t="shared" si="58"/>
        <v>1.0676332069095257E-12</v>
      </c>
      <c r="AM95" s="62">
        <f t="shared" si="59"/>
        <v>286.92027238175683</v>
      </c>
      <c r="AN95" s="62">
        <f ca="1">AVERAGE(OFFSET($AM$3,0,0,'Données projet'!$E$10+1,1))-AVERAGE(OFFSET($H$3,0,0,'Données projet'!$E$10+1,1))</f>
        <v>231.96474801342879</v>
      </c>
      <c r="AO95" s="62">
        <f t="shared" si="90"/>
        <v>237.75726086383668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projet'!$B$10,Paramètres!$A$1:$I$88,7,0))</f>
        <v>0</v>
      </c>
      <c r="AS95" s="17">
        <f>IF(ISNA(VLOOKUP(A95,'Données projet'!$A$61:$I$81,6,0)),0%,VLOOKUP(A95,'Données projet'!$A$61:$I$81,6,0)*VLOOKUP('Données projet'!$B$10,Paramètres!$A$1:$I$88,7,0))</f>
        <v>0</v>
      </c>
      <c r="AT95" s="17">
        <f>IF(ISNA(VLOOKUP(A95,'Données projet'!$A$61:$I$81,7,0)),0%,VLOOKUP(A95,'Données projet'!$A$61:$I$81,7,0))</f>
        <v>0</v>
      </c>
      <c r="AU95" s="23">
        <f>EXP(-LN(2)/35)*AU94+(1-EXP(-LN(2)/35))/(LN(2)/35)*AQ95*AR95*VLOOKUP('Données projet'!$B$10,Paramètres!$A$1:$I$88,3,0)*0.475*44/12</f>
        <v>50.140288864750197</v>
      </c>
      <c r="AV95" s="23">
        <f>EXP(-LN(2)/25)*AV94+(1-EXP(-LN(2)/25))/(LN(2)/25)*Calculateur!AQ95*Calculateur!AS95*VLOOKUP('Données projet'!$B$10,Paramètres!$A$1:$I$88,3,0)*0.475*44/12</f>
        <v>23.044772575460531</v>
      </c>
      <c r="AW95" s="23">
        <f>EXP(-LN(2)/2)*AW94+(1-EXP(-LN(2)/2))/(LN(2)/2)*AQ95*AT95*VLOOKUP('Données projet'!$B$10,Paramètres!$A$1:$I$88,3,0)*0.475*44/12</f>
        <v>0</v>
      </c>
      <c r="AX95" s="23">
        <f t="shared" si="60"/>
        <v>73.185061440210731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68.250983376842484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13</v>
      </c>
      <c r="BD95" s="13">
        <f>IF('Données projet'!$A$88&gt;35,BD94+BC95-BL94,IF(A95&lt;'Données projet'!$A$88,$BA$205^A95,IF(A95='Données projet'!$A$88,'Données projet'!$B$88,BD94+BC95-BL94)))</f>
        <v>537.00000000000034</v>
      </c>
      <c r="BE95" s="14">
        <f>BD95*VLOOKUP('Données projet'!$B$11,Paramètres!$A$1:$I$88,3,0)*VLOOKUP('Données projet'!$B$11,Paramètres!$A$1:$I$88,5,0)</f>
        <v>251.31600000000014</v>
      </c>
      <c r="BF95" s="14">
        <f t="shared" si="91"/>
        <v>60.867656280249889</v>
      </c>
      <c r="BG95" s="22">
        <f t="shared" si="61"/>
        <v>543.71986802143545</v>
      </c>
      <c r="BH95" s="62">
        <f t="shared" si="62"/>
        <v>830.64014040319125</v>
      </c>
      <c r="BI95" s="62">
        <f ca="1">AVERAGE(OFFSET($BH$3,0,0,'Données projet'!$E$11+1,1))-AVERAGE(OFFSET($H$3,0,0,'Données projet'!$E$11+1,1))</f>
        <v>364.96458059055169</v>
      </c>
      <c r="BJ95" s="62">
        <f t="shared" si="92"/>
        <v>246.27159120786257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projet'!$B$11,Paramètres!$A$1:$I$88,7,0))</f>
        <v>0</v>
      </c>
      <c r="BN95" s="17">
        <f>IF(ISNA(VLOOKUP(A95,'Données projet'!$A$87:$I$107,6,0)),0%,VLOOKUP(A95,'Données projet'!$A$87:$I$107,6,0)*VLOOKUP('Données projet'!$B$11,Paramètres!$A$1:$I$88,7,0))</f>
        <v>0</v>
      </c>
      <c r="BO95" s="17">
        <f>IF(ISNA(VLOOKUP(A95,'Données projet'!$A$87:$I$107,7,0)),0%,VLOOKUP(A95,'Données projet'!$A$87:$I$107,7,0))</f>
        <v>0</v>
      </c>
      <c r="BP95" s="23">
        <f>EXP(-LN(2)/35)*BP94+(1-EXP(-LN(2)/35))/(LN(2)/35)*BL95*BM95*VLOOKUP('Données projet'!$B$11,Paramètres!$A$1:$I$88,3,0)*0.475*44/12</f>
        <v>73.468115467091934</v>
      </c>
      <c r="BQ95" s="23">
        <f>EXP(-LN(2)/25)*BQ94+(1-EXP(-LN(2)/25))/(LN(2)/25)*Calculateur!BL95*Calculateur!BN95*VLOOKUP('Données projet'!$B$11,Paramètres!$A$1:$I$88,3,0)*0.475*44/12</f>
        <v>29.55041276439729</v>
      </c>
      <c r="BR95" s="23">
        <f>EXP(-LN(2)/2)*BR94+(1-EXP(-LN(2)/2))/(LN(2)/2)*BL95*BO95*VLOOKUP('Données projet'!$B$11,Paramètres!$A$1:$I$88,3,0)*0.475*44/12</f>
        <v>0</v>
      </c>
      <c r="BS95" s="24">
        <f t="shared" si="63"/>
        <v>103.01852823148923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68.250983376842484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-1.1368683772161603E-13</v>
      </c>
      <c r="BZ95" s="14">
        <f>BY95*VLOOKUP('Données projet'!$B$12,Paramètres!$A$1:$I$88,3,0)*VLOOKUP('Données projet'!$B$12,Paramètres!$A$1:$I$88,5,0)</f>
        <v>-1.1527845344971866E-13</v>
      </c>
      <c r="CA95" s="14" t="e">
        <f t="shared" si="93"/>
        <v>#NUM!</v>
      </c>
      <c r="CB95" s="22" t="e">
        <f t="shared" si="64"/>
        <v>#NUM!</v>
      </c>
      <c r="CC95" s="62" t="e">
        <f t="shared" si="65"/>
        <v>#NUM!</v>
      </c>
      <c r="CD95" s="62">
        <f ca="1">AVERAGE(OFFSET($CC$3,0,0,'Données projet'!$E$12+1,1))-AVERAGE(OFFSET($H$3,0,0,'Données projet'!$E$12+1,1))</f>
        <v>310.53598044763282</v>
      </c>
      <c r="CE95" s="62">
        <f t="shared" si="94"/>
        <v>322.01096634040596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projet'!$B$12,Paramètres!$A$1:$I$88,7,0))</f>
        <v>0</v>
      </c>
      <c r="CI95" s="17">
        <f>IF(ISNA(VLOOKUP(A95,'Données projet'!$A$113:$I$133,6,0)),0%,VLOOKUP(A95,'Données projet'!$A$113:$I$133,6,0)*VLOOKUP('Données projet'!$B$12,Paramètres!$A$1:$I$88,7,0))</f>
        <v>0</v>
      </c>
      <c r="CJ95" s="17">
        <f>IF(ISNA(VLOOKUP(A95,'Données projet'!$A$113:$I$133,7,0)),0%,VLOOKUP(A95,'Données projet'!$A$113:$I$133,7,0))</f>
        <v>0</v>
      </c>
      <c r="CK95" s="23">
        <f>EXP(-LN(2)/35)*CK94+(1-EXP(-LN(2)/35))/(LN(2)/35)*CG95*CH95*VLOOKUP('Données projet'!$B$12,Paramètres!$A$1:$I$88,3,0)*0.475*44/12</f>
        <v>38.363423755500058</v>
      </c>
      <c r="CL95" s="23">
        <f>EXP(-LN(2)/25)*CL94+(1-EXP(-LN(2)/25))/(LN(2)/25)*Calculateur!CG95*Calculateur!CI95*VLOOKUP('Données projet'!$B$12,Paramètres!$A$1:$I$88,3,0)*0.475*44/12</f>
        <v>0</v>
      </c>
      <c r="CM95" s="23">
        <f>EXP(-LN(2)/2)*CM94+(1-EXP(-LN(2)/2))/(LN(2)/2)*CG95*CJ95*VLOOKUP('Données projet'!$B$12,Paramètres!$A$1:$I$88,3,0)*0.475*44/12</f>
        <v>0</v>
      </c>
      <c r="CN95" s="24">
        <f t="shared" si="66"/>
        <v>38.363423755500058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68.250983376842484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projet'!$B$13,Paramètres!$A$1:$I$88,3,0)*VLOOKUP('Données projet'!$B$13,Paramètres!$A$1:$I$88,5,0)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projet'!$B$13,Paramètres!$A$1:$I$88,7,0))</f>
        <v>0</v>
      </c>
      <c r="DD95" s="17">
        <f>IF(ISNA(VLOOKUP(A95,'Données projet'!$A$139:$I$159,6,0)),0%,VLOOKUP(A95,'Données projet'!$A$139:$I$159,6,0)*VLOOKUP('Données projet'!$B$13,Paramètres!$A$1:$I$88,7,0))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projet'!$B$13,Paramètres!$A$1:$I$88,3,0)*0.475*44/12</f>
        <v>#N/A</v>
      </c>
      <c r="DG95" s="23" t="e">
        <f>EXP(-LN(2)/25)*DG94+(1-EXP(-LN(2)/25))/(LN(2)/25)*Calculateur!DB95*Calculateur!DD95*VLOOKUP('Données projet'!$B$13,Paramètres!$A$1:$I$88,3,0)*0.475*44/12</f>
        <v>#N/A</v>
      </c>
      <c r="DH95" s="23" t="e">
        <f>EXP(-LN(2)/2)*DH94+(1-EXP(-LN(2)/2))/(LN(2)/2)*DB95*DE95*VLOOKUP('Données projet'!$B$13,Paramètres!$A$1:$I$88,3,0)*0.475*44/12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68.250983376842484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projet'!$B$14,Paramètres!$A$1:$I$88,3,0)*VLOOKUP('Données projet'!$B$14,Paramètres!$A$1:$I$88,5,0)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projet'!$B$14,Paramètres!$A$1:$I$88,7,0))</f>
        <v>0</v>
      </c>
      <c r="DY95" s="17">
        <f>IF(ISNA(VLOOKUP(A95,'Données projet'!$A$165:$I$185,6,0)),0%,VLOOKUP(A95,'Données projet'!$A$165:$I$185,6,0)*VLOOKUP('Données projet'!$B$14,Paramètres!$A$1:$I$88,7,0))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projet'!$B$14,Paramètres!$A$1:$I$88,3,0)*0.475*44/12</f>
        <v>#N/A</v>
      </c>
      <c r="EB95" s="23" t="e">
        <f>EXP(-LN(2)/25)*EB94+(1-EXP(-LN(2)/25))/(LN(2)/25)*Calculateur!DW95*Calculateur!DY95*VLOOKUP('Données projet'!$B$14,Paramètres!$A$1:$I$88,3,0)*0.475*44/12</f>
        <v>#N/A</v>
      </c>
      <c r="EC95" s="23" t="e">
        <f>EXP(-LN(2)/2)*EC94+(1-EXP(-LN(2)/2))/(LN(2)/2)*DW95*DZ95*VLOOKUP('Données projet'!$B$14,Paramètres!$A$1:$I$88,3,0)*0.475*44/12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68.250983376842484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projet'!$B$15,Paramètres!$A$1:$I$88,3,0)*VLOOKUP('Données projet'!$B$15,Paramètres!$A$1:$I$88,5,0)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projet'!$B$15,Paramètres!$A$1:$I$88,7,0))</f>
        <v>0</v>
      </c>
      <c r="ET95" s="17">
        <f>IF(ISNA(VLOOKUP(A95,'Données projet'!$A$191:$I$211,6,0)),0%,VLOOKUP(A95,'Données projet'!$A$191:$I$211,6,0)*VLOOKUP('Données projet'!$B$15,Paramètres!$A$1:$I$88,7,0))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projet'!$B$15,Paramètres!$A$1:$I$88,3,0)*0.475*44/12</f>
        <v>#N/A</v>
      </c>
      <c r="EW95" s="23" t="e">
        <f>EXP(-LN(2)/25)*EW94+(1-EXP(-LN(2)/25))/(LN(2)/25)*Calculateur!ER95*Calculateur!ET95*VLOOKUP('Données projet'!$B$15,Paramètres!$A$1:$I$88,3,0)*0.475*44/12</f>
        <v>#N/A</v>
      </c>
      <c r="EX95" s="23" t="e">
        <f>EXP(-LN(2)/2)*EX94+(1-EXP(-LN(2)/2))/(LN(2)/2)*ER95*EU95*VLOOKUP('Données projet'!$B$15,Paramètres!$A$1:$I$88,3,0)*0.475*44/12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68.250983376842484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projet'!$B$16,Paramètres!$A$1:$I$88,3,0)*VLOOKUP('Données projet'!$B$16,Paramètres!$A$1:$I$88,5,0)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projet'!$B$16,Paramètres!$A$1:$I$88,7,0))</f>
        <v>0</v>
      </c>
      <c r="FO95" s="17">
        <f>IF(ISNA(VLOOKUP(A95,'Données projet'!$A$217:$I$237,6,0)),0%,VLOOKUP(A95,'Données projet'!$A$217:$I$237,6,0)*VLOOKUP('Données projet'!$B$16,Paramètres!$A$1:$I$88,7,0))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projet'!$B$16,Paramètres!$A$1:$I$88,3,0)*0.475*44/12</f>
        <v>#N/A</v>
      </c>
      <c r="FR95" s="23" t="e">
        <f>EXP(-LN(2)/25)*FR94+(1-EXP(-LN(2)/25))/(LN(2)/25)*Calculateur!FM95*Calculateur!FO95*VLOOKUP('Données projet'!$B$16,Paramètres!$A$1:$I$88,3,0)*0.475*44/12</f>
        <v>#N/A</v>
      </c>
      <c r="FS95" s="23" t="e">
        <f>EXP(-LN(2)/2)*FS94+(1-EXP(-LN(2)/2))/(LN(2)/2)*FM95*FP95*VLOOKUP('Données projet'!$B$16,Paramètres!$A$1:$I$88,3,0)*0.475*44/12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68.250983376842484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projet'!$B$17,Paramètres!$A$1:$I$88,3,0)*VLOOKUP('Données projet'!$B$17,Paramètres!$A$1:$I$88,5,0)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projet'!$B$17,Paramètres!$A$1:$I$88,7,0))</f>
        <v>0</v>
      </c>
      <c r="GJ95" s="17">
        <f>IF(ISNA(VLOOKUP(A95,'Données projet'!$A$243:$I$263,6,0)),0%,VLOOKUP(A95,'Données projet'!$A$243:$I$263,6,0)*VLOOKUP('Données projet'!$B$17,Paramètres!$A$1:$I$88,7,0))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projet'!$B$17,Paramètres!$A$1:$I$88,3,0)*0.475*44/12</f>
        <v>#N/A</v>
      </c>
      <c r="GM95" s="23" t="e">
        <f>EXP(-LN(2)/25)*GM94+(1-EXP(-LN(2)/25))/(LN(2)/25)*Calculateur!GH95*Calculateur!GJ95*VLOOKUP('Données projet'!$B$17,Paramètres!$A$1:$I$88,3,0)*0.475*44/12</f>
        <v>#N/A</v>
      </c>
      <c r="GN95" s="23" t="e">
        <f>EXP(-LN(2)/2)*GN94+(1-EXP(-LN(2)/2))/(LN(2)/2)*GH95*GK95*VLOOKUP('Données projet'!$B$17,Paramètres!$A$1:$I$88,3,0)*0.475*44/12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68.250983376842484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projet'!$B$18,Paramètres!$A$1:$I$88,3,0)*VLOOKUP('Données projet'!$B$18,Paramètres!$A$1:$I$88,5,0)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projet'!$B$18,Paramètres!$A$1:$I$88,7,0))</f>
        <v>0</v>
      </c>
      <c r="HE95" s="17">
        <f>IF(ISNA(VLOOKUP(A95,'Données projet'!$A$269:$I$289,6,0)),0%,VLOOKUP(A95,'Données projet'!$A$269:$I$289,6,0)*VLOOKUP('Données projet'!$B$18,Paramètres!$A$1:$I$88,7,0))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projet'!$B$18,Paramètres!$A$1:$I$88,3,0)*0.475*44/12</f>
        <v>#N/A</v>
      </c>
      <c r="HH95" s="23" t="e">
        <f>EXP(-LN(2)/25)*HH94+(1-EXP(-LN(2)/25))/(LN(2)/25)*Calculateur!HC95*Calculateur!HE95*VLOOKUP('Données projet'!$B$18,Paramètres!$A$1:$I$88,3,0)*0.475*44/12</f>
        <v>#N/A</v>
      </c>
      <c r="HI95" s="23" t="e">
        <f>EXP(-LN(2)/2)*HI94+(1-EXP(-LN(2)/2))/(LN(2)/2)*HC95*HF95*VLOOKUP('Données projet'!$B$18,Paramètres!$A$1:$I$88,3,0)*0.475*44/12</f>
        <v>#N/A</v>
      </c>
      <c r="HJ95" s="24" t="e">
        <f t="shared" si="84"/>
        <v>#N/A</v>
      </c>
    </row>
    <row r="96" spans="1:218" s="5" customFormat="1" x14ac:dyDescent="0.35">
      <c r="A96" s="11">
        <f t="shared" si="85"/>
        <v>93</v>
      </c>
      <c r="B96" s="77">
        <f>'Scénario référence'!$B$16*5+'Scénario référence'!$B$17*0+'Scénario référence'!$B$18*5</f>
        <v>1.75</v>
      </c>
      <c r="C96" s="20">
        <f>Calculateur!C95+'Scénario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96" s="12">
        <f t="shared" si="86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6.416666666666667</v>
      </c>
      <c r="H96" s="70">
        <f t="shared" si="56"/>
        <v>231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68.281324905038886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3.4106051316484809E-13</v>
      </c>
      <c r="O96" s="14">
        <f>N96*VLOOKUP('Données projet'!$B$9,Paramètres!$A$1:$I$88,3,0)*VLOOKUP('Données projet'!$B$9,Paramètres!$A$1:$I$88,5,0)</f>
        <v>1.9065282685915009E-13</v>
      </c>
      <c r="P96" s="14">
        <f t="shared" si="87"/>
        <v>2.6568987209435707E-12</v>
      </c>
      <c r="Q96" s="22">
        <f t="shared" si="54"/>
        <v>4.959485612423072E-12</v>
      </c>
      <c r="R96" s="62">
        <f t="shared" si="55"/>
        <v>287.03152465181421</v>
      </c>
      <c r="S96" s="62">
        <f ca="1">AVERAGE(OFFSET($R$3,0,0,'Données projet'!$E$9+1,1))-AVERAGE(OFFSET($H$3,0,0,'Données projet'!$E$9+1,1))</f>
        <v>341.05096821796769</v>
      </c>
      <c r="T96" s="62">
        <f t="shared" si="88"/>
        <v>400.72519822215168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projet'!$B$9,Paramètres!$A$1:$I$88,7,0))</f>
        <v>0</v>
      </c>
      <c r="X96" s="17">
        <f>IF(ISNA(VLOOKUP(A96,'Données projet'!$A$35:$I$55,6,0)),0%,VLOOKUP(A96,'Données projet'!$A$35:$I$55,6,0)*VLOOKUP('Données projet'!$B$9,Paramètres!$A$1:$I$88,7,0))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projet'!$B$9,Paramètres!$A$1:$I$88,3,0)*0.475*44/12</f>
        <v>124.65354841590241</v>
      </c>
      <c r="AA96" s="23">
        <f>EXP(-LN(2)/25)*AA95+(1-EXP(-LN(2)/25))/(LN(2)/25)*Calculateur!V96*Calculateur!X96*VLOOKUP('Données projet'!$B$9,Paramètres!$A$1:$I$88,3,0)*0.475*44/12</f>
        <v>53.080639651546385</v>
      </c>
      <c r="AB96" s="23">
        <f>EXP(-LN(2)/2)*AB95+(1-EXP(-LN(2)/2))/(LN(2)/2)*V96*Y96*VLOOKUP('Données projet'!$B$9,Paramètres!$A$1:$I$88,3,0)*0.475*44/12</f>
        <v>0</v>
      </c>
      <c r="AC96" s="24">
        <f t="shared" si="57"/>
        <v>177.7341880674488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68.281324905038886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5.6843418860808015E-14</v>
      </c>
      <c r="AJ96" s="14">
        <f>AI96*VLOOKUP('Données projet'!$B$10,Paramètres!$A$1:$I$88,3,0)*VLOOKUP('Données projet'!$B$10,Paramètres!$A$1:$I$88,5,0)</f>
        <v>3.3992364478763198E-14</v>
      </c>
      <c r="AK96" s="14">
        <f t="shared" si="89"/>
        <v>5.790027782444094E-13</v>
      </c>
      <c r="AL96" s="22">
        <f t="shared" si="58"/>
        <v>1.0676332069095257E-12</v>
      </c>
      <c r="AM96" s="62">
        <f t="shared" si="59"/>
        <v>287.03152465181034</v>
      </c>
      <c r="AN96" s="62">
        <f ca="1">AVERAGE(OFFSET($AM$3,0,0,'Données projet'!$E$10+1,1))-AVERAGE(OFFSET($H$3,0,0,'Données projet'!$E$10+1,1))</f>
        <v>231.96474801342879</v>
      </c>
      <c r="AO96" s="62">
        <f t="shared" si="90"/>
        <v>237.75726086383668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projet'!$B$10,Paramètres!$A$1:$I$88,7,0))</f>
        <v>0</v>
      </c>
      <c r="AS96" s="17">
        <f>IF(ISNA(VLOOKUP(A96,'Données projet'!$A$61:$I$81,6,0)),0%,VLOOKUP(A96,'Données projet'!$A$61:$I$81,6,0)*VLOOKUP('Données projet'!$B$10,Paramètres!$A$1:$I$88,7,0))</f>
        <v>0</v>
      </c>
      <c r="AT96" s="17">
        <f>IF(ISNA(VLOOKUP(A96,'Données projet'!$A$61:$I$81,7,0)),0%,VLOOKUP(A96,'Données projet'!$A$61:$I$81,7,0))</f>
        <v>0</v>
      </c>
      <c r="AU96" s="23">
        <f>EXP(-LN(2)/35)*AU95+(1-EXP(-LN(2)/35))/(LN(2)/35)*AQ96*AR96*VLOOKUP('Données projet'!$B$10,Paramètres!$A$1:$I$88,3,0)*0.475*44/12</f>
        <v>49.157068382668875</v>
      </c>
      <c r="AV96" s="23">
        <f>EXP(-LN(2)/25)*AV95+(1-EXP(-LN(2)/25))/(LN(2)/25)*Calculateur!AQ96*Calculateur!AS96*VLOOKUP('Données projet'!$B$10,Paramètres!$A$1:$I$88,3,0)*0.475*44/12</f>
        <v>22.414612057512642</v>
      </c>
      <c r="AW96" s="23">
        <f>EXP(-LN(2)/2)*AW95+(1-EXP(-LN(2)/2))/(LN(2)/2)*AQ96*AT96*VLOOKUP('Données projet'!$B$10,Paramètres!$A$1:$I$88,3,0)*0.475*44/12</f>
        <v>0</v>
      </c>
      <c r="AX96" s="23">
        <f t="shared" si="60"/>
        <v>71.571680440181524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68.281324905038886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13</v>
      </c>
      <c r="BD96" s="13">
        <f>IF('Données projet'!$A$88&gt;35,BD95+BC96-BL95,IF(A96&lt;'Données projet'!$A$88,$BA$205^A96,IF(A96='Données projet'!$A$88,'Données projet'!$B$88,BD95+BC96-BL95)))</f>
        <v>550.00000000000034</v>
      </c>
      <c r="BE96" s="14">
        <f>BD96*VLOOKUP('Données projet'!$B$11,Paramètres!$A$1:$I$88,3,0)*VLOOKUP('Données projet'!$B$11,Paramètres!$A$1:$I$88,5,0)</f>
        <v>257.40000000000015</v>
      </c>
      <c r="BF96" s="14">
        <f t="shared" si="91"/>
        <v>62.167839264733466</v>
      </c>
      <c r="BG96" s="22">
        <f t="shared" si="61"/>
        <v>556.58065338607764</v>
      </c>
      <c r="BH96" s="62">
        <f t="shared" si="62"/>
        <v>843.61217803788691</v>
      </c>
      <c r="BI96" s="62">
        <f ca="1">AVERAGE(OFFSET($BH$3,0,0,'Données projet'!$E$11+1,1))-AVERAGE(OFFSET($H$3,0,0,'Données projet'!$E$11+1,1))</f>
        <v>364.96458059055169</v>
      </c>
      <c r="BJ96" s="62">
        <f t="shared" si="92"/>
        <v>246.27159120786257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projet'!$B$11,Paramètres!$A$1:$I$88,7,0))</f>
        <v>0</v>
      </c>
      <c r="BN96" s="17">
        <f>IF(ISNA(VLOOKUP(A96,'Données projet'!$A$87:$I$107,6,0)),0%,VLOOKUP(A96,'Données projet'!$A$87:$I$107,6,0)*VLOOKUP('Données projet'!$B$11,Paramètres!$A$1:$I$88,7,0))</f>
        <v>0</v>
      </c>
      <c r="BO96" s="17">
        <f>IF(ISNA(VLOOKUP(A96,'Données projet'!$A$87:$I$107,7,0)),0%,VLOOKUP(A96,'Données projet'!$A$87:$I$107,7,0))</f>
        <v>0</v>
      </c>
      <c r="BP96" s="23">
        <f>EXP(-LN(2)/35)*BP95+(1-EXP(-LN(2)/35))/(LN(2)/35)*BL96*BM96*VLOOKUP('Données projet'!$B$11,Paramètres!$A$1:$I$88,3,0)*0.475*44/12</f>
        <v>72.027450533907967</v>
      </c>
      <c r="BQ96" s="23">
        <f>EXP(-LN(2)/25)*BQ95+(1-EXP(-LN(2)/25))/(LN(2)/25)*Calculateur!BL96*Calculateur!BN96*VLOOKUP('Données projet'!$B$11,Paramètres!$A$1:$I$88,3,0)*0.475*44/12</f>
        <v>28.742355173366178</v>
      </c>
      <c r="BR96" s="23">
        <f>EXP(-LN(2)/2)*BR95+(1-EXP(-LN(2)/2))/(LN(2)/2)*BL96*BO96*VLOOKUP('Données projet'!$B$11,Paramètres!$A$1:$I$88,3,0)*0.475*44/12</f>
        <v>0</v>
      </c>
      <c r="BS96" s="24">
        <f t="shared" si="63"/>
        <v>100.76980570727414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68.281324905038886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-1.1368683772161603E-13</v>
      </c>
      <c r="BZ96" s="14">
        <f>BY96*VLOOKUP('Données projet'!$B$12,Paramètres!$A$1:$I$88,3,0)*VLOOKUP('Données projet'!$B$12,Paramètres!$A$1:$I$88,5,0)</f>
        <v>-1.1527845344971866E-13</v>
      </c>
      <c r="CA96" s="14" t="e">
        <f t="shared" si="93"/>
        <v>#NUM!</v>
      </c>
      <c r="CB96" s="22" t="e">
        <f t="shared" si="64"/>
        <v>#NUM!</v>
      </c>
      <c r="CC96" s="62" t="e">
        <f t="shared" si="65"/>
        <v>#NUM!</v>
      </c>
      <c r="CD96" s="62">
        <f ca="1">AVERAGE(OFFSET($CC$3,0,0,'Données projet'!$E$12+1,1))-AVERAGE(OFFSET($H$3,0,0,'Données projet'!$E$12+1,1))</f>
        <v>310.53598044763282</v>
      </c>
      <c r="CE96" s="62">
        <f t="shared" si="94"/>
        <v>322.01096634040596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projet'!$B$12,Paramètres!$A$1:$I$88,7,0))</f>
        <v>0</v>
      </c>
      <c r="CI96" s="17">
        <f>IF(ISNA(VLOOKUP(A96,'Données projet'!$A$113:$I$133,6,0)),0%,VLOOKUP(A96,'Données projet'!$A$113:$I$133,6,0)*VLOOKUP('Données projet'!$B$12,Paramètres!$A$1:$I$88,7,0))</f>
        <v>0</v>
      </c>
      <c r="CJ96" s="17">
        <f>IF(ISNA(VLOOKUP(A96,'Données projet'!$A$113:$I$133,7,0)),0%,VLOOKUP(A96,'Données projet'!$A$113:$I$133,7,0))</f>
        <v>0</v>
      </c>
      <c r="CK96" s="23">
        <f>EXP(-LN(2)/35)*CK95+(1-EXP(-LN(2)/35))/(LN(2)/35)*CG96*CH96*VLOOKUP('Données projet'!$B$12,Paramètres!$A$1:$I$88,3,0)*0.475*44/12</f>
        <v>37.611140415032693</v>
      </c>
      <c r="CL96" s="23">
        <f>EXP(-LN(2)/25)*CL95+(1-EXP(-LN(2)/25))/(LN(2)/25)*Calculateur!CG96*Calculateur!CI96*VLOOKUP('Données projet'!$B$12,Paramètres!$A$1:$I$88,3,0)*0.475*44/12</f>
        <v>0</v>
      </c>
      <c r="CM96" s="23">
        <f>EXP(-LN(2)/2)*CM95+(1-EXP(-LN(2)/2))/(LN(2)/2)*CG96*CJ96*VLOOKUP('Données projet'!$B$12,Paramètres!$A$1:$I$88,3,0)*0.475*44/12</f>
        <v>0</v>
      </c>
      <c r="CN96" s="24">
        <f t="shared" si="66"/>
        <v>37.611140415032693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68.281324905038886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projet'!$B$13,Paramètres!$A$1:$I$88,3,0)*VLOOKUP('Données projet'!$B$13,Paramètres!$A$1:$I$88,5,0)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projet'!$B$13,Paramètres!$A$1:$I$88,7,0))</f>
        <v>0</v>
      </c>
      <c r="DD96" s="17">
        <f>IF(ISNA(VLOOKUP(A96,'Données projet'!$A$139:$I$159,6,0)),0%,VLOOKUP(A96,'Données projet'!$A$139:$I$159,6,0)*VLOOKUP('Données projet'!$B$13,Paramètres!$A$1:$I$88,7,0))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projet'!$B$13,Paramètres!$A$1:$I$88,3,0)*0.475*44/12</f>
        <v>#N/A</v>
      </c>
      <c r="DG96" s="23" t="e">
        <f>EXP(-LN(2)/25)*DG95+(1-EXP(-LN(2)/25))/(LN(2)/25)*Calculateur!DB96*Calculateur!DD96*VLOOKUP('Données projet'!$B$13,Paramètres!$A$1:$I$88,3,0)*0.475*44/12</f>
        <v>#N/A</v>
      </c>
      <c r="DH96" s="23" t="e">
        <f>EXP(-LN(2)/2)*DH95+(1-EXP(-LN(2)/2))/(LN(2)/2)*DB96*DE96*VLOOKUP('Données projet'!$B$13,Paramètres!$A$1:$I$88,3,0)*0.475*44/12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68.281324905038886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projet'!$B$14,Paramètres!$A$1:$I$88,3,0)*VLOOKUP('Données projet'!$B$14,Paramètres!$A$1:$I$88,5,0)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projet'!$B$14,Paramètres!$A$1:$I$88,7,0))</f>
        <v>0</v>
      </c>
      <c r="DY96" s="17">
        <f>IF(ISNA(VLOOKUP(A96,'Données projet'!$A$165:$I$185,6,0)),0%,VLOOKUP(A96,'Données projet'!$A$165:$I$185,6,0)*VLOOKUP('Données projet'!$B$14,Paramètres!$A$1:$I$88,7,0))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projet'!$B$14,Paramètres!$A$1:$I$88,3,0)*0.475*44/12</f>
        <v>#N/A</v>
      </c>
      <c r="EB96" s="23" t="e">
        <f>EXP(-LN(2)/25)*EB95+(1-EXP(-LN(2)/25))/(LN(2)/25)*Calculateur!DW96*Calculateur!DY96*VLOOKUP('Données projet'!$B$14,Paramètres!$A$1:$I$88,3,0)*0.475*44/12</f>
        <v>#N/A</v>
      </c>
      <c r="EC96" s="23" t="e">
        <f>EXP(-LN(2)/2)*EC95+(1-EXP(-LN(2)/2))/(LN(2)/2)*DW96*DZ96*VLOOKUP('Données projet'!$B$14,Paramètres!$A$1:$I$88,3,0)*0.475*44/12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68.281324905038886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projet'!$B$15,Paramètres!$A$1:$I$88,3,0)*VLOOKUP('Données projet'!$B$15,Paramètres!$A$1:$I$88,5,0)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projet'!$B$15,Paramètres!$A$1:$I$88,7,0))</f>
        <v>0</v>
      </c>
      <c r="ET96" s="17">
        <f>IF(ISNA(VLOOKUP(A96,'Données projet'!$A$191:$I$211,6,0)),0%,VLOOKUP(A96,'Données projet'!$A$191:$I$211,6,0)*VLOOKUP('Données projet'!$B$15,Paramètres!$A$1:$I$88,7,0))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projet'!$B$15,Paramètres!$A$1:$I$88,3,0)*0.475*44/12</f>
        <v>#N/A</v>
      </c>
      <c r="EW96" s="23" t="e">
        <f>EXP(-LN(2)/25)*EW95+(1-EXP(-LN(2)/25))/(LN(2)/25)*Calculateur!ER96*Calculateur!ET96*VLOOKUP('Données projet'!$B$15,Paramètres!$A$1:$I$88,3,0)*0.475*44/12</f>
        <v>#N/A</v>
      </c>
      <c r="EX96" s="23" t="e">
        <f>EXP(-LN(2)/2)*EX95+(1-EXP(-LN(2)/2))/(LN(2)/2)*ER96*EU96*VLOOKUP('Données projet'!$B$15,Paramètres!$A$1:$I$88,3,0)*0.475*44/12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68.281324905038886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projet'!$B$16,Paramètres!$A$1:$I$88,3,0)*VLOOKUP('Données projet'!$B$16,Paramètres!$A$1:$I$88,5,0)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projet'!$B$16,Paramètres!$A$1:$I$88,7,0))</f>
        <v>0</v>
      </c>
      <c r="FO96" s="17">
        <f>IF(ISNA(VLOOKUP(A96,'Données projet'!$A$217:$I$237,6,0)),0%,VLOOKUP(A96,'Données projet'!$A$217:$I$237,6,0)*VLOOKUP('Données projet'!$B$16,Paramètres!$A$1:$I$88,7,0))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projet'!$B$16,Paramètres!$A$1:$I$88,3,0)*0.475*44/12</f>
        <v>#N/A</v>
      </c>
      <c r="FR96" s="23" t="e">
        <f>EXP(-LN(2)/25)*FR95+(1-EXP(-LN(2)/25))/(LN(2)/25)*Calculateur!FM96*Calculateur!FO96*VLOOKUP('Données projet'!$B$16,Paramètres!$A$1:$I$88,3,0)*0.475*44/12</f>
        <v>#N/A</v>
      </c>
      <c r="FS96" s="23" t="e">
        <f>EXP(-LN(2)/2)*FS95+(1-EXP(-LN(2)/2))/(LN(2)/2)*FM96*FP96*VLOOKUP('Données projet'!$B$16,Paramètres!$A$1:$I$88,3,0)*0.475*44/12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68.281324905038886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projet'!$B$17,Paramètres!$A$1:$I$88,3,0)*VLOOKUP('Données projet'!$B$17,Paramètres!$A$1:$I$88,5,0)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projet'!$B$17,Paramètres!$A$1:$I$88,7,0))</f>
        <v>0</v>
      </c>
      <c r="GJ96" s="17">
        <f>IF(ISNA(VLOOKUP(A96,'Données projet'!$A$243:$I$263,6,0)),0%,VLOOKUP(A96,'Données projet'!$A$243:$I$263,6,0)*VLOOKUP('Données projet'!$B$17,Paramètres!$A$1:$I$88,7,0))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projet'!$B$17,Paramètres!$A$1:$I$88,3,0)*0.475*44/12</f>
        <v>#N/A</v>
      </c>
      <c r="GM96" s="23" t="e">
        <f>EXP(-LN(2)/25)*GM95+(1-EXP(-LN(2)/25))/(LN(2)/25)*Calculateur!GH96*Calculateur!GJ96*VLOOKUP('Données projet'!$B$17,Paramètres!$A$1:$I$88,3,0)*0.475*44/12</f>
        <v>#N/A</v>
      </c>
      <c r="GN96" s="23" t="e">
        <f>EXP(-LN(2)/2)*GN95+(1-EXP(-LN(2)/2))/(LN(2)/2)*GH96*GK96*VLOOKUP('Données projet'!$B$17,Paramètres!$A$1:$I$88,3,0)*0.475*44/12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68.281324905038886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projet'!$B$18,Paramètres!$A$1:$I$88,3,0)*VLOOKUP('Données projet'!$B$18,Paramètres!$A$1:$I$88,5,0)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projet'!$B$18,Paramètres!$A$1:$I$88,7,0))</f>
        <v>0</v>
      </c>
      <c r="HE96" s="17">
        <f>IF(ISNA(VLOOKUP(A96,'Données projet'!$A$269:$I$289,6,0)),0%,VLOOKUP(A96,'Données projet'!$A$269:$I$289,6,0)*VLOOKUP('Données projet'!$B$18,Paramètres!$A$1:$I$88,7,0))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projet'!$B$18,Paramètres!$A$1:$I$88,3,0)*0.475*44/12</f>
        <v>#N/A</v>
      </c>
      <c r="HH96" s="23" t="e">
        <f>EXP(-LN(2)/25)*HH95+(1-EXP(-LN(2)/25))/(LN(2)/25)*Calculateur!HC96*Calculateur!HE96*VLOOKUP('Données projet'!$B$18,Paramètres!$A$1:$I$88,3,0)*0.475*44/12</f>
        <v>#N/A</v>
      </c>
      <c r="HI96" s="23" t="e">
        <f>EXP(-LN(2)/2)*HI95+(1-EXP(-LN(2)/2))/(LN(2)/2)*HC96*HF96*VLOOKUP('Données projet'!$B$18,Paramètres!$A$1:$I$88,3,0)*0.475*44/12</f>
        <v>#N/A</v>
      </c>
      <c r="HJ96" s="24" t="e">
        <f t="shared" si="84"/>
        <v>#N/A</v>
      </c>
    </row>
    <row r="97" spans="1:218" s="5" customFormat="1" x14ac:dyDescent="0.35">
      <c r="A97" s="11">
        <f t="shared" si="85"/>
        <v>94</v>
      </c>
      <c r="B97" s="77">
        <f>'Scénario référence'!$B$16*5+'Scénario référence'!$B$17*0+'Scénario référence'!$B$18*5</f>
        <v>1.75</v>
      </c>
      <c r="C97" s="20">
        <f>Calculateur!C96+'Scénario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97" s="12">
        <f t="shared" si="86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6.416666666666667</v>
      </c>
      <c r="H97" s="70">
        <f t="shared" si="56"/>
        <v>231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68.31114007555459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3.4106051316484809E-13</v>
      </c>
      <c r="O97" s="14">
        <f>N97*VLOOKUP('Données projet'!$B$9,Paramètres!$A$1:$I$88,3,0)*VLOOKUP('Données projet'!$B$9,Paramètres!$A$1:$I$88,5,0)</f>
        <v>1.9065282685915009E-13</v>
      </c>
      <c r="P97" s="14">
        <f t="shared" si="87"/>
        <v>2.6568987209435707E-12</v>
      </c>
      <c r="Q97" s="22">
        <f t="shared" si="54"/>
        <v>4.959485612423072E-12</v>
      </c>
      <c r="R97" s="62">
        <f t="shared" si="55"/>
        <v>287.14084694370513</v>
      </c>
      <c r="S97" s="62">
        <f ca="1">AVERAGE(OFFSET($R$3,0,0,'Données projet'!$E$9+1,1))-AVERAGE(OFFSET($H$3,0,0,'Données projet'!$E$9+1,1))</f>
        <v>341.05096821796769</v>
      </c>
      <c r="T97" s="62">
        <f t="shared" si="88"/>
        <v>400.72519822215168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projet'!$B$9,Paramètres!$A$1:$I$88,7,0))</f>
        <v>0</v>
      </c>
      <c r="X97" s="17">
        <f>IF(ISNA(VLOOKUP(A97,'Données projet'!$A$35:$I$55,6,0)),0%,VLOOKUP(A97,'Données projet'!$A$35:$I$55,6,0)*VLOOKUP('Données projet'!$B$9,Paramètres!$A$1:$I$88,7,0))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projet'!$B$9,Paramètres!$A$1:$I$88,3,0)*0.475*44/12</f>
        <v>122.20916836262364</v>
      </c>
      <c r="AA97" s="23">
        <f>EXP(-LN(2)/25)*AA96+(1-EXP(-LN(2)/25))/(LN(2)/25)*Calculateur!V97*Calculateur!X97*VLOOKUP('Données projet'!$B$9,Paramètres!$A$1:$I$88,3,0)*0.475*44/12</f>
        <v>51.629146768885327</v>
      </c>
      <c r="AB97" s="23">
        <f>EXP(-LN(2)/2)*AB96+(1-EXP(-LN(2)/2))/(LN(2)/2)*V97*Y97*VLOOKUP('Données projet'!$B$9,Paramètres!$A$1:$I$88,3,0)*0.475*44/12</f>
        <v>0</v>
      </c>
      <c r="AC97" s="24">
        <f t="shared" si="57"/>
        <v>173.83831513150898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68.31114007555459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5.6843418860808015E-14</v>
      </c>
      <c r="AJ97" s="14">
        <f>AI97*VLOOKUP('Données projet'!$B$10,Paramètres!$A$1:$I$88,3,0)*VLOOKUP('Données projet'!$B$10,Paramètres!$A$1:$I$88,5,0)</f>
        <v>3.3992364478763198E-14</v>
      </c>
      <c r="AK97" s="14">
        <f t="shared" si="89"/>
        <v>5.790027782444094E-13</v>
      </c>
      <c r="AL97" s="22">
        <f t="shared" si="58"/>
        <v>1.0676332069095257E-12</v>
      </c>
      <c r="AM97" s="62">
        <f t="shared" si="59"/>
        <v>287.14084694370126</v>
      </c>
      <c r="AN97" s="62">
        <f ca="1">AVERAGE(OFFSET($AM$3,0,0,'Données projet'!$E$10+1,1))-AVERAGE(OFFSET($H$3,0,0,'Données projet'!$E$10+1,1))</f>
        <v>231.96474801342879</v>
      </c>
      <c r="AO97" s="62">
        <f t="shared" si="90"/>
        <v>237.75726086383668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projet'!$B$10,Paramètres!$A$1:$I$88,7,0))</f>
        <v>0</v>
      </c>
      <c r="AS97" s="17">
        <f>IF(ISNA(VLOOKUP(A97,'Données projet'!$A$61:$I$81,6,0)),0%,VLOOKUP(A97,'Données projet'!$A$61:$I$81,6,0)*VLOOKUP('Données projet'!$B$10,Paramètres!$A$1:$I$88,7,0))</f>
        <v>0</v>
      </c>
      <c r="AT97" s="17">
        <f>IF(ISNA(VLOOKUP(A97,'Données projet'!$A$61:$I$81,7,0)),0%,VLOOKUP(A97,'Données projet'!$A$61:$I$81,7,0))</f>
        <v>0</v>
      </c>
      <c r="AU97" s="23">
        <f>EXP(-LN(2)/35)*AU96+(1-EXP(-LN(2)/35))/(LN(2)/35)*AQ97*AR97*VLOOKUP('Données projet'!$B$10,Paramètres!$A$1:$I$88,3,0)*0.475*44/12</f>
        <v>48.193128254535893</v>
      </c>
      <c r="AV97" s="23">
        <f>EXP(-LN(2)/25)*AV96+(1-EXP(-LN(2)/25))/(LN(2)/25)*Calculateur!AQ97*Calculateur!AS97*VLOOKUP('Données projet'!$B$10,Paramètres!$A$1:$I$88,3,0)*0.475*44/12</f>
        <v>21.801683312066739</v>
      </c>
      <c r="AW97" s="23">
        <f>EXP(-LN(2)/2)*AW96+(1-EXP(-LN(2)/2))/(LN(2)/2)*AQ97*AT97*VLOOKUP('Données projet'!$B$10,Paramètres!$A$1:$I$88,3,0)*0.475*44/12</f>
        <v>0</v>
      </c>
      <c r="AX97" s="23">
        <f t="shared" si="60"/>
        <v>69.994811566602635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68.31114007555459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13</v>
      </c>
      <c r="BD97" s="13">
        <f>IF('Données projet'!$A$88&gt;35,BD96+BC97-BL96,IF(A97&lt;'Données projet'!$A$88,$BA$205^A97,IF(A97='Données projet'!$A$88,'Données projet'!$B$88,BD96+BC97-BL96)))</f>
        <v>563.00000000000034</v>
      </c>
      <c r="BE97" s="14">
        <f>BD97*VLOOKUP('Données projet'!$B$11,Paramètres!$A$1:$I$88,3,0)*VLOOKUP('Données projet'!$B$11,Paramètres!$A$1:$I$88,5,0)</f>
        <v>263.48400000000015</v>
      </c>
      <c r="BF97" s="14">
        <f t="shared" si="91"/>
        <v>63.464449656011489</v>
      </c>
      <c r="BG97" s="22">
        <f t="shared" si="61"/>
        <v>569.43521648422018</v>
      </c>
      <c r="BH97" s="62">
        <f t="shared" si="62"/>
        <v>856.57606342792042</v>
      </c>
      <c r="BI97" s="62">
        <f ca="1">AVERAGE(OFFSET($BH$3,0,0,'Données projet'!$E$11+1,1))-AVERAGE(OFFSET($H$3,0,0,'Données projet'!$E$11+1,1))</f>
        <v>364.96458059055169</v>
      </c>
      <c r="BJ97" s="62">
        <f t="shared" si="92"/>
        <v>246.27159120786257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projet'!$B$11,Paramètres!$A$1:$I$88,7,0))</f>
        <v>0</v>
      </c>
      <c r="BN97" s="17">
        <f>IF(ISNA(VLOOKUP(A97,'Données projet'!$A$87:$I$107,6,0)),0%,VLOOKUP(A97,'Données projet'!$A$87:$I$107,6,0)*VLOOKUP('Données projet'!$B$11,Paramètres!$A$1:$I$88,7,0))</f>
        <v>0</v>
      </c>
      <c r="BO97" s="17">
        <f>IF(ISNA(VLOOKUP(A97,'Données projet'!$A$87:$I$107,7,0)),0%,VLOOKUP(A97,'Données projet'!$A$87:$I$107,7,0))</f>
        <v>0</v>
      </c>
      <c r="BP97" s="23">
        <f>EXP(-LN(2)/35)*BP96+(1-EXP(-LN(2)/35))/(LN(2)/35)*BL97*BM97*VLOOKUP('Données projet'!$B$11,Paramètres!$A$1:$I$88,3,0)*0.475*44/12</f>
        <v>70.615036161344889</v>
      </c>
      <c r="BQ97" s="23">
        <f>EXP(-LN(2)/25)*BQ96+(1-EXP(-LN(2)/25))/(LN(2)/25)*Calculateur!BL97*Calculateur!BN97*VLOOKUP('Données projet'!$B$11,Paramètres!$A$1:$I$88,3,0)*0.475*44/12</f>
        <v>27.956393959655713</v>
      </c>
      <c r="BR97" s="23">
        <f>EXP(-LN(2)/2)*BR96+(1-EXP(-LN(2)/2))/(LN(2)/2)*BL97*BO97*VLOOKUP('Données projet'!$B$11,Paramètres!$A$1:$I$88,3,0)*0.475*44/12</f>
        <v>0</v>
      </c>
      <c r="BS97" s="24">
        <f t="shared" si="63"/>
        <v>98.571430121000603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68.31114007555459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-1.1368683772161603E-13</v>
      </c>
      <c r="BZ97" s="14">
        <f>BY97*VLOOKUP('Données projet'!$B$12,Paramètres!$A$1:$I$88,3,0)*VLOOKUP('Données projet'!$B$12,Paramètres!$A$1:$I$88,5,0)</f>
        <v>-1.1527845344971866E-13</v>
      </c>
      <c r="CA97" s="14" t="e">
        <f t="shared" si="93"/>
        <v>#NUM!</v>
      </c>
      <c r="CB97" s="22" t="e">
        <f t="shared" si="64"/>
        <v>#NUM!</v>
      </c>
      <c r="CC97" s="62" t="e">
        <f t="shared" si="65"/>
        <v>#NUM!</v>
      </c>
      <c r="CD97" s="62">
        <f ca="1">AVERAGE(OFFSET($CC$3,0,0,'Données projet'!$E$12+1,1))-AVERAGE(OFFSET($H$3,0,0,'Données projet'!$E$12+1,1))</f>
        <v>310.53598044763282</v>
      </c>
      <c r="CE97" s="62">
        <f t="shared" si="94"/>
        <v>322.01096634040596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projet'!$B$12,Paramètres!$A$1:$I$88,7,0))</f>
        <v>0</v>
      </c>
      <c r="CI97" s="17">
        <f>IF(ISNA(VLOOKUP(A97,'Données projet'!$A$113:$I$133,6,0)),0%,VLOOKUP(A97,'Données projet'!$A$113:$I$133,6,0)*VLOOKUP('Données projet'!$B$12,Paramètres!$A$1:$I$88,7,0))</f>
        <v>0</v>
      </c>
      <c r="CJ97" s="17">
        <f>IF(ISNA(VLOOKUP(A97,'Données projet'!$A$113:$I$133,7,0)),0%,VLOOKUP(A97,'Données projet'!$A$113:$I$133,7,0))</f>
        <v>0</v>
      </c>
      <c r="CK97" s="23">
        <f>EXP(-LN(2)/35)*CK96+(1-EXP(-LN(2)/35))/(LN(2)/35)*CG97*CH97*VLOOKUP('Données projet'!$B$12,Paramètres!$A$1:$I$88,3,0)*0.475*44/12</f>
        <v>36.873608892024365</v>
      </c>
      <c r="CL97" s="23">
        <f>EXP(-LN(2)/25)*CL96+(1-EXP(-LN(2)/25))/(LN(2)/25)*Calculateur!CG97*Calculateur!CI97*VLOOKUP('Données projet'!$B$12,Paramètres!$A$1:$I$88,3,0)*0.475*44/12</f>
        <v>0</v>
      </c>
      <c r="CM97" s="23">
        <f>EXP(-LN(2)/2)*CM96+(1-EXP(-LN(2)/2))/(LN(2)/2)*CG97*CJ97*VLOOKUP('Données projet'!$B$12,Paramètres!$A$1:$I$88,3,0)*0.475*44/12</f>
        <v>0</v>
      </c>
      <c r="CN97" s="24">
        <f t="shared" si="66"/>
        <v>36.873608892024365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68.31114007555459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projet'!$B$13,Paramètres!$A$1:$I$88,3,0)*VLOOKUP('Données projet'!$B$13,Paramètres!$A$1:$I$88,5,0)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projet'!$B$13,Paramètres!$A$1:$I$88,7,0))</f>
        <v>0</v>
      </c>
      <c r="DD97" s="17">
        <f>IF(ISNA(VLOOKUP(A97,'Données projet'!$A$139:$I$159,6,0)),0%,VLOOKUP(A97,'Données projet'!$A$139:$I$159,6,0)*VLOOKUP('Données projet'!$B$13,Paramètres!$A$1:$I$88,7,0))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projet'!$B$13,Paramètres!$A$1:$I$88,3,0)*0.475*44/12</f>
        <v>#N/A</v>
      </c>
      <c r="DG97" s="23" t="e">
        <f>EXP(-LN(2)/25)*DG96+(1-EXP(-LN(2)/25))/(LN(2)/25)*Calculateur!DB97*Calculateur!DD97*VLOOKUP('Données projet'!$B$13,Paramètres!$A$1:$I$88,3,0)*0.475*44/12</f>
        <v>#N/A</v>
      </c>
      <c r="DH97" s="23" t="e">
        <f>EXP(-LN(2)/2)*DH96+(1-EXP(-LN(2)/2))/(LN(2)/2)*DB97*DE97*VLOOKUP('Données projet'!$B$13,Paramètres!$A$1:$I$88,3,0)*0.475*44/12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68.31114007555459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projet'!$B$14,Paramètres!$A$1:$I$88,3,0)*VLOOKUP('Données projet'!$B$14,Paramètres!$A$1:$I$88,5,0)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projet'!$B$14,Paramètres!$A$1:$I$88,7,0))</f>
        <v>0</v>
      </c>
      <c r="DY97" s="17">
        <f>IF(ISNA(VLOOKUP(A97,'Données projet'!$A$165:$I$185,6,0)),0%,VLOOKUP(A97,'Données projet'!$A$165:$I$185,6,0)*VLOOKUP('Données projet'!$B$14,Paramètres!$A$1:$I$88,7,0))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projet'!$B$14,Paramètres!$A$1:$I$88,3,0)*0.475*44/12</f>
        <v>#N/A</v>
      </c>
      <c r="EB97" s="23" t="e">
        <f>EXP(-LN(2)/25)*EB96+(1-EXP(-LN(2)/25))/(LN(2)/25)*Calculateur!DW97*Calculateur!DY97*VLOOKUP('Données projet'!$B$14,Paramètres!$A$1:$I$88,3,0)*0.475*44/12</f>
        <v>#N/A</v>
      </c>
      <c r="EC97" s="23" t="e">
        <f>EXP(-LN(2)/2)*EC96+(1-EXP(-LN(2)/2))/(LN(2)/2)*DW97*DZ97*VLOOKUP('Données projet'!$B$14,Paramètres!$A$1:$I$88,3,0)*0.475*44/12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68.31114007555459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projet'!$B$15,Paramètres!$A$1:$I$88,3,0)*VLOOKUP('Données projet'!$B$15,Paramètres!$A$1:$I$88,5,0)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projet'!$B$15,Paramètres!$A$1:$I$88,7,0))</f>
        <v>0</v>
      </c>
      <c r="ET97" s="17">
        <f>IF(ISNA(VLOOKUP(A97,'Données projet'!$A$191:$I$211,6,0)),0%,VLOOKUP(A97,'Données projet'!$A$191:$I$211,6,0)*VLOOKUP('Données projet'!$B$15,Paramètres!$A$1:$I$88,7,0))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projet'!$B$15,Paramètres!$A$1:$I$88,3,0)*0.475*44/12</f>
        <v>#N/A</v>
      </c>
      <c r="EW97" s="23" t="e">
        <f>EXP(-LN(2)/25)*EW96+(1-EXP(-LN(2)/25))/(LN(2)/25)*Calculateur!ER97*Calculateur!ET97*VLOOKUP('Données projet'!$B$15,Paramètres!$A$1:$I$88,3,0)*0.475*44/12</f>
        <v>#N/A</v>
      </c>
      <c r="EX97" s="23" t="e">
        <f>EXP(-LN(2)/2)*EX96+(1-EXP(-LN(2)/2))/(LN(2)/2)*ER97*EU97*VLOOKUP('Données projet'!$B$15,Paramètres!$A$1:$I$88,3,0)*0.475*44/12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68.31114007555459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projet'!$B$16,Paramètres!$A$1:$I$88,3,0)*VLOOKUP('Données projet'!$B$16,Paramètres!$A$1:$I$88,5,0)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projet'!$B$16,Paramètres!$A$1:$I$88,7,0))</f>
        <v>0</v>
      </c>
      <c r="FO97" s="17">
        <f>IF(ISNA(VLOOKUP(A97,'Données projet'!$A$217:$I$237,6,0)),0%,VLOOKUP(A97,'Données projet'!$A$217:$I$237,6,0)*VLOOKUP('Données projet'!$B$16,Paramètres!$A$1:$I$88,7,0))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projet'!$B$16,Paramètres!$A$1:$I$88,3,0)*0.475*44/12</f>
        <v>#N/A</v>
      </c>
      <c r="FR97" s="23" t="e">
        <f>EXP(-LN(2)/25)*FR96+(1-EXP(-LN(2)/25))/(LN(2)/25)*Calculateur!FM97*Calculateur!FO97*VLOOKUP('Données projet'!$B$16,Paramètres!$A$1:$I$88,3,0)*0.475*44/12</f>
        <v>#N/A</v>
      </c>
      <c r="FS97" s="23" t="e">
        <f>EXP(-LN(2)/2)*FS96+(1-EXP(-LN(2)/2))/(LN(2)/2)*FM97*FP97*VLOOKUP('Données projet'!$B$16,Paramètres!$A$1:$I$88,3,0)*0.475*44/12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68.31114007555459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projet'!$B$17,Paramètres!$A$1:$I$88,3,0)*VLOOKUP('Données projet'!$B$17,Paramètres!$A$1:$I$88,5,0)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projet'!$B$17,Paramètres!$A$1:$I$88,7,0))</f>
        <v>0</v>
      </c>
      <c r="GJ97" s="17">
        <f>IF(ISNA(VLOOKUP(A97,'Données projet'!$A$243:$I$263,6,0)),0%,VLOOKUP(A97,'Données projet'!$A$243:$I$263,6,0)*VLOOKUP('Données projet'!$B$17,Paramètres!$A$1:$I$88,7,0))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projet'!$B$17,Paramètres!$A$1:$I$88,3,0)*0.475*44/12</f>
        <v>#N/A</v>
      </c>
      <c r="GM97" s="23" t="e">
        <f>EXP(-LN(2)/25)*GM96+(1-EXP(-LN(2)/25))/(LN(2)/25)*Calculateur!GH97*Calculateur!GJ97*VLOOKUP('Données projet'!$B$17,Paramètres!$A$1:$I$88,3,0)*0.475*44/12</f>
        <v>#N/A</v>
      </c>
      <c r="GN97" s="23" t="e">
        <f>EXP(-LN(2)/2)*GN96+(1-EXP(-LN(2)/2))/(LN(2)/2)*GH97*GK97*VLOOKUP('Données projet'!$B$17,Paramètres!$A$1:$I$88,3,0)*0.475*44/12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68.31114007555459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projet'!$B$18,Paramètres!$A$1:$I$88,3,0)*VLOOKUP('Données projet'!$B$18,Paramètres!$A$1:$I$88,5,0)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projet'!$B$18,Paramètres!$A$1:$I$88,7,0))</f>
        <v>0</v>
      </c>
      <c r="HE97" s="17">
        <f>IF(ISNA(VLOOKUP(A97,'Données projet'!$A$269:$I$289,6,0)),0%,VLOOKUP(A97,'Données projet'!$A$269:$I$289,6,0)*VLOOKUP('Données projet'!$B$18,Paramètres!$A$1:$I$88,7,0))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projet'!$B$18,Paramètres!$A$1:$I$88,3,0)*0.475*44/12</f>
        <v>#N/A</v>
      </c>
      <c r="HH97" s="23" t="e">
        <f>EXP(-LN(2)/25)*HH96+(1-EXP(-LN(2)/25))/(LN(2)/25)*Calculateur!HC97*Calculateur!HE97*VLOOKUP('Données projet'!$B$18,Paramètres!$A$1:$I$88,3,0)*0.475*44/12</f>
        <v>#N/A</v>
      </c>
      <c r="HI97" s="23" t="e">
        <f>EXP(-LN(2)/2)*HI96+(1-EXP(-LN(2)/2))/(LN(2)/2)*HC97*HF97*VLOOKUP('Données projet'!$B$18,Paramètres!$A$1:$I$88,3,0)*0.475*44/12</f>
        <v>#N/A</v>
      </c>
      <c r="HJ97" s="24" t="e">
        <f t="shared" si="84"/>
        <v>#N/A</v>
      </c>
    </row>
    <row r="98" spans="1:218" s="5" customFormat="1" x14ac:dyDescent="0.35">
      <c r="A98" s="11">
        <f t="shared" si="85"/>
        <v>95</v>
      </c>
      <c r="B98" s="77">
        <f>'Scénario référence'!$B$16*5+'Scénario référence'!$B$17*0+'Scénario référence'!$B$18*5</f>
        <v>1.75</v>
      </c>
      <c r="C98" s="20">
        <f>Calculateur!C97+'Scénario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98" s="12">
        <f t="shared" si="86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6.416666666666667</v>
      </c>
      <c r="H98" s="70">
        <f t="shared" si="56"/>
        <v>231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68.340438019518558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3.4106051316484809E-13</v>
      </c>
      <c r="O98" s="14">
        <f>N98*VLOOKUP('Données projet'!$B$9,Paramètres!$A$1:$I$88,3,0)*VLOOKUP('Données projet'!$B$9,Paramètres!$A$1:$I$88,5,0)</f>
        <v>1.9065282685915009E-13</v>
      </c>
      <c r="P98" s="14">
        <f t="shared" si="87"/>
        <v>2.6568987209435707E-12</v>
      </c>
      <c r="Q98" s="22">
        <f t="shared" si="54"/>
        <v>4.959485612423072E-12</v>
      </c>
      <c r="R98" s="62">
        <f t="shared" si="55"/>
        <v>287.24827273823962</v>
      </c>
      <c r="S98" s="62">
        <f ca="1">AVERAGE(OFFSET($R$3,0,0,'Données projet'!$E$9+1,1))-AVERAGE(OFFSET($H$3,0,0,'Données projet'!$E$9+1,1))</f>
        <v>341.05096821796769</v>
      </c>
      <c r="T98" s="62">
        <f t="shared" si="88"/>
        <v>400.72519822215168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projet'!$B$9,Paramètres!$A$1:$I$88,7,0))</f>
        <v>0</v>
      </c>
      <c r="X98" s="17">
        <f>IF(ISNA(VLOOKUP(A98,'Données projet'!$A$35:$I$55,6,0)),0%,VLOOKUP(A98,'Données projet'!$A$35:$I$55,6,0)*VLOOKUP('Données projet'!$B$9,Paramètres!$A$1:$I$88,7,0))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projet'!$B$9,Paramètres!$A$1:$I$88,3,0)*0.475*44/12</f>
        <v>119.81272111126506</v>
      </c>
      <c r="AA98" s="23">
        <f>EXP(-LN(2)/25)*AA97+(1-EXP(-LN(2)/25))/(LN(2)/25)*Calculateur!V98*Calculateur!X98*VLOOKUP('Données projet'!$B$9,Paramètres!$A$1:$I$88,3,0)*0.475*44/12</f>
        <v>50.217345035431329</v>
      </c>
      <c r="AB98" s="23">
        <f>EXP(-LN(2)/2)*AB97+(1-EXP(-LN(2)/2))/(LN(2)/2)*V98*Y98*VLOOKUP('Données projet'!$B$9,Paramètres!$A$1:$I$88,3,0)*0.475*44/12</f>
        <v>0</v>
      </c>
      <c r="AC98" s="24">
        <f t="shared" si="57"/>
        <v>170.03006614669638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68.340438019518558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5.6843418860808015E-14</v>
      </c>
      <c r="AJ98" s="14">
        <f>AI98*VLOOKUP('Données projet'!$B$10,Paramètres!$A$1:$I$88,3,0)*VLOOKUP('Données projet'!$B$10,Paramètres!$A$1:$I$88,5,0)</f>
        <v>3.3992364478763198E-14</v>
      </c>
      <c r="AK98" s="14">
        <f t="shared" si="89"/>
        <v>5.790027782444094E-13</v>
      </c>
      <c r="AL98" s="22">
        <f t="shared" si="58"/>
        <v>1.0676332069095257E-12</v>
      </c>
      <c r="AM98" s="62">
        <f t="shared" si="59"/>
        <v>287.24827273823576</v>
      </c>
      <c r="AN98" s="62">
        <f ca="1">AVERAGE(OFFSET($AM$3,0,0,'Données projet'!$E$10+1,1))-AVERAGE(OFFSET($H$3,0,0,'Données projet'!$E$10+1,1))</f>
        <v>231.96474801342879</v>
      </c>
      <c r="AO98" s="62">
        <f t="shared" si="90"/>
        <v>237.75726086383668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projet'!$B$10,Paramètres!$A$1:$I$88,7,0))</f>
        <v>0</v>
      </c>
      <c r="AS98" s="17">
        <f>IF(ISNA(VLOOKUP(A98,'Données projet'!$A$61:$I$81,6,0)),0%,VLOOKUP(A98,'Données projet'!$A$61:$I$81,6,0)*VLOOKUP('Données projet'!$B$10,Paramètres!$A$1:$I$88,7,0))</f>
        <v>0</v>
      </c>
      <c r="AT98" s="17">
        <f>IF(ISNA(VLOOKUP(A98,'Données projet'!$A$61:$I$81,7,0)),0%,VLOOKUP(A98,'Données projet'!$A$61:$I$81,7,0))</f>
        <v>0</v>
      </c>
      <c r="AU98" s="23">
        <f>EXP(-LN(2)/35)*AU97+(1-EXP(-LN(2)/35))/(LN(2)/35)*AQ98*AR98*VLOOKUP('Données projet'!$B$10,Paramètres!$A$1:$I$88,3,0)*0.475*44/12</f>
        <v>47.248090404370174</v>
      </c>
      <c r="AV98" s="23">
        <f>EXP(-LN(2)/25)*AV97+(1-EXP(-LN(2)/25))/(LN(2)/25)*Calculateur!AQ98*Calculateur!AS98*VLOOKUP('Données projet'!$B$10,Paramètres!$A$1:$I$88,3,0)*0.475*44/12</f>
        <v>21.205515135397576</v>
      </c>
      <c r="AW98" s="23">
        <f>EXP(-LN(2)/2)*AW97+(1-EXP(-LN(2)/2))/(LN(2)/2)*AQ98*AT98*VLOOKUP('Données projet'!$B$10,Paramètres!$A$1:$I$88,3,0)*0.475*44/12</f>
        <v>0</v>
      </c>
      <c r="AX98" s="23">
        <f t="shared" si="60"/>
        <v>68.45360553976775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68.340438019518558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>
        <f>VLOOKUP(A98,'Données projet'!$A$87:$I$107,2,0)</f>
        <v>576</v>
      </c>
      <c r="BB98" s="13">
        <f>VLOOKUP(A98,'Données projet'!$A$87:$I$107,9,0)</f>
        <v>13</v>
      </c>
      <c r="BC98" s="13">
        <f t="array" ref="BC98">INDEX(BB:BB,MIN(IF(ISNUMBER(BB98:BB294),ROW(BB98:BB294),"")))</f>
        <v>13</v>
      </c>
      <c r="BD98" s="13">
        <f>IF('Données projet'!$A$88&gt;35,BD97+BC98-BL97,IF(A98&lt;'Données projet'!$A$88,$BA$205^A98,IF(A98='Données projet'!$A$88,'Données projet'!$B$88,BD97+BC98-BL97)))</f>
        <v>576.00000000000034</v>
      </c>
      <c r="BE98" s="14">
        <f>BD98*VLOOKUP('Données projet'!$B$11,Paramètres!$A$1:$I$88,3,0)*VLOOKUP('Données projet'!$B$11,Paramètres!$A$1:$I$88,5,0)</f>
        <v>269.56800000000015</v>
      </c>
      <c r="BF98" s="14">
        <f t="shared" si="91"/>
        <v>64.757579442439919</v>
      </c>
      <c r="BG98" s="22">
        <f t="shared" si="61"/>
        <v>582.28371752891633</v>
      </c>
      <c r="BH98" s="62">
        <f t="shared" si="62"/>
        <v>869.53199026715106</v>
      </c>
      <c r="BI98" s="62">
        <f ca="1">AVERAGE(OFFSET($BH$3,0,0,'Données projet'!$E$11+1,1))-AVERAGE(OFFSET($H$3,0,0,'Données projet'!$E$11+1,1))</f>
        <v>364.96458059055169</v>
      </c>
      <c r="BJ98" s="62">
        <f t="shared" si="92"/>
        <v>246.27159120786257</v>
      </c>
      <c r="BK98" s="16">
        <f>IF(ISNA(VLOOKUP(A98,'Données projet'!$A$87:$I$107,3,0)),0,VLOOKUP(A98,'Données projet'!$A$87:$I$107,3,0))</f>
        <v>6</v>
      </c>
      <c r="BL98" s="16">
        <f>IF(ISNA(VLOOKUP(A98,'Données projet'!$A$87:$I$107,4,0)),0,VLOOKUP(A98,'Données projet'!$A$87:$I$107,4,0))</f>
        <v>103</v>
      </c>
      <c r="BM98" s="17">
        <f>IF(ISNA(VLOOKUP(A98,'Données projet'!$A$87:$I$107,5,0)),0%,VLOOKUP(A98,'Données projet'!$A$87:$I$107,5,0)*VLOOKUP('Données projet'!$B$11,Paramètres!$A$1:$I$88,7,0))</f>
        <v>0.38500000000000001</v>
      </c>
      <c r="BN98" s="17">
        <f>IF(ISNA(VLOOKUP(A98,'Données projet'!$A$87:$I$107,6,0)),0%,VLOOKUP(A98,'Données projet'!$A$87:$I$107,6,0)*VLOOKUP('Données projet'!$B$11,Paramètres!$A$1:$I$88,7,0))</f>
        <v>0.16500000000000001</v>
      </c>
      <c r="BO98" s="17">
        <f>IF(ISNA(VLOOKUP(A98,'Données projet'!$A$87:$I$107,7,0)),0%,VLOOKUP(A98,'Données projet'!$A$87:$I$107,7,0))</f>
        <v>0</v>
      </c>
      <c r="BP98" s="23">
        <f>EXP(-LN(2)/35)*BP97+(1-EXP(-LN(2)/35))/(LN(2)/35)*BL98*BM98*VLOOKUP('Données projet'!$B$11,Paramètres!$A$1:$I$88,3,0)*0.475*44/12</f>
        <v>93.849417881993006</v>
      </c>
      <c r="BQ98" s="23">
        <f>EXP(-LN(2)/25)*BQ97+(1-EXP(-LN(2)/25))/(LN(2)/25)*Calculateur!BL98*Calculateur!BN98*VLOOKUP('Données projet'!$B$11,Paramètres!$A$1:$I$88,3,0)*0.475*44/12</f>
        <v>37.701424068155021</v>
      </c>
      <c r="BR98" s="23">
        <f>EXP(-LN(2)/2)*BR97+(1-EXP(-LN(2)/2))/(LN(2)/2)*BL98*BO98*VLOOKUP('Données projet'!$B$11,Paramètres!$A$1:$I$88,3,0)*0.475*44/12</f>
        <v>0</v>
      </c>
      <c r="BS98" s="24">
        <f t="shared" si="63"/>
        <v>131.55084195014803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68.340438019518558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-1.1368683772161603E-13</v>
      </c>
      <c r="BZ98" s="14">
        <f>BY98*VLOOKUP('Données projet'!$B$12,Paramètres!$A$1:$I$88,3,0)*VLOOKUP('Données projet'!$B$12,Paramètres!$A$1:$I$88,5,0)</f>
        <v>-1.1527845344971866E-13</v>
      </c>
      <c r="CA98" s="14" t="e">
        <f t="shared" si="93"/>
        <v>#NUM!</v>
      </c>
      <c r="CB98" s="22" t="e">
        <f t="shared" si="64"/>
        <v>#NUM!</v>
      </c>
      <c r="CC98" s="62" t="e">
        <f t="shared" si="65"/>
        <v>#NUM!</v>
      </c>
      <c r="CD98" s="62">
        <f ca="1">AVERAGE(OFFSET($CC$3,0,0,'Données projet'!$E$12+1,1))-AVERAGE(OFFSET($H$3,0,0,'Données projet'!$E$12+1,1))</f>
        <v>310.53598044763282</v>
      </c>
      <c r="CE98" s="62">
        <f t="shared" si="94"/>
        <v>322.01096634040596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projet'!$B$12,Paramètres!$A$1:$I$88,7,0))</f>
        <v>0</v>
      </c>
      <c r="CI98" s="17">
        <f>IF(ISNA(VLOOKUP(A98,'Données projet'!$A$113:$I$133,6,0)),0%,VLOOKUP(A98,'Données projet'!$A$113:$I$133,6,0)*VLOOKUP('Données projet'!$B$12,Paramètres!$A$1:$I$88,7,0))</f>
        <v>0</v>
      </c>
      <c r="CJ98" s="17">
        <f>IF(ISNA(VLOOKUP(A98,'Données projet'!$A$113:$I$133,7,0)),0%,VLOOKUP(A98,'Données projet'!$A$113:$I$133,7,0))</f>
        <v>0</v>
      </c>
      <c r="CK98" s="23">
        <f>EXP(-LN(2)/35)*CK97+(1-EXP(-LN(2)/35))/(LN(2)/35)*CG98*CH98*VLOOKUP('Données projet'!$B$12,Paramètres!$A$1:$I$88,3,0)*0.475*44/12</f>
        <v>36.15053991233242</v>
      </c>
      <c r="CL98" s="23">
        <f>EXP(-LN(2)/25)*CL97+(1-EXP(-LN(2)/25))/(LN(2)/25)*Calculateur!CG98*Calculateur!CI98*VLOOKUP('Données projet'!$B$12,Paramètres!$A$1:$I$88,3,0)*0.475*44/12</f>
        <v>0</v>
      </c>
      <c r="CM98" s="23">
        <f>EXP(-LN(2)/2)*CM97+(1-EXP(-LN(2)/2))/(LN(2)/2)*CG98*CJ98*VLOOKUP('Données projet'!$B$12,Paramètres!$A$1:$I$88,3,0)*0.475*44/12</f>
        <v>0</v>
      </c>
      <c r="CN98" s="24">
        <f t="shared" si="66"/>
        <v>36.15053991233242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68.340438019518558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projet'!$B$13,Paramètres!$A$1:$I$88,3,0)*VLOOKUP('Données projet'!$B$13,Paramètres!$A$1:$I$88,5,0)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projet'!$B$13,Paramètres!$A$1:$I$88,7,0))</f>
        <v>0</v>
      </c>
      <c r="DD98" s="17">
        <f>IF(ISNA(VLOOKUP(A98,'Données projet'!$A$139:$I$159,6,0)),0%,VLOOKUP(A98,'Données projet'!$A$139:$I$159,6,0)*VLOOKUP('Données projet'!$B$13,Paramètres!$A$1:$I$88,7,0))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projet'!$B$13,Paramètres!$A$1:$I$88,3,0)*0.475*44/12</f>
        <v>#N/A</v>
      </c>
      <c r="DG98" s="23" t="e">
        <f>EXP(-LN(2)/25)*DG97+(1-EXP(-LN(2)/25))/(LN(2)/25)*Calculateur!DB98*Calculateur!DD98*VLOOKUP('Données projet'!$B$13,Paramètres!$A$1:$I$88,3,0)*0.475*44/12</f>
        <v>#N/A</v>
      </c>
      <c r="DH98" s="23" t="e">
        <f>EXP(-LN(2)/2)*DH97+(1-EXP(-LN(2)/2))/(LN(2)/2)*DB98*DE98*VLOOKUP('Données projet'!$B$13,Paramètres!$A$1:$I$88,3,0)*0.475*44/12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68.340438019518558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projet'!$B$14,Paramètres!$A$1:$I$88,3,0)*VLOOKUP('Données projet'!$B$14,Paramètres!$A$1:$I$88,5,0)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projet'!$B$14,Paramètres!$A$1:$I$88,7,0))</f>
        <v>0</v>
      </c>
      <c r="DY98" s="17">
        <f>IF(ISNA(VLOOKUP(A98,'Données projet'!$A$165:$I$185,6,0)),0%,VLOOKUP(A98,'Données projet'!$A$165:$I$185,6,0)*VLOOKUP('Données projet'!$B$14,Paramètres!$A$1:$I$88,7,0))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projet'!$B$14,Paramètres!$A$1:$I$88,3,0)*0.475*44/12</f>
        <v>#N/A</v>
      </c>
      <c r="EB98" s="23" t="e">
        <f>EXP(-LN(2)/25)*EB97+(1-EXP(-LN(2)/25))/(LN(2)/25)*Calculateur!DW98*Calculateur!DY98*VLOOKUP('Données projet'!$B$14,Paramètres!$A$1:$I$88,3,0)*0.475*44/12</f>
        <v>#N/A</v>
      </c>
      <c r="EC98" s="23" t="e">
        <f>EXP(-LN(2)/2)*EC97+(1-EXP(-LN(2)/2))/(LN(2)/2)*DW98*DZ98*VLOOKUP('Données projet'!$B$14,Paramètres!$A$1:$I$88,3,0)*0.475*44/12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68.340438019518558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projet'!$B$15,Paramètres!$A$1:$I$88,3,0)*VLOOKUP('Données projet'!$B$15,Paramètres!$A$1:$I$88,5,0)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projet'!$B$15,Paramètres!$A$1:$I$88,7,0))</f>
        <v>0</v>
      </c>
      <c r="ET98" s="17">
        <f>IF(ISNA(VLOOKUP(A98,'Données projet'!$A$191:$I$211,6,0)),0%,VLOOKUP(A98,'Données projet'!$A$191:$I$211,6,0)*VLOOKUP('Données projet'!$B$15,Paramètres!$A$1:$I$88,7,0))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projet'!$B$15,Paramètres!$A$1:$I$88,3,0)*0.475*44/12</f>
        <v>#N/A</v>
      </c>
      <c r="EW98" s="23" t="e">
        <f>EXP(-LN(2)/25)*EW97+(1-EXP(-LN(2)/25))/(LN(2)/25)*Calculateur!ER98*Calculateur!ET98*VLOOKUP('Données projet'!$B$15,Paramètres!$A$1:$I$88,3,0)*0.475*44/12</f>
        <v>#N/A</v>
      </c>
      <c r="EX98" s="23" t="e">
        <f>EXP(-LN(2)/2)*EX97+(1-EXP(-LN(2)/2))/(LN(2)/2)*ER98*EU98*VLOOKUP('Données projet'!$B$15,Paramètres!$A$1:$I$88,3,0)*0.475*44/12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68.340438019518558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projet'!$B$16,Paramètres!$A$1:$I$88,3,0)*VLOOKUP('Données projet'!$B$16,Paramètres!$A$1:$I$88,5,0)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projet'!$B$16,Paramètres!$A$1:$I$88,7,0))</f>
        <v>0</v>
      </c>
      <c r="FO98" s="17">
        <f>IF(ISNA(VLOOKUP(A98,'Données projet'!$A$217:$I$237,6,0)),0%,VLOOKUP(A98,'Données projet'!$A$217:$I$237,6,0)*VLOOKUP('Données projet'!$B$16,Paramètres!$A$1:$I$88,7,0))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projet'!$B$16,Paramètres!$A$1:$I$88,3,0)*0.475*44/12</f>
        <v>#N/A</v>
      </c>
      <c r="FR98" s="23" t="e">
        <f>EXP(-LN(2)/25)*FR97+(1-EXP(-LN(2)/25))/(LN(2)/25)*Calculateur!FM98*Calculateur!FO98*VLOOKUP('Données projet'!$B$16,Paramètres!$A$1:$I$88,3,0)*0.475*44/12</f>
        <v>#N/A</v>
      </c>
      <c r="FS98" s="23" t="e">
        <f>EXP(-LN(2)/2)*FS97+(1-EXP(-LN(2)/2))/(LN(2)/2)*FM98*FP98*VLOOKUP('Données projet'!$B$16,Paramètres!$A$1:$I$88,3,0)*0.475*44/12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68.340438019518558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projet'!$B$17,Paramètres!$A$1:$I$88,3,0)*VLOOKUP('Données projet'!$B$17,Paramètres!$A$1:$I$88,5,0)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projet'!$B$17,Paramètres!$A$1:$I$88,7,0))</f>
        <v>0</v>
      </c>
      <c r="GJ98" s="17">
        <f>IF(ISNA(VLOOKUP(A98,'Données projet'!$A$243:$I$263,6,0)),0%,VLOOKUP(A98,'Données projet'!$A$243:$I$263,6,0)*VLOOKUP('Données projet'!$B$17,Paramètres!$A$1:$I$88,7,0))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projet'!$B$17,Paramètres!$A$1:$I$88,3,0)*0.475*44/12</f>
        <v>#N/A</v>
      </c>
      <c r="GM98" s="23" t="e">
        <f>EXP(-LN(2)/25)*GM97+(1-EXP(-LN(2)/25))/(LN(2)/25)*Calculateur!GH98*Calculateur!GJ98*VLOOKUP('Données projet'!$B$17,Paramètres!$A$1:$I$88,3,0)*0.475*44/12</f>
        <v>#N/A</v>
      </c>
      <c r="GN98" s="23" t="e">
        <f>EXP(-LN(2)/2)*GN97+(1-EXP(-LN(2)/2))/(LN(2)/2)*GH98*GK98*VLOOKUP('Données projet'!$B$17,Paramètres!$A$1:$I$88,3,0)*0.475*44/12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68.340438019518558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projet'!$B$18,Paramètres!$A$1:$I$88,3,0)*VLOOKUP('Données projet'!$B$18,Paramètres!$A$1:$I$88,5,0)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projet'!$B$18,Paramètres!$A$1:$I$88,7,0))</f>
        <v>0</v>
      </c>
      <c r="HE98" s="17">
        <f>IF(ISNA(VLOOKUP(A98,'Données projet'!$A$269:$I$289,6,0)),0%,VLOOKUP(A98,'Données projet'!$A$269:$I$289,6,0)*VLOOKUP('Données projet'!$B$18,Paramètres!$A$1:$I$88,7,0))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projet'!$B$18,Paramètres!$A$1:$I$88,3,0)*0.475*44/12</f>
        <v>#N/A</v>
      </c>
      <c r="HH98" s="23" t="e">
        <f>EXP(-LN(2)/25)*HH97+(1-EXP(-LN(2)/25))/(LN(2)/25)*Calculateur!HC98*Calculateur!HE98*VLOOKUP('Données projet'!$B$18,Paramètres!$A$1:$I$88,3,0)*0.475*44/12</f>
        <v>#N/A</v>
      </c>
      <c r="HI98" s="23" t="e">
        <f>EXP(-LN(2)/2)*HI97+(1-EXP(-LN(2)/2))/(LN(2)/2)*HC98*HF98*VLOOKUP('Données projet'!$B$18,Paramètres!$A$1:$I$88,3,0)*0.475*44/12</f>
        <v>#N/A</v>
      </c>
      <c r="HJ98" s="24" t="e">
        <f t="shared" si="84"/>
        <v>#N/A</v>
      </c>
    </row>
    <row r="99" spans="1:218" s="5" customFormat="1" x14ac:dyDescent="0.35">
      <c r="A99" s="11">
        <f t="shared" si="85"/>
        <v>96</v>
      </c>
      <c r="B99" s="77">
        <f>'Scénario référence'!$B$16*5+'Scénario référence'!$B$17*0+'Scénario référence'!$B$18*5</f>
        <v>1.75</v>
      </c>
      <c r="C99" s="20">
        <f>Calculateur!C98+'Scénario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99" s="12">
        <f t="shared" si="86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6.416666666666667</v>
      </c>
      <c r="H99" s="70">
        <f t="shared" si="56"/>
        <v>231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68.369227709655163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3.4106051316484809E-13</v>
      </c>
      <c r="O99" s="14">
        <f>N99*VLOOKUP('Données projet'!$B$9,Paramètres!$A$1:$I$88,3,0)*VLOOKUP('Données projet'!$B$9,Paramètres!$A$1:$I$88,5,0)</f>
        <v>1.9065282685915009E-13</v>
      </c>
      <c r="P99" s="14">
        <f t="shared" si="87"/>
        <v>2.6568987209435707E-12</v>
      </c>
      <c r="Q99" s="22">
        <f t="shared" ref="Q99:Q130" si="107">(O99+P99)*0.475*44/12</f>
        <v>4.959485612423072E-12</v>
      </c>
      <c r="R99" s="62">
        <f t="shared" si="55"/>
        <v>287.35383493540724</v>
      </c>
      <c r="S99" s="62">
        <f ca="1">AVERAGE(OFFSET($R$3,0,0,'Données projet'!$E$9+1,1))-AVERAGE(OFFSET($H$3,0,0,'Données projet'!$E$9+1,1))</f>
        <v>341.05096821796769</v>
      </c>
      <c r="T99" s="62">
        <f t="shared" si="88"/>
        <v>400.72519822215168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projet'!$B$9,Paramètres!$A$1:$I$88,7,0))</f>
        <v>0</v>
      </c>
      <c r="X99" s="17">
        <f>IF(ISNA(VLOOKUP(A99,'Données projet'!$A$35:$I$55,6,0)),0%,VLOOKUP(A99,'Données projet'!$A$35:$I$55,6,0)*VLOOKUP('Données projet'!$B$9,Paramètres!$A$1:$I$88,7,0))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projet'!$B$9,Paramètres!$A$1:$I$88,3,0)*0.475*44/12</f>
        <v>117.46326672881713</v>
      </c>
      <c r="AA99" s="23">
        <f>EXP(-LN(2)/25)*AA98+(1-EXP(-LN(2)/25))/(LN(2)/25)*Calculateur!V99*Calculateur!X99*VLOOKUP('Données projet'!$B$9,Paramètres!$A$1:$I$88,3,0)*0.475*44/12</f>
        <v>48.844149094622054</v>
      </c>
      <c r="AB99" s="23">
        <f>EXP(-LN(2)/2)*AB98+(1-EXP(-LN(2)/2))/(LN(2)/2)*V99*Y99*VLOOKUP('Données projet'!$B$9,Paramètres!$A$1:$I$88,3,0)*0.475*44/12</f>
        <v>0</v>
      </c>
      <c r="AC99" s="24">
        <f t="shared" si="57"/>
        <v>166.30741582343919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68.369227709655163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5.6843418860808015E-14</v>
      </c>
      <c r="AJ99" s="14">
        <f>AI99*VLOOKUP('Données projet'!$B$10,Paramètres!$A$1:$I$88,3,0)*VLOOKUP('Données projet'!$B$10,Paramètres!$A$1:$I$88,5,0)</f>
        <v>3.3992364478763198E-14</v>
      </c>
      <c r="AK99" s="14">
        <f t="shared" si="89"/>
        <v>5.790027782444094E-13</v>
      </c>
      <c r="AL99" s="22">
        <f t="shared" si="58"/>
        <v>1.0676332069095257E-12</v>
      </c>
      <c r="AM99" s="62">
        <f t="shared" si="59"/>
        <v>287.35383493540337</v>
      </c>
      <c r="AN99" s="62">
        <f ca="1">AVERAGE(OFFSET($AM$3,0,0,'Données projet'!$E$10+1,1))-AVERAGE(OFFSET($H$3,0,0,'Données projet'!$E$10+1,1))</f>
        <v>231.96474801342879</v>
      </c>
      <c r="AO99" s="62">
        <f t="shared" si="90"/>
        <v>237.75726086383668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projet'!$B$10,Paramètres!$A$1:$I$88,7,0))</f>
        <v>0</v>
      </c>
      <c r="AS99" s="17">
        <f>IF(ISNA(VLOOKUP(A99,'Données projet'!$A$61:$I$81,6,0)),0%,VLOOKUP(A99,'Données projet'!$A$61:$I$81,6,0)*VLOOKUP('Données projet'!$B$10,Paramètres!$A$1:$I$88,7,0))</f>
        <v>0</v>
      </c>
      <c r="AT99" s="17">
        <f>IF(ISNA(VLOOKUP(A99,'Données projet'!$A$61:$I$81,7,0)),0%,VLOOKUP(A99,'Données projet'!$A$61:$I$81,7,0))</f>
        <v>0</v>
      </c>
      <c r="AU99" s="23">
        <f>EXP(-LN(2)/35)*AU98+(1-EXP(-LN(2)/35))/(LN(2)/35)*AQ99*AR99*VLOOKUP('Données projet'!$B$10,Paramètres!$A$1:$I$88,3,0)*0.475*44/12</f>
        <v>46.321584170030029</v>
      </c>
      <c r="AV99" s="23">
        <f>EXP(-LN(2)/25)*AV98+(1-EXP(-LN(2)/25))/(LN(2)/25)*Calculateur!AQ99*Calculateur!AS99*VLOOKUP('Données projet'!$B$10,Paramètres!$A$1:$I$88,3,0)*0.475*44/12</f>
        <v>20.625649208870556</v>
      </c>
      <c r="AW99" s="23">
        <f>EXP(-LN(2)/2)*AW98+(1-EXP(-LN(2)/2))/(LN(2)/2)*AQ99*AT99*VLOOKUP('Données projet'!$B$10,Paramètres!$A$1:$I$88,3,0)*0.475*44/12</f>
        <v>0</v>
      </c>
      <c r="AX99" s="23">
        <f t="shared" si="60"/>
        <v>66.947233378900592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68.369227709655163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10.7</v>
      </c>
      <c r="BD99" s="13">
        <f>IF('Données projet'!$A$88&gt;35,BD98+BC99-BL98,IF(A99&lt;'Données projet'!$A$88,$BA$205^A99,IF(A99='Données projet'!$A$88,'Données projet'!$B$88,BD98+BC99-BL98)))</f>
        <v>483.70000000000039</v>
      </c>
      <c r="BE99" s="14">
        <f>BD99*VLOOKUP('Données projet'!$B$11,Paramètres!$A$1:$I$88,3,0)*VLOOKUP('Données projet'!$B$11,Paramètres!$A$1:$I$88,5,0)</f>
        <v>226.37160000000017</v>
      </c>
      <c r="BF99" s="14">
        <f t="shared" si="91"/>
        <v>55.497412030332079</v>
      </c>
      <c r="BG99" s="22">
        <f t="shared" si="61"/>
        <v>490.92186261949536</v>
      </c>
      <c r="BH99" s="62">
        <f t="shared" si="62"/>
        <v>778.27569755489765</v>
      </c>
      <c r="BI99" s="62">
        <f ca="1">AVERAGE(OFFSET($BH$3,0,0,'Données projet'!$E$11+1,1))-AVERAGE(OFFSET($H$3,0,0,'Données projet'!$E$11+1,1))</f>
        <v>364.96458059055169</v>
      </c>
      <c r="BJ99" s="62">
        <f t="shared" si="92"/>
        <v>246.27159120786257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projet'!$B$11,Paramètres!$A$1:$I$88,7,0))</f>
        <v>0</v>
      </c>
      <c r="BN99" s="17">
        <f>IF(ISNA(VLOOKUP(A99,'Données projet'!$A$87:$I$107,6,0)),0%,VLOOKUP(A99,'Données projet'!$A$87:$I$107,6,0)*VLOOKUP('Données projet'!$B$11,Paramètres!$A$1:$I$88,7,0))</f>
        <v>0</v>
      </c>
      <c r="BO99" s="17">
        <f>IF(ISNA(VLOOKUP(A99,'Données projet'!$A$87:$I$107,7,0)),0%,VLOOKUP(A99,'Données projet'!$A$87:$I$107,7,0))</f>
        <v>0</v>
      </c>
      <c r="BP99" s="23">
        <f>EXP(-LN(2)/35)*BP98+(1-EXP(-LN(2)/35))/(LN(2)/35)*BL99*BM99*VLOOKUP('Données projet'!$B$11,Paramètres!$A$1:$I$88,3,0)*0.475*44/12</f>
        <v>92.009088039819801</v>
      </c>
      <c r="BQ99" s="23">
        <f>EXP(-LN(2)/25)*BQ98+(1-EXP(-LN(2)/25))/(LN(2)/25)*Calculateur!BL99*Calculateur!BN99*VLOOKUP('Données projet'!$B$11,Paramètres!$A$1:$I$88,3,0)*0.475*44/12</f>
        <v>36.670476644379598</v>
      </c>
      <c r="BR99" s="23">
        <f>EXP(-LN(2)/2)*BR98+(1-EXP(-LN(2)/2))/(LN(2)/2)*BL99*BO99*VLOOKUP('Données projet'!$B$11,Paramètres!$A$1:$I$88,3,0)*0.475*44/12</f>
        <v>0</v>
      </c>
      <c r="BS99" s="24">
        <f t="shared" si="63"/>
        <v>128.67956468419939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68.369227709655163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-1.1368683772161603E-13</v>
      </c>
      <c r="BZ99" s="14">
        <f>BY99*VLOOKUP('Données projet'!$B$12,Paramètres!$A$1:$I$88,3,0)*VLOOKUP('Données projet'!$B$12,Paramètres!$A$1:$I$88,5,0)</f>
        <v>-1.1527845344971866E-13</v>
      </c>
      <c r="CA99" s="14" t="e">
        <f t="shared" si="93"/>
        <v>#NUM!</v>
      </c>
      <c r="CB99" s="22" t="e">
        <f t="shared" si="64"/>
        <v>#NUM!</v>
      </c>
      <c r="CC99" s="62" t="e">
        <f t="shared" si="65"/>
        <v>#NUM!</v>
      </c>
      <c r="CD99" s="62">
        <f ca="1">AVERAGE(OFFSET($CC$3,0,0,'Données projet'!$E$12+1,1))-AVERAGE(OFFSET($H$3,0,0,'Données projet'!$E$12+1,1))</f>
        <v>310.53598044763282</v>
      </c>
      <c r="CE99" s="62">
        <f t="shared" si="94"/>
        <v>322.01096634040596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projet'!$B$12,Paramètres!$A$1:$I$88,7,0))</f>
        <v>0</v>
      </c>
      <c r="CI99" s="17">
        <f>IF(ISNA(VLOOKUP(A99,'Données projet'!$A$113:$I$133,6,0)),0%,VLOOKUP(A99,'Données projet'!$A$113:$I$133,6,0)*VLOOKUP('Données projet'!$B$12,Paramètres!$A$1:$I$88,7,0))</f>
        <v>0</v>
      </c>
      <c r="CJ99" s="17">
        <f>IF(ISNA(VLOOKUP(A99,'Données projet'!$A$113:$I$133,7,0)),0%,VLOOKUP(A99,'Données projet'!$A$113:$I$133,7,0))</f>
        <v>0</v>
      </c>
      <c r="CK99" s="23">
        <f>EXP(-LN(2)/35)*CK98+(1-EXP(-LN(2)/35))/(LN(2)/35)*CG99*CH99*VLOOKUP('Données projet'!$B$12,Paramètres!$A$1:$I$88,3,0)*0.475*44/12</f>
        <v>35.441649874303707</v>
      </c>
      <c r="CL99" s="23">
        <f>EXP(-LN(2)/25)*CL98+(1-EXP(-LN(2)/25))/(LN(2)/25)*Calculateur!CG99*Calculateur!CI99*VLOOKUP('Données projet'!$B$12,Paramètres!$A$1:$I$88,3,0)*0.475*44/12</f>
        <v>0</v>
      </c>
      <c r="CM99" s="23">
        <f>EXP(-LN(2)/2)*CM98+(1-EXP(-LN(2)/2))/(LN(2)/2)*CG99*CJ99*VLOOKUP('Données projet'!$B$12,Paramètres!$A$1:$I$88,3,0)*0.475*44/12</f>
        <v>0</v>
      </c>
      <c r="CN99" s="24">
        <f t="shared" si="66"/>
        <v>35.441649874303707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68.369227709655163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projet'!$B$13,Paramètres!$A$1:$I$88,3,0)*VLOOKUP('Données projet'!$B$13,Paramètres!$A$1:$I$88,5,0)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projet'!$B$13,Paramètres!$A$1:$I$88,7,0))</f>
        <v>0</v>
      </c>
      <c r="DD99" s="17">
        <f>IF(ISNA(VLOOKUP(A99,'Données projet'!$A$139:$I$159,6,0)),0%,VLOOKUP(A99,'Données projet'!$A$139:$I$159,6,0)*VLOOKUP('Données projet'!$B$13,Paramètres!$A$1:$I$88,7,0))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projet'!$B$13,Paramètres!$A$1:$I$88,3,0)*0.475*44/12</f>
        <v>#N/A</v>
      </c>
      <c r="DG99" s="23" t="e">
        <f>EXP(-LN(2)/25)*DG98+(1-EXP(-LN(2)/25))/(LN(2)/25)*Calculateur!DB99*Calculateur!DD99*VLOOKUP('Données projet'!$B$13,Paramètres!$A$1:$I$88,3,0)*0.475*44/12</f>
        <v>#N/A</v>
      </c>
      <c r="DH99" s="23" t="e">
        <f>EXP(-LN(2)/2)*DH98+(1-EXP(-LN(2)/2))/(LN(2)/2)*DB99*DE99*VLOOKUP('Données projet'!$B$13,Paramètres!$A$1:$I$88,3,0)*0.475*44/12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68.369227709655163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projet'!$B$14,Paramètres!$A$1:$I$88,3,0)*VLOOKUP('Données projet'!$B$14,Paramètres!$A$1:$I$88,5,0)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projet'!$B$14,Paramètres!$A$1:$I$88,7,0))</f>
        <v>0</v>
      </c>
      <c r="DY99" s="17">
        <f>IF(ISNA(VLOOKUP(A99,'Données projet'!$A$165:$I$185,6,0)),0%,VLOOKUP(A99,'Données projet'!$A$165:$I$185,6,0)*VLOOKUP('Données projet'!$B$14,Paramètres!$A$1:$I$88,7,0))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projet'!$B$14,Paramètres!$A$1:$I$88,3,0)*0.475*44/12</f>
        <v>#N/A</v>
      </c>
      <c r="EB99" s="23" t="e">
        <f>EXP(-LN(2)/25)*EB98+(1-EXP(-LN(2)/25))/(LN(2)/25)*Calculateur!DW99*Calculateur!DY99*VLOOKUP('Données projet'!$B$14,Paramètres!$A$1:$I$88,3,0)*0.475*44/12</f>
        <v>#N/A</v>
      </c>
      <c r="EC99" s="23" t="e">
        <f>EXP(-LN(2)/2)*EC98+(1-EXP(-LN(2)/2))/(LN(2)/2)*DW99*DZ99*VLOOKUP('Données projet'!$B$14,Paramètres!$A$1:$I$88,3,0)*0.475*44/12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68.369227709655163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projet'!$B$15,Paramètres!$A$1:$I$88,3,0)*VLOOKUP('Données projet'!$B$15,Paramètres!$A$1:$I$88,5,0)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projet'!$B$15,Paramètres!$A$1:$I$88,7,0))</f>
        <v>0</v>
      </c>
      <c r="ET99" s="17">
        <f>IF(ISNA(VLOOKUP(A99,'Données projet'!$A$191:$I$211,6,0)),0%,VLOOKUP(A99,'Données projet'!$A$191:$I$211,6,0)*VLOOKUP('Données projet'!$B$15,Paramètres!$A$1:$I$88,7,0))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projet'!$B$15,Paramètres!$A$1:$I$88,3,0)*0.475*44/12</f>
        <v>#N/A</v>
      </c>
      <c r="EW99" s="23" t="e">
        <f>EXP(-LN(2)/25)*EW98+(1-EXP(-LN(2)/25))/(LN(2)/25)*Calculateur!ER99*Calculateur!ET99*VLOOKUP('Données projet'!$B$15,Paramètres!$A$1:$I$88,3,0)*0.475*44/12</f>
        <v>#N/A</v>
      </c>
      <c r="EX99" s="23" t="e">
        <f>EXP(-LN(2)/2)*EX98+(1-EXP(-LN(2)/2))/(LN(2)/2)*ER99*EU99*VLOOKUP('Données projet'!$B$15,Paramètres!$A$1:$I$88,3,0)*0.475*44/12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68.369227709655163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projet'!$B$16,Paramètres!$A$1:$I$88,3,0)*VLOOKUP('Données projet'!$B$16,Paramètres!$A$1:$I$88,5,0)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projet'!$B$16,Paramètres!$A$1:$I$88,7,0))</f>
        <v>0</v>
      </c>
      <c r="FO99" s="17">
        <f>IF(ISNA(VLOOKUP(A99,'Données projet'!$A$217:$I$237,6,0)),0%,VLOOKUP(A99,'Données projet'!$A$217:$I$237,6,0)*VLOOKUP('Données projet'!$B$16,Paramètres!$A$1:$I$88,7,0))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projet'!$B$16,Paramètres!$A$1:$I$88,3,0)*0.475*44/12</f>
        <v>#N/A</v>
      </c>
      <c r="FR99" s="23" t="e">
        <f>EXP(-LN(2)/25)*FR98+(1-EXP(-LN(2)/25))/(LN(2)/25)*Calculateur!FM99*Calculateur!FO99*VLOOKUP('Données projet'!$B$16,Paramètres!$A$1:$I$88,3,0)*0.475*44/12</f>
        <v>#N/A</v>
      </c>
      <c r="FS99" s="23" t="e">
        <f>EXP(-LN(2)/2)*FS98+(1-EXP(-LN(2)/2))/(LN(2)/2)*FM99*FP99*VLOOKUP('Données projet'!$B$16,Paramètres!$A$1:$I$88,3,0)*0.475*44/12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68.369227709655163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projet'!$B$17,Paramètres!$A$1:$I$88,3,0)*VLOOKUP('Données projet'!$B$17,Paramètres!$A$1:$I$88,5,0)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projet'!$B$17,Paramètres!$A$1:$I$88,7,0))</f>
        <v>0</v>
      </c>
      <c r="GJ99" s="17">
        <f>IF(ISNA(VLOOKUP(A99,'Données projet'!$A$243:$I$263,6,0)),0%,VLOOKUP(A99,'Données projet'!$A$243:$I$263,6,0)*VLOOKUP('Données projet'!$B$17,Paramètres!$A$1:$I$88,7,0))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projet'!$B$17,Paramètres!$A$1:$I$88,3,0)*0.475*44/12</f>
        <v>#N/A</v>
      </c>
      <c r="GM99" s="23" t="e">
        <f>EXP(-LN(2)/25)*GM98+(1-EXP(-LN(2)/25))/(LN(2)/25)*Calculateur!GH99*Calculateur!GJ99*VLOOKUP('Données projet'!$B$17,Paramètres!$A$1:$I$88,3,0)*0.475*44/12</f>
        <v>#N/A</v>
      </c>
      <c r="GN99" s="23" t="e">
        <f>EXP(-LN(2)/2)*GN98+(1-EXP(-LN(2)/2))/(LN(2)/2)*GH99*GK99*VLOOKUP('Données projet'!$B$17,Paramètres!$A$1:$I$88,3,0)*0.475*44/12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68.369227709655163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projet'!$B$18,Paramètres!$A$1:$I$88,3,0)*VLOOKUP('Données projet'!$B$18,Paramètres!$A$1:$I$88,5,0)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projet'!$B$18,Paramètres!$A$1:$I$88,7,0))</f>
        <v>0</v>
      </c>
      <c r="HE99" s="17">
        <f>IF(ISNA(VLOOKUP(A99,'Données projet'!$A$269:$I$289,6,0)),0%,VLOOKUP(A99,'Données projet'!$A$269:$I$289,6,0)*VLOOKUP('Données projet'!$B$18,Paramètres!$A$1:$I$88,7,0))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projet'!$B$18,Paramètres!$A$1:$I$88,3,0)*0.475*44/12</f>
        <v>#N/A</v>
      </c>
      <c r="HH99" s="23" t="e">
        <f>EXP(-LN(2)/25)*HH98+(1-EXP(-LN(2)/25))/(LN(2)/25)*Calculateur!HC99*Calculateur!HE99*VLOOKUP('Données projet'!$B$18,Paramètres!$A$1:$I$88,3,0)*0.475*44/12</f>
        <v>#N/A</v>
      </c>
      <c r="HI99" s="23" t="e">
        <f>EXP(-LN(2)/2)*HI98+(1-EXP(-LN(2)/2))/(LN(2)/2)*HC99*HF99*VLOOKUP('Données projet'!$B$18,Paramètres!$A$1:$I$88,3,0)*0.475*44/12</f>
        <v>#N/A</v>
      </c>
      <c r="HJ99" s="24" t="e">
        <f t="shared" si="84"/>
        <v>#N/A</v>
      </c>
    </row>
    <row r="100" spans="1:218" s="5" customFormat="1" x14ac:dyDescent="0.35">
      <c r="A100" s="11">
        <f t="shared" si="85"/>
        <v>97</v>
      </c>
      <c r="B100" s="77">
        <f>'Scénario référence'!$B$16*5+'Scénario référence'!$B$17*0+'Scénario référence'!$B$18*5</f>
        <v>1.75</v>
      </c>
      <c r="C100" s="20">
        <f>Calculateur!C99+'Scénario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00" s="12">
        <f t="shared" si="86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6.416666666666667</v>
      </c>
      <c r="H100" s="70">
        <f t="shared" si="56"/>
        <v>231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68.397517963031987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3.4106051316484809E-13</v>
      </c>
      <c r="O100" s="14">
        <f>N100*VLOOKUP('Données projet'!$B$9,Paramètres!$A$1:$I$88,3,0)*VLOOKUP('Données projet'!$B$9,Paramètres!$A$1:$I$88,5,0)</f>
        <v>1.9065282685915009E-13</v>
      </c>
      <c r="P100" s="14">
        <f t="shared" si="87"/>
        <v>2.6568987209435707E-12</v>
      </c>
      <c r="Q100" s="22">
        <f t="shared" si="107"/>
        <v>4.959485612423072E-12</v>
      </c>
      <c r="R100" s="62">
        <f t="shared" si="55"/>
        <v>287.45756586445555</v>
      </c>
      <c r="S100" s="62">
        <f ca="1">AVERAGE(OFFSET($R$3,0,0,'Données projet'!$E$9+1,1))-AVERAGE(OFFSET($H$3,0,0,'Données projet'!$E$9+1,1))</f>
        <v>341.05096821796769</v>
      </c>
      <c r="T100" s="62">
        <f t="shared" si="88"/>
        <v>400.72519822215168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projet'!$B$9,Paramètres!$A$1:$I$88,7,0))</f>
        <v>0</v>
      </c>
      <c r="X100" s="17">
        <f>IF(ISNA(VLOOKUP(A100,'Données projet'!$A$35:$I$55,6,0)),0%,VLOOKUP(A100,'Données projet'!$A$35:$I$55,6,0)*VLOOKUP('Données projet'!$B$9,Paramètres!$A$1:$I$88,7,0))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projet'!$B$9,Paramètres!$A$1:$I$88,3,0)*0.475*44/12</f>
        <v>115.15988371378333</v>
      </c>
      <c r="AA100" s="23">
        <f>EXP(-LN(2)/25)*AA99+(1-EXP(-LN(2)/25))/(LN(2)/25)*Calculateur!V100*Calculateur!X100*VLOOKUP('Données projet'!$B$9,Paramètres!$A$1:$I$88,3,0)*0.475*44/12</f>
        <v>47.50850326902745</v>
      </c>
      <c r="AB100" s="23">
        <f>EXP(-LN(2)/2)*AB99+(1-EXP(-LN(2)/2))/(LN(2)/2)*V100*Y100*VLOOKUP('Données projet'!$B$9,Paramètres!$A$1:$I$88,3,0)*0.475*44/12</f>
        <v>0</v>
      </c>
      <c r="AC100" s="24">
        <f t="shared" si="57"/>
        <v>162.66838698281077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68.397517963031987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5.6843418860808015E-14</v>
      </c>
      <c r="AJ100" s="14">
        <f>AI100*VLOOKUP('Données projet'!$B$10,Paramètres!$A$1:$I$88,3,0)*VLOOKUP('Données projet'!$B$10,Paramètres!$A$1:$I$88,5,0)</f>
        <v>3.3992364478763198E-14</v>
      </c>
      <c r="AK100" s="14">
        <f t="shared" si="89"/>
        <v>5.790027782444094E-13</v>
      </c>
      <c r="AL100" s="22">
        <f t="shared" si="58"/>
        <v>1.0676332069095257E-12</v>
      </c>
      <c r="AM100" s="62">
        <f t="shared" si="59"/>
        <v>287.45756586445168</v>
      </c>
      <c r="AN100" s="62">
        <f ca="1">AVERAGE(OFFSET($AM$3,0,0,'Données projet'!$E$10+1,1))-AVERAGE(OFFSET($H$3,0,0,'Données projet'!$E$10+1,1))</f>
        <v>231.96474801342879</v>
      </c>
      <c r="AO100" s="62">
        <f t="shared" si="90"/>
        <v>237.75726086383668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projet'!$B$10,Paramètres!$A$1:$I$88,7,0))</f>
        <v>0</v>
      </c>
      <c r="AS100" s="17">
        <f>IF(ISNA(VLOOKUP(A100,'Données projet'!$A$61:$I$81,6,0)),0%,VLOOKUP(A100,'Données projet'!$A$61:$I$81,6,0)*VLOOKUP('Données projet'!$B$10,Paramètres!$A$1:$I$88,7,0))</f>
        <v>0</v>
      </c>
      <c r="AT100" s="17">
        <f>IF(ISNA(VLOOKUP(A100,'Données projet'!$A$61:$I$81,7,0)),0%,VLOOKUP(A100,'Données projet'!$A$61:$I$81,7,0))</f>
        <v>0</v>
      </c>
      <c r="AU100" s="23">
        <f>EXP(-LN(2)/35)*AU99+(1-EXP(-LN(2)/35))/(LN(2)/35)*AQ100*AR100*VLOOKUP('Données projet'!$B$10,Paramètres!$A$1:$I$88,3,0)*0.475*44/12</f>
        <v>45.413246157832297</v>
      </c>
      <c r="AV100" s="23">
        <f>EXP(-LN(2)/25)*AV99+(1-EXP(-LN(2)/25))/(LN(2)/25)*Calculateur!AQ100*Calculateur!AS100*VLOOKUP('Données projet'!$B$10,Paramètres!$A$1:$I$88,3,0)*0.475*44/12</f>
        <v>20.061639746598239</v>
      </c>
      <c r="AW100" s="23">
        <f>EXP(-LN(2)/2)*AW99+(1-EXP(-LN(2)/2))/(LN(2)/2)*AQ100*AT100*VLOOKUP('Données projet'!$B$10,Paramètres!$A$1:$I$88,3,0)*0.475*44/12</f>
        <v>0</v>
      </c>
      <c r="AX100" s="23">
        <f t="shared" si="60"/>
        <v>65.474885904430536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68.397517963031987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10.7</v>
      </c>
      <c r="BD100" s="13">
        <f>IF('Données projet'!$A$88&gt;35,BD99+BC100-BL99,IF(A100&lt;'Données projet'!$A$88,$BA$205^A100,IF(A100='Données projet'!$A$88,'Données projet'!$B$88,BD99+BC100-BL99)))</f>
        <v>494.40000000000038</v>
      </c>
      <c r="BE100" s="14">
        <f>BD100*VLOOKUP('Données projet'!$B$11,Paramètres!$A$1:$I$88,3,0)*VLOOKUP('Données projet'!$B$11,Paramètres!$A$1:$I$88,5,0)</f>
        <v>231.37920000000017</v>
      </c>
      <c r="BF100" s="14">
        <f t="shared" si="91"/>
        <v>56.58079297194692</v>
      </c>
      <c r="BG100" s="22">
        <f t="shared" si="61"/>
        <v>501.53032109280781</v>
      </c>
      <c r="BH100" s="62">
        <f t="shared" si="62"/>
        <v>788.98788695725841</v>
      </c>
      <c r="BI100" s="62">
        <f ca="1">AVERAGE(OFFSET($BH$3,0,0,'Données projet'!$E$11+1,1))-AVERAGE(OFFSET($H$3,0,0,'Données projet'!$E$11+1,1))</f>
        <v>364.96458059055169</v>
      </c>
      <c r="BJ100" s="62">
        <f t="shared" si="92"/>
        <v>246.27159120786257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projet'!$B$11,Paramètres!$A$1:$I$88,7,0))</f>
        <v>0</v>
      </c>
      <c r="BN100" s="17">
        <f>IF(ISNA(VLOOKUP(A100,'Données projet'!$A$87:$I$107,6,0)),0%,VLOOKUP(A100,'Données projet'!$A$87:$I$107,6,0)*VLOOKUP('Données projet'!$B$11,Paramètres!$A$1:$I$88,7,0))</f>
        <v>0</v>
      </c>
      <c r="BO100" s="17">
        <f>IF(ISNA(VLOOKUP(A100,'Données projet'!$A$87:$I$107,7,0)),0%,VLOOKUP(A100,'Données projet'!$A$87:$I$107,7,0))</f>
        <v>0</v>
      </c>
      <c r="BP100" s="23">
        <f>EXP(-LN(2)/35)*BP99+(1-EXP(-LN(2)/35))/(LN(2)/35)*BL100*BM100*VLOOKUP('Données projet'!$B$11,Paramètres!$A$1:$I$88,3,0)*0.475*44/12</f>
        <v>90.204845943361249</v>
      </c>
      <c r="BQ100" s="23">
        <f>EXP(-LN(2)/25)*BQ99+(1-EXP(-LN(2)/25))/(LN(2)/25)*Calculateur!BL100*Calculateur!BN100*VLOOKUP('Données projet'!$B$11,Paramètres!$A$1:$I$88,3,0)*0.475*44/12</f>
        <v>35.66772053212248</v>
      </c>
      <c r="BR100" s="23">
        <f>EXP(-LN(2)/2)*BR99+(1-EXP(-LN(2)/2))/(LN(2)/2)*BL100*BO100*VLOOKUP('Données projet'!$B$11,Paramètres!$A$1:$I$88,3,0)*0.475*44/12</f>
        <v>0</v>
      </c>
      <c r="BS100" s="24">
        <f t="shared" si="63"/>
        <v>125.87256647548372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68.397517963031987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-1.1368683772161603E-13</v>
      </c>
      <c r="BZ100" s="14">
        <f>BY100*VLOOKUP('Données projet'!$B$12,Paramètres!$A$1:$I$88,3,0)*VLOOKUP('Données projet'!$B$12,Paramètres!$A$1:$I$88,5,0)</f>
        <v>-1.1527845344971866E-13</v>
      </c>
      <c r="CA100" s="14" t="e">
        <f t="shared" si="93"/>
        <v>#NUM!</v>
      </c>
      <c r="CB100" s="22" t="e">
        <f t="shared" si="64"/>
        <v>#NUM!</v>
      </c>
      <c r="CC100" s="62" t="e">
        <f t="shared" si="65"/>
        <v>#NUM!</v>
      </c>
      <c r="CD100" s="62">
        <f ca="1">AVERAGE(OFFSET($CC$3,0,0,'Données projet'!$E$12+1,1))-AVERAGE(OFFSET($H$3,0,0,'Données projet'!$E$12+1,1))</f>
        <v>310.53598044763282</v>
      </c>
      <c r="CE100" s="62">
        <f t="shared" si="94"/>
        <v>322.01096634040596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projet'!$B$12,Paramètres!$A$1:$I$88,7,0))</f>
        <v>0</v>
      </c>
      <c r="CI100" s="17">
        <f>IF(ISNA(VLOOKUP(A100,'Données projet'!$A$113:$I$133,6,0)),0%,VLOOKUP(A100,'Données projet'!$A$113:$I$133,6,0)*VLOOKUP('Données projet'!$B$12,Paramètres!$A$1:$I$88,7,0))</f>
        <v>0</v>
      </c>
      <c r="CJ100" s="17">
        <f>IF(ISNA(VLOOKUP(A100,'Données projet'!$A$113:$I$133,7,0)),0%,VLOOKUP(A100,'Données projet'!$A$113:$I$133,7,0))</f>
        <v>0</v>
      </c>
      <c r="CK100" s="23">
        <f>EXP(-LN(2)/35)*CK99+(1-EXP(-LN(2)/35))/(LN(2)/35)*CG100*CH100*VLOOKUP('Données projet'!$B$12,Paramètres!$A$1:$I$88,3,0)*0.475*44/12</f>
        <v>34.746660737540509</v>
      </c>
      <c r="CL100" s="23">
        <f>EXP(-LN(2)/25)*CL99+(1-EXP(-LN(2)/25))/(LN(2)/25)*Calculateur!CG100*Calculateur!CI100*VLOOKUP('Données projet'!$B$12,Paramètres!$A$1:$I$88,3,0)*0.475*44/12</f>
        <v>0</v>
      </c>
      <c r="CM100" s="23">
        <f>EXP(-LN(2)/2)*CM99+(1-EXP(-LN(2)/2))/(LN(2)/2)*CG100*CJ100*VLOOKUP('Données projet'!$B$12,Paramètres!$A$1:$I$88,3,0)*0.475*44/12</f>
        <v>0</v>
      </c>
      <c r="CN100" s="24">
        <f t="shared" si="66"/>
        <v>34.746660737540509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68.397517963031987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projet'!$B$13,Paramètres!$A$1:$I$88,3,0)*VLOOKUP('Données projet'!$B$13,Paramètres!$A$1:$I$88,5,0)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projet'!$B$13,Paramètres!$A$1:$I$88,7,0))</f>
        <v>0</v>
      </c>
      <c r="DD100" s="17">
        <f>IF(ISNA(VLOOKUP(A100,'Données projet'!$A$139:$I$159,6,0)),0%,VLOOKUP(A100,'Données projet'!$A$139:$I$159,6,0)*VLOOKUP('Données projet'!$B$13,Paramètres!$A$1:$I$88,7,0))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projet'!$B$13,Paramètres!$A$1:$I$88,3,0)*0.475*44/12</f>
        <v>#N/A</v>
      </c>
      <c r="DG100" s="23" t="e">
        <f>EXP(-LN(2)/25)*DG99+(1-EXP(-LN(2)/25))/(LN(2)/25)*Calculateur!DB100*Calculateur!DD100*VLOOKUP('Données projet'!$B$13,Paramètres!$A$1:$I$88,3,0)*0.475*44/12</f>
        <v>#N/A</v>
      </c>
      <c r="DH100" s="23" t="e">
        <f>EXP(-LN(2)/2)*DH99+(1-EXP(-LN(2)/2))/(LN(2)/2)*DB100*DE100*VLOOKUP('Données projet'!$B$13,Paramètres!$A$1:$I$88,3,0)*0.475*44/12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68.397517963031987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projet'!$B$14,Paramètres!$A$1:$I$88,3,0)*VLOOKUP('Données projet'!$B$14,Paramètres!$A$1:$I$88,5,0)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projet'!$B$14,Paramètres!$A$1:$I$88,7,0))</f>
        <v>0</v>
      </c>
      <c r="DY100" s="17">
        <f>IF(ISNA(VLOOKUP(A100,'Données projet'!$A$165:$I$185,6,0)),0%,VLOOKUP(A100,'Données projet'!$A$165:$I$185,6,0)*VLOOKUP('Données projet'!$B$14,Paramètres!$A$1:$I$88,7,0))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projet'!$B$14,Paramètres!$A$1:$I$88,3,0)*0.475*44/12</f>
        <v>#N/A</v>
      </c>
      <c r="EB100" s="23" t="e">
        <f>EXP(-LN(2)/25)*EB99+(1-EXP(-LN(2)/25))/(LN(2)/25)*Calculateur!DW100*Calculateur!DY100*VLOOKUP('Données projet'!$B$14,Paramètres!$A$1:$I$88,3,0)*0.475*44/12</f>
        <v>#N/A</v>
      </c>
      <c r="EC100" s="23" t="e">
        <f>EXP(-LN(2)/2)*EC99+(1-EXP(-LN(2)/2))/(LN(2)/2)*DW100*DZ100*VLOOKUP('Données projet'!$B$14,Paramètres!$A$1:$I$88,3,0)*0.475*44/12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68.397517963031987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projet'!$B$15,Paramètres!$A$1:$I$88,3,0)*VLOOKUP('Données projet'!$B$15,Paramètres!$A$1:$I$88,5,0)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projet'!$B$15,Paramètres!$A$1:$I$88,7,0))</f>
        <v>0</v>
      </c>
      <c r="ET100" s="17">
        <f>IF(ISNA(VLOOKUP(A100,'Données projet'!$A$191:$I$211,6,0)),0%,VLOOKUP(A100,'Données projet'!$A$191:$I$211,6,0)*VLOOKUP('Données projet'!$B$15,Paramètres!$A$1:$I$88,7,0))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projet'!$B$15,Paramètres!$A$1:$I$88,3,0)*0.475*44/12</f>
        <v>#N/A</v>
      </c>
      <c r="EW100" s="23" t="e">
        <f>EXP(-LN(2)/25)*EW99+(1-EXP(-LN(2)/25))/(LN(2)/25)*Calculateur!ER100*Calculateur!ET100*VLOOKUP('Données projet'!$B$15,Paramètres!$A$1:$I$88,3,0)*0.475*44/12</f>
        <v>#N/A</v>
      </c>
      <c r="EX100" s="23" t="e">
        <f>EXP(-LN(2)/2)*EX99+(1-EXP(-LN(2)/2))/(LN(2)/2)*ER100*EU100*VLOOKUP('Données projet'!$B$15,Paramètres!$A$1:$I$88,3,0)*0.475*44/12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68.397517963031987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projet'!$B$16,Paramètres!$A$1:$I$88,3,0)*VLOOKUP('Données projet'!$B$16,Paramètres!$A$1:$I$88,5,0)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projet'!$B$16,Paramètres!$A$1:$I$88,7,0))</f>
        <v>0</v>
      </c>
      <c r="FO100" s="17">
        <f>IF(ISNA(VLOOKUP(A100,'Données projet'!$A$217:$I$237,6,0)),0%,VLOOKUP(A100,'Données projet'!$A$217:$I$237,6,0)*VLOOKUP('Données projet'!$B$16,Paramètres!$A$1:$I$88,7,0))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projet'!$B$16,Paramètres!$A$1:$I$88,3,0)*0.475*44/12</f>
        <v>#N/A</v>
      </c>
      <c r="FR100" s="23" t="e">
        <f>EXP(-LN(2)/25)*FR99+(1-EXP(-LN(2)/25))/(LN(2)/25)*Calculateur!FM100*Calculateur!FO100*VLOOKUP('Données projet'!$B$16,Paramètres!$A$1:$I$88,3,0)*0.475*44/12</f>
        <v>#N/A</v>
      </c>
      <c r="FS100" s="23" t="e">
        <f>EXP(-LN(2)/2)*FS99+(1-EXP(-LN(2)/2))/(LN(2)/2)*FM100*FP100*VLOOKUP('Données projet'!$B$16,Paramètres!$A$1:$I$88,3,0)*0.475*44/12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68.397517963031987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projet'!$B$17,Paramètres!$A$1:$I$88,3,0)*VLOOKUP('Données projet'!$B$17,Paramètres!$A$1:$I$88,5,0)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projet'!$B$17,Paramètres!$A$1:$I$88,7,0))</f>
        <v>0</v>
      </c>
      <c r="GJ100" s="17">
        <f>IF(ISNA(VLOOKUP(A100,'Données projet'!$A$243:$I$263,6,0)),0%,VLOOKUP(A100,'Données projet'!$A$243:$I$263,6,0)*VLOOKUP('Données projet'!$B$17,Paramètres!$A$1:$I$88,7,0))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projet'!$B$17,Paramètres!$A$1:$I$88,3,0)*0.475*44/12</f>
        <v>#N/A</v>
      </c>
      <c r="GM100" s="23" t="e">
        <f>EXP(-LN(2)/25)*GM99+(1-EXP(-LN(2)/25))/(LN(2)/25)*Calculateur!GH100*Calculateur!GJ100*VLOOKUP('Données projet'!$B$17,Paramètres!$A$1:$I$88,3,0)*0.475*44/12</f>
        <v>#N/A</v>
      </c>
      <c r="GN100" s="23" t="e">
        <f>EXP(-LN(2)/2)*GN99+(1-EXP(-LN(2)/2))/(LN(2)/2)*GH100*GK100*VLOOKUP('Données projet'!$B$17,Paramètres!$A$1:$I$88,3,0)*0.475*44/12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68.397517963031987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projet'!$B$18,Paramètres!$A$1:$I$88,3,0)*VLOOKUP('Données projet'!$B$18,Paramètres!$A$1:$I$88,5,0)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projet'!$B$18,Paramètres!$A$1:$I$88,7,0))</f>
        <v>0</v>
      </c>
      <c r="HE100" s="17">
        <f>IF(ISNA(VLOOKUP(A100,'Données projet'!$A$269:$I$289,6,0)),0%,VLOOKUP(A100,'Données projet'!$A$269:$I$289,6,0)*VLOOKUP('Données projet'!$B$18,Paramètres!$A$1:$I$88,7,0))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projet'!$B$18,Paramètres!$A$1:$I$88,3,0)*0.475*44/12</f>
        <v>#N/A</v>
      </c>
      <c r="HH100" s="23" t="e">
        <f>EXP(-LN(2)/25)*HH99+(1-EXP(-LN(2)/25))/(LN(2)/25)*Calculateur!HC100*Calculateur!HE100*VLOOKUP('Données projet'!$B$18,Paramètres!$A$1:$I$88,3,0)*0.475*44/12</f>
        <v>#N/A</v>
      </c>
      <c r="HI100" s="23" t="e">
        <f>EXP(-LN(2)/2)*HI99+(1-EXP(-LN(2)/2))/(LN(2)/2)*HC100*HF100*VLOOKUP('Données projet'!$B$18,Paramètres!$A$1:$I$88,3,0)*0.475*44/12</f>
        <v>#N/A</v>
      </c>
      <c r="HJ100" s="24" t="e">
        <f t="shared" si="84"/>
        <v>#N/A</v>
      </c>
    </row>
    <row r="101" spans="1:218" s="5" customFormat="1" x14ac:dyDescent="0.35">
      <c r="A101" s="11">
        <f t="shared" si="85"/>
        <v>98</v>
      </c>
      <c r="B101" s="77">
        <f>'Scénario référence'!$B$16*5+'Scénario référence'!$B$17*0+'Scénario référence'!$B$18*5</f>
        <v>1.75</v>
      </c>
      <c r="C101" s="20">
        <f>Calculateur!C100+'Scénario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01" s="12">
        <f t="shared" si="86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6.416666666666667</v>
      </c>
      <c r="H101" s="70">
        <f t="shared" si="56"/>
        <v>231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68.425317443760264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3.4106051316484809E-13</v>
      </c>
      <c r="O101" s="14">
        <f>N101*VLOOKUP('Données projet'!$B$9,Paramètres!$A$1:$I$88,3,0)*VLOOKUP('Données projet'!$B$9,Paramètres!$A$1:$I$88,5,0)</f>
        <v>1.9065282685915009E-13</v>
      </c>
      <c r="P101" s="14">
        <f t="shared" si="87"/>
        <v>2.6568987209435707E-12</v>
      </c>
      <c r="Q101" s="22">
        <f t="shared" si="107"/>
        <v>4.959485612423072E-12</v>
      </c>
      <c r="R101" s="62">
        <f t="shared" si="55"/>
        <v>287.55949729379256</v>
      </c>
      <c r="S101" s="62">
        <f ca="1">AVERAGE(OFFSET($R$3,0,0,'Données projet'!$E$9+1,1))-AVERAGE(OFFSET($H$3,0,0,'Données projet'!$E$9+1,1))</f>
        <v>341.05096821796769</v>
      </c>
      <c r="T101" s="62">
        <f t="shared" si="88"/>
        <v>400.72519822215168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projet'!$B$9,Paramètres!$A$1:$I$88,7,0))</f>
        <v>0</v>
      </c>
      <c r="X101" s="17">
        <f>IF(ISNA(VLOOKUP(A101,'Données projet'!$A$35:$I$55,6,0)),0%,VLOOKUP(A101,'Données projet'!$A$35:$I$55,6,0)*VLOOKUP('Données projet'!$B$9,Paramètres!$A$1:$I$88,7,0))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projet'!$B$9,Paramètres!$A$1:$I$88,3,0)*0.475*44/12</f>
        <v>112.90166863474943</v>
      </c>
      <c r="AA101" s="23">
        <f>EXP(-LN(2)/25)*AA100+(1-EXP(-LN(2)/25))/(LN(2)/25)*Calculateur!V101*Calculateur!X101*VLOOKUP('Données projet'!$B$9,Paramètres!$A$1:$I$88,3,0)*0.475*44/12</f>
        <v>46.20938074877229</v>
      </c>
      <c r="AB101" s="23">
        <f>EXP(-LN(2)/2)*AB100+(1-EXP(-LN(2)/2))/(LN(2)/2)*V101*Y101*VLOOKUP('Données projet'!$B$9,Paramètres!$A$1:$I$88,3,0)*0.475*44/12</f>
        <v>0</v>
      </c>
      <c r="AC101" s="24">
        <f t="shared" si="57"/>
        <v>159.11104938352173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68.425317443760264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5.6843418860808015E-14</v>
      </c>
      <c r="AJ101" s="14">
        <f>AI101*VLOOKUP('Données projet'!$B$10,Paramètres!$A$1:$I$88,3,0)*VLOOKUP('Données projet'!$B$10,Paramètres!$A$1:$I$88,5,0)</f>
        <v>3.3992364478763198E-14</v>
      </c>
      <c r="AK101" s="14">
        <f t="shared" si="89"/>
        <v>5.790027782444094E-13</v>
      </c>
      <c r="AL101" s="22">
        <f t="shared" si="58"/>
        <v>1.0676332069095257E-12</v>
      </c>
      <c r="AM101" s="62">
        <f t="shared" si="59"/>
        <v>287.5594972937887</v>
      </c>
      <c r="AN101" s="62">
        <f ca="1">AVERAGE(OFFSET($AM$3,0,0,'Données projet'!$E$10+1,1))-AVERAGE(OFFSET($H$3,0,0,'Données projet'!$E$10+1,1))</f>
        <v>231.96474801342879</v>
      </c>
      <c r="AO101" s="62">
        <f t="shared" si="90"/>
        <v>237.75726086383668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projet'!$B$10,Paramètres!$A$1:$I$88,7,0))</f>
        <v>0</v>
      </c>
      <c r="AS101" s="17">
        <f>IF(ISNA(VLOOKUP(A101,'Données projet'!$A$61:$I$81,6,0)),0%,VLOOKUP(A101,'Données projet'!$A$61:$I$81,6,0)*VLOOKUP('Données projet'!$B$10,Paramètres!$A$1:$I$88,7,0))</f>
        <v>0</v>
      </c>
      <c r="AT101" s="17">
        <f>IF(ISNA(VLOOKUP(A101,'Données projet'!$A$61:$I$81,7,0)),0%,VLOOKUP(A101,'Données projet'!$A$61:$I$81,7,0))</f>
        <v>0</v>
      </c>
      <c r="AU101" s="23">
        <f>EXP(-LN(2)/35)*AU100+(1-EXP(-LN(2)/35))/(LN(2)/35)*AQ101*AR101*VLOOKUP('Données projet'!$B$10,Paramètres!$A$1:$I$88,3,0)*0.475*44/12</f>
        <v>44.522720100022276</v>
      </c>
      <c r="AV101" s="23">
        <f>EXP(-LN(2)/25)*AV100+(1-EXP(-LN(2)/25))/(LN(2)/25)*Calculateur!AQ101*Calculateur!AS101*VLOOKUP('Données projet'!$B$10,Paramètres!$A$1:$I$88,3,0)*0.475*44/12</f>
        <v>19.513053152731729</v>
      </c>
      <c r="AW101" s="23">
        <f>EXP(-LN(2)/2)*AW100+(1-EXP(-LN(2)/2))/(LN(2)/2)*AQ101*AT101*VLOOKUP('Données projet'!$B$10,Paramètres!$A$1:$I$88,3,0)*0.475*44/12</f>
        <v>0</v>
      </c>
      <c r="AX101" s="23">
        <f t="shared" si="60"/>
        <v>64.035773252754012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68.425317443760264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10.7</v>
      </c>
      <c r="BD101" s="13">
        <f>IF('Données projet'!$A$88&gt;35,BD100+BC101-BL100,IF(A101&lt;'Données projet'!$A$88,$BA$205^A101,IF(A101='Données projet'!$A$88,'Données projet'!$B$88,BD100+BC101-BL100)))</f>
        <v>505.10000000000036</v>
      </c>
      <c r="BE101" s="14">
        <f>BD101*VLOOKUP('Données projet'!$B$11,Paramètres!$A$1:$I$88,3,0)*VLOOKUP('Données projet'!$B$11,Paramètres!$A$1:$I$88,5,0)</f>
        <v>236.38680000000016</v>
      </c>
      <c r="BF101" s="14">
        <f t="shared" si="91"/>
        <v>57.661447897519324</v>
      </c>
      <c r="BG101" s="22">
        <f t="shared" si="61"/>
        <v>512.13403175484643</v>
      </c>
      <c r="BH101" s="62">
        <f t="shared" si="62"/>
        <v>799.69352904863399</v>
      </c>
      <c r="BI101" s="62">
        <f ca="1">AVERAGE(OFFSET($BH$3,0,0,'Données projet'!$E$11+1,1))-AVERAGE(OFFSET($H$3,0,0,'Données projet'!$E$11+1,1))</f>
        <v>364.96458059055169</v>
      </c>
      <c r="BJ101" s="62">
        <f t="shared" si="92"/>
        <v>246.27159120786257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projet'!$B$11,Paramètres!$A$1:$I$88,7,0))</f>
        <v>0</v>
      </c>
      <c r="BN101" s="17">
        <f>IF(ISNA(VLOOKUP(A101,'Données projet'!$A$87:$I$107,6,0)),0%,VLOOKUP(A101,'Données projet'!$A$87:$I$107,6,0)*VLOOKUP('Données projet'!$B$11,Paramètres!$A$1:$I$88,7,0))</f>
        <v>0</v>
      </c>
      <c r="BO101" s="17">
        <f>IF(ISNA(VLOOKUP(A101,'Données projet'!$A$87:$I$107,7,0)),0%,VLOOKUP(A101,'Données projet'!$A$87:$I$107,7,0))</f>
        <v>0</v>
      </c>
      <c r="BP101" s="23">
        <f>EXP(-LN(2)/35)*BP100+(1-EXP(-LN(2)/35))/(LN(2)/35)*BL101*BM101*VLOOKUP('Données projet'!$B$11,Paramètres!$A$1:$I$88,3,0)*0.475*44/12</f>
        <v>88.435983933935233</v>
      </c>
      <c r="BQ101" s="23">
        <f>EXP(-LN(2)/25)*BQ100+(1-EXP(-LN(2)/25))/(LN(2)/25)*Calculateur!BL101*Calculateur!BN101*VLOOKUP('Données projet'!$B$11,Paramètres!$A$1:$I$88,3,0)*0.475*44/12</f>
        <v>34.692384838487691</v>
      </c>
      <c r="BR101" s="23">
        <f>EXP(-LN(2)/2)*BR100+(1-EXP(-LN(2)/2))/(LN(2)/2)*BL101*BO101*VLOOKUP('Données projet'!$B$11,Paramètres!$A$1:$I$88,3,0)*0.475*44/12</f>
        <v>0</v>
      </c>
      <c r="BS101" s="24">
        <f t="shared" si="63"/>
        <v>123.12836877242293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68.425317443760264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-1.1368683772161603E-13</v>
      </c>
      <c r="BZ101" s="14">
        <f>BY101*VLOOKUP('Données projet'!$B$12,Paramètres!$A$1:$I$88,3,0)*VLOOKUP('Données projet'!$B$12,Paramètres!$A$1:$I$88,5,0)</f>
        <v>-1.1527845344971866E-13</v>
      </c>
      <c r="CA101" s="14" t="e">
        <f t="shared" si="93"/>
        <v>#NUM!</v>
      </c>
      <c r="CB101" s="22" t="e">
        <f t="shared" si="64"/>
        <v>#NUM!</v>
      </c>
      <c r="CC101" s="62" t="e">
        <f t="shared" si="65"/>
        <v>#NUM!</v>
      </c>
      <c r="CD101" s="62">
        <f ca="1">AVERAGE(OFFSET($CC$3,0,0,'Données projet'!$E$12+1,1))-AVERAGE(OFFSET($H$3,0,0,'Données projet'!$E$12+1,1))</f>
        <v>310.53598044763282</v>
      </c>
      <c r="CE101" s="62">
        <f t="shared" si="94"/>
        <v>322.01096634040596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projet'!$B$12,Paramètres!$A$1:$I$88,7,0))</f>
        <v>0</v>
      </c>
      <c r="CI101" s="17">
        <f>IF(ISNA(VLOOKUP(A101,'Données projet'!$A$113:$I$133,6,0)),0%,VLOOKUP(A101,'Données projet'!$A$113:$I$133,6,0)*VLOOKUP('Données projet'!$B$12,Paramètres!$A$1:$I$88,7,0))</f>
        <v>0</v>
      </c>
      <c r="CJ101" s="17">
        <f>IF(ISNA(VLOOKUP(A101,'Données projet'!$A$113:$I$133,7,0)),0%,VLOOKUP(A101,'Données projet'!$A$113:$I$133,7,0))</f>
        <v>0</v>
      </c>
      <c r="CK101" s="23">
        <f>EXP(-LN(2)/35)*CK100+(1-EXP(-LN(2)/35))/(LN(2)/35)*CG101*CH101*VLOOKUP('Données projet'!$B$12,Paramètres!$A$1:$I$88,3,0)*0.475*44/12</f>
        <v>34.065299913847717</v>
      </c>
      <c r="CL101" s="23">
        <f>EXP(-LN(2)/25)*CL100+(1-EXP(-LN(2)/25))/(LN(2)/25)*Calculateur!CG101*Calculateur!CI101*VLOOKUP('Données projet'!$B$12,Paramètres!$A$1:$I$88,3,0)*0.475*44/12</f>
        <v>0</v>
      </c>
      <c r="CM101" s="23">
        <f>EXP(-LN(2)/2)*CM100+(1-EXP(-LN(2)/2))/(LN(2)/2)*CG101*CJ101*VLOOKUP('Données projet'!$B$12,Paramètres!$A$1:$I$88,3,0)*0.475*44/12</f>
        <v>0</v>
      </c>
      <c r="CN101" s="24">
        <f t="shared" si="66"/>
        <v>34.065299913847717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68.425317443760264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projet'!$B$13,Paramètres!$A$1:$I$88,3,0)*VLOOKUP('Données projet'!$B$13,Paramètres!$A$1:$I$88,5,0)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projet'!$B$13,Paramètres!$A$1:$I$88,7,0))</f>
        <v>0</v>
      </c>
      <c r="DD101" s="17">
        <f>IF(ISNA(VLOOKUP(A101,'Données projet'!$A$139:$I$159,6,0)),0%,VLOOKUP(A101,'Données projet'!$A$139:$I$159,6,0)*VLOOKUP('Données projet'!$B$13,Paramètres!$A$1:$I$88,7,0))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projet'!$B$13,Paramètres!$A$1:$I$88,3,0)*0.475*44/12</f>
        <v>#N/A</v>
      </c>
      <c r="DG101" s="23" t="e">
        <f>EXP(-LN(2)/25)*DG100+(1-EXP(-LN(2)/25))/(LN(2)/25)*Calculateur!DB101*Calculateur!DD101*VLOOKUP('Données projet'!$B$13,Paramètres!$A$1:$I$88,3,0)*0.475*44/12</f>
        <v>#N/A</v>
      </c>
      <c r="DH101" s="23" t="e">
        <f>EXP(-LN(2)/2)*DH100+(1-EXP(-LN(2)/2))/(LN(2)/2)*DB101*DE101*VLOOKUP('Données projet'!$B$13,Paramètres!$A$1:$I$88,3,0)*0.475*44/12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68.425317443760264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projet'!$B$14,Paramètres!$A$1:$I$88,3,0)*VLOOKUP('Données projet'!$B$14,Paramètres!$A$1:$I$88,5,0)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projet'!$B$14,Paramètres!$A$1:$I$88,7,0))</f>
        <v>0</v>
      </c>
      <c r="DY101" s="17">
        <f>IF(ISNA(VLOOKUP(A101,'Données projet'!$A$165:$I$185,6,0)),0%,VLOOKUP(A101,'Données projet'!$A$165:$I$185,6,0)*VLOOKUP('Données projet'!$B$14,Paramètres!$A$1:$I$88,7,0))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projet'!$B$14,Paramètres!$A$1:$I$88,3,0)*0.475*44/12</f>
        <v>#N/A</v>
      </c>
      <c r="EB101" s="23" t="e">
        <f>EXP(-LN(2)/25)*EB100+(1-EXP(-LN(2)/25))/(LN(2)/25)*Calculateur!DW101*Calculateur!DY101*VLOOKUP('Données projet'!$B$14,Paramètres!$A$1:$I$88,3,0)*0.475*44/12</f>
        <v>#N/A</v>
      </c>
      <c r="EC101" s="23" t="e">
        <f>EXP(-LN(2)/2)*EC100+(1-EXP(-LN(2)/2))/(LN(2)/2)*DW101*DZ101*VLOOKUP('Données projet'!$B$14,Paramètres!$A$1:$I$88,3,0)*0.475*44/12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68.425317443760264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projet'!$B$15,Paramètres!$A$1:$I$88,3,0)*VLOOKUP('Données projet'!$B$15,Paramètres!$A$1:$I$88,5,0)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projet'!$B$15,Paramètres!$A$1:$I$88,7,0))</f>
        <v>0</v>
      </c>
      <c r="ET101" s="17">
        <f>IF(ISNA(VLOOKUP(A101,'Données projet'!$A$191:$I$211,6,0)),0%,VLOOKUP(A101,'Données projet'!$A$191:$I$211,6,0)*VLOOKUP('Données projet'!$B$15,Paramètres!$A$1:$I$88,7,0))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projet'!$B$15,Paramètres!$A$1:$I$88,3,0)*0.475*44/12</f>
        <v>#N/A</v>
      </c>
      <c r="EW101" s="23" t="e">
        <f>EXP(-LN(2)/25)*EW100+(1-EXP(-LN(2)/25))/(LN(2)/25)*Calculateur!ER101*Calculateur!ET101*VLOOKUP('Données projet'!$B$15,Paramètres!$A$1:$I$88,3,0)*0.475*44/12</f>
        <v>#N/A</v>
      </c>
      <c r="EX101" s="23" t="e">
        <f>EXP(-LN(2)/2)*EX100+(1-EXP(-LN(2)/2))/(LN(2)/2)*ER101*EU101*VLOOKUP('Données projet'!$B$15,Paramètres!$A$1:$I$88,3,0)*0.475*44/12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68.425317443760264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projet'!$B$16,Paramètres!$A$1:$I$88,3,0)*VLOOKUP('Données projet'!$B$16,Paramètres!$A$1:$I$88,5,0)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projet'!$B$16,Paramètres!$A$1:$I$88,7,0))</f>
        <v>0</v>
      </c>
      <c r="FO101" s="17">
        <f>IF(ISNA(VLOOKUP(A101,'Données projet'!$A$217:$I$237,6,0)),0%,VLOOKUP(A101,'Données projet'!$A$217:$I$237,6,0)*VLOOKUP('Données projet'!$B$16,Paramètres!$A$1:$I$88,7,0))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projet'!$B$16,Paramètres!$A$1:$I$88,3,0)*0.475*44/12</f>
        <v>#N/A</v>
      </c>
      <c r="FR101" s="23" t="e">
        <f>EXP(-LN(2)/25)*FR100+(1-EXP(-LN(2)/25))/(LN(2)/25)*Calculateur!FM101*Calculateur!FO101*VLOOKUP('Données projet'!$B$16,Paramètres!$A$1:$I$88,3,0)*0.475*44/12</f>
        <v>#N/A</v>
      </c>
      <c r="FS101" s="23" t="e">
        <f>EXP(-LN(2)/2)*FS100+(1-EXP(-LN(2)/2))/(LN(2)/2)*FM101*FP101*VLOOKUP('Données projet'!$B$16,Paramètres!$A$1:$I$88,3,0)*0.475*44/12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68.425317443760264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projet'!$B$17,Paramètres!$A$1:$I$88,3,0)*VLOOKUP('Données projet'!$B$17,Paramètres!$A$1:$I$88,5,0)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projet'!$B$17,Paramètres!$A$1:$I$88,7,0))</f>
        <v>0</v>
      </c>
      <c r="GJ101" s="17">
        <f>IF(ISNA(VLOOKUP(A101,'Données projet'!$A$243:$I$263,6,0)),0%,VLOOKUP(A101,'Données projet'!$A$243:$I$263,6,0)*VLOOKUP('Données projet'!$B$17,Paramètres!$A$1:$I$88,7,0))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projet'!$B$17,Paramètres!$A$1:$I$88,3,0)*0.475*44/12</f>
        <v>#N/A</v>
      </c>
      <c r="GM101" s="23" t="e">
        <f>EXP(-LN(2)/25)*GM100+(1-EXP(-LN(2)/25))/(LN(2)/25)*Calculateur!GH101*Calculateur!GJ101*VLOOKUP('Données projet'!$B$17,Paramètres!$A$1:$I$88,3,0)*0.475*44/12</f>
        <v>#N/A</v>
      </c>
      <c r="GN101" s="23" t="e">
        <f>EXP(-LN(2)/2)*GN100+(1-EXP(-LN(2)/2))/(LN(2)/2)*GH101*GK101*VLOOKUP('Données projet'!$B$17,Paramètres!$A$1:$I$88,3,0)*0.475*44/12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68.425317443760264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projet'!$B$18,Paramètres!$A$1:$I$88,3,0)*VLOOKUP('Données projet'!$B$18,Paramètres!$A$1:$I$88,5,0)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projet'!$B$18,Paramètres!$A$1:$I$88,7,0))</f>
        <v>0</v>
      </c>
      <c r="HE101" s="17">
        <f>IF(ISNA(VLOOKUP(A101,'Données projet'!$A$269:$I$289,6,0)),0%,VLOOKUP(A101,'Données projet'!$A$269:$I$289,6,0)*VLOOKUP('Données projet'!$B$18,Paramètres!$A$1:$I$88,7,0))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projet'!$B$18,Paramètres!$A$1:$I$88,3,0)*0.475*44/12</f>
        <v>#N/A</v>
      </c>
      <c r="HH101" s="23" t="e">
        <f>EXP(-LN(2)/25)*HH100+(1-EXP(-LN(2)/25))/(LN(2)/25)*Calculateur!HC101*Calculateur!HE101*VLOOKUP('Données projet'!$B$18,Paramètres!$A$1:$I$88,3,0)*0.475*44/12</f>
        <v>#N/A</v>
      </c>
      <c r="HI101" s="23" t="e">
        <f>EXP(-LN(2)/2)*HI100+(1-EXP(-LN(2)/2))/(LN(2)/2)*HC101*HF101*VLOOKUP('Données projet'!$B$18,Paramètres!$A$1:$I$88,3,0)*0.475*44/12</f>
        <v>#N/A</v>
      </c>
      <c r="HJ101" s="24" t="e">
        <f t="shared" si="84"/>
        <v>#N/A</v>
      </c>
    </row>
    <row r="102" spans="1:218" s="5" customFormat="1" x14ac:dyDescent="0.35">
      <c r="A102" s="11">
        <f t="shared" si="85"/>
        <v>99</v>
      </c>
      <c r="B102" s="77">
        <f>'Scénario référence'!$B$16*5+'Scénario référence'!$B$17*0+'Scénario référence'!$B$18*5</f>
        <v>1.75</v>
      </c>
      <c r="C102" s="20">
        <f>Calculateur!C101+'Scénario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02" s="12">
        <f t="shared" si="86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6.416666666666667</v>
      </c>
      <c r="H102" s="70">
        <f t="shared" si="56"/>
        <v>231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68.452634665648233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3.4106051316484809E-13</v>
      </c>
      <c r="O102" s="14">
        <f>N102*VLOOKUP('Données projet'!$B$9,Paramètres!$A$1:$I$88,3,0)*VLOOKUP('Données projet'!$B$9,Paramètres!$A$1:$I$88,5,0)</f>
        <v>1.9065282685915009E-13</v>
      </c>
      <c r="P102" s="14">
        <f t="shared" si="87"/>
        <v>2.6568987209435707E-12</v>
      </c>
      <c r="Q102" s="22">
        <f t="shared" si="107"/>
        <v>4.959485612423072E-12</v>
      </c>
      <c r="R102" s="62">
        <f t="shared" si="55"/>
        <v>287.65966044071513</v>
      </c>
      <c r="S102" s="62">
        <f ca="1">AVERAGE(OFFSET($R$3,0,0,'Données projet'!$E$9+1,1))-AVERAGE(OFFSET($H$3,0,0,'Données projet'!$E$9+1,1))</f>
        <v>341.05096821796769</v>
      </c>
      <c r="T102" s="62">
        <f t="shared" si="88"/>
        <v>400.72519822215168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projet'!$B$9,Paramètres!$A$1:$I$88,7,0))</f>
        <v>0</v>
      </c>
      <c r="X102" s="17">
        <f>IF(ISNA(VLOOKUP(A102,'Données projet'!$A$35:$I$55,6,0)),0%,VLOOKUP(A102,'Données projet'!$A$35:$I$55,6,0)*VLOOKUP('Données projet'!$B$9,Paramètres!$A$1:$I$88,7,0))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projet'!$B$9,Paramètres!$A$1:$I$88,3,0)*0.475*44/12</f>
        <v>110.68773577604018</v>
      </c>
      <c r="AA102" s="23">
        <f>EXP(-LN(2)/25)*AA101+(1-EXP(-LN(2)/25))/(LN(2)/25)*Calculateur!V102*Calculateur!X102*VLOOKUP('Données projet'!$B$9,Paramètres!$A$1:$I$88,3,0)*0.475*44/12</f>
        <v>44.945782802151392</v>
      </c>
      <c r="AB102" s="23">
        <f>EXP(-LN(2)/2)*AB101+(1-EXP(-LN(2)/2))/(LN(2)/2)*V102*Y102*VLOOKUP('Données projet'!$B$9,Paramètres!$A$1:$I$88,3,0)*0.475*44/12</f>
        <v>0</v>
      </c>
      <c r="AC102" s="24">
        <f t="shared" si="57"/>
        <v>155.63351857819157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68.452634665648233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5.6843418860808015E-14</v>
      </c>
      <c r="AJ102" s="14">
        <f>AI102*VLOOKUP('Données projet'!$B$10,Paramètres!$A$1:$I$88,3,0)*VLOOKUP('Données projet'!$B$10,Paramètres!$A$1:$I$88,5,0)</f>
        <v>3.3992364478763198E-14</v>
      </c>
      <c r="AK102" s="14">
        <f t="shared" si="89"/>
        <v>5.790027782444094E-13</v>
      </c>
      <c r="AL102" s="22">
        <f t="shared" si="58"/>
        <v>1.0676332069095257E-12</v>
      </c>
      <c r="AM102" s="62">
        <f t="shared" si="59"/>
        <v>287.65966044071126</v>
      </c>
      <c r="AN102" s="62">
        <f ca="1">AVERAGE(OFFSET($AM$3,0,0,'Données projet'!$E$10+1,1))-AVERAGE(OFFSET($H$3,0,0,'Données projet'!$E$10+1,1))</f>
        <v>231.96474801342879</v>
      </c>
      <c r="AO102" s="62">
        <f t="shared" si="90"/>
        <v>237.75726086383668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projet'!$B$10,Paramètres!$A$1:$I$88,7,0))</f>
        <v>0</v>
      </c>
      <c r="AS102" s="17">
        <f>IF(ISNA(VLOOKUP(A102,'Données projet'!$A$61:$I$81,6,0)),0%,VLOOKUP(A102,'Données projet'!$A$61:$I$81,6,0)*VLOOKUP('Données projet'!$B$10,Paramètres!$A$1:$I$88,7,0))</f>
        <v>0</v>
      </c>
      <c r="AT102" s="17">
        <f>IF(ISNA(VLOOKUP(A102,'Données projet'!$A$61:$I$81,7,0)),0%,VLOOKUP(A102,'Données projet'!$A$61:$I$81,7,0))</f>
        <v>0</v>
      </c>
      <c r="AU102" s="23">
        <f>EXP(-LN(2)/35)*AU101+(1-EXP(-LN(2)/35))/(LN(2)/35)*AQ102*AR102*VLOOKUP('Données projet'!$B$10,Paramètres!$A$1:$I$88,3,0)*0.475*44/12</f>
        <v>43.649656715038653</v>
      </c>
      <c r="AV102" s="23">
        <f>EXP(-LN(2)/25)*AV101+(1-EXP(-LN(2)/25))/(LN(2)/25)*Calculateur!AQ102*Calculateur!AS102*VLOOKUP('Données projet'!$B$10,Paramètres!$A$1:$I$88,3,0)*0.475*44/12</f>
        <v>18.97946768812341</v>
      </c>
      <c r="AW102" s="23">
        <f>EXP(-LN(2)/2)*AW101+(1-EXP(-LN(2)/2))/(LN(2)/2)*AQ102*AT102*VLOOKUP('Données projet'!$B$10,Paramètres!$A$1:$I$88,3,0)*0.475*44/12</f>
        <v>0</v>
      </c>
      <c r="AX102" s="23">
        <f t="shared" si="60"/>
        <v>62.629124403162066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68.452634665648233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10.7</v>
      </c>
      <c r="BD102" s="13">
        <f>IF('Données projet'!$A$88&gt;35,BD101+BC102-BL101,IF(A102&lt;'Données projet'!$A$88,$BA$205^A102,IF(A102='Données projet'!$A$88,'Données projet'!$B$88,BD101+BC102-BL101)))</f>
        <v>515.80000000000041</v>
      </c>
      <c r="BE102" s="14">
        <f>BD102*VLOOKUP('Données projet'!$B$11,Paramètres!$A$1:$I$88,3,0)*VLOOKUP('Données projet'!$B$11,Paramètres!$A$1:$I$88,5,0)</f>
        <v>241.39440000000019</v>
      </c>
      <c r="BF102" s="14">
        <f t="shared" si="91"/>
        <v>58.739441206907316</v>
      </c>
      <c r="BG102" s="22">
        <f t="shared" si="61"/>
        <v>522.73310676869721</v>
      </c>
      <c r="BH102" s="62">
        <f t="shared" si="62"/>
        <v>810.39276720940734</v>
      </c>
      <c r="BI102" s="62">
        <f ca="1">AVERAGE(OFFSET($BH$3,0,0,'Données projet'!$E$11+1,1))-AVERAGE(OFFSET($H$3,0,0,'Données projet'!$E$11+1,1))</f>
        <v>364.96458059055169</v>
      </c>
      <c r="BJ102" s="62">
        <f t="shared" si="92"/>
        <v>246.27159120786257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projet'!$B$11,Paramètres!$A$1:$I$88,7,0))</f>
        <v>0</v>
      </c>
      <c r="BN102" s="17">
        <f>IF(ISNA(VLOOKUP(A102,'Données projet'!$A$87:$I$107,6,0)),0%,VLOOKUP(A102,'Données projet'!$A$87:$I$107,6,0)*VLOOKUP('Données projet'!$B$11,Paramètres!$A$1:$I$88,7,0))</f>
        <v>0</v>
      </c>
      <c r="BO102" s="17">
        <f>IF(ISNA(VLOOKUP(A102,'Données projet'!$A$87:$I$107,7,0)),0%,VLOOKUP(A102,'Données projet'!$A$87:$I$107,7,0))</f>
        <v>0</v>
      </c>
      <c r="BP102" s="23">
        <f>EXP(-LN(2)/35)*BP101+(1-EXP(-LN(2)/35))/(LN(2)/35)*BL102*BM102*VLOOKUP('Données projet'!$B$11,Paramètres!$A$1:$I$88,3,0)*0.475*44/12</f>
        <v>86.70180822961477</v>
      </c>
      <c r="BQ102" s="23">
        <f>EXP(-LN(2)/25)*BQ101+(1-EXP(-LN(2)/25))/(LN(2)/25)*Calculateur!BL102*Calculateur!BN102*VLOOKUP('Données projet'!$B$11,Paramètres!$A$1:$I$88,3,0)*0.475*44/12</f>
        <v>33.743719750686019</v>
      </c>
      <c r="BR102" s="23">
        <f>EXP(-LN(2)/2)*BR101+(1-EXP(-LN(2)/2))/(LN(2)/2)*BL102*BO102*VLOOKUP('Données projet'!$B$11,Paramètres!$A$1:$I$88,3,0)*0.475*44/12</f>
        <v>0</v>
      </c>
      <c r="BS102" s="24">
        <f t="shared" si="63"/>
        <v>120.4455279803008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68.452634665648233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-1.1368683772161603E-13</v>
      </c>
      <c r="BZ102" s="14">
        <f>BY102*VLOOKUP('Données projet'!$B$12,Paramètres!$A$1:$I$88,3,0)*VLOOKUP('Données projet'!$B$12,Paramètres!$A$1:$I$88,5,0)</f>
        <v>-1.1527845344971866E-13</v>
      </c>
      <c r="CA102" s="14" t="e">
        <f t="shared" si="93"/>
        <v>#NUM!</v>
      </c>
      <c r="CB102" s="22" t="e">
        <f t="shared" si="64"/>
        <v>#NUM!</v>
      </c>
      <c r="CC102" s="62" t="e">
        <f t="shared" si="65"/>
        <v>#NUM!</v>
      </c>
      <c r="CD102" s="62">
        <f ca="1">AVERAGE(OFFSET($CC$3,0,0,'Données projet'!$E$12+1,1))-AVERAGE(OFFSET($H$3,0,0,'Données projet'!$E$12+1,1))</f>
        <v>310.53598044763282</v>
      </c>
      <c r="CE102" s="62">
        <f t="shared" si="94"/>
        <v>322.01096634040596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projet'!$B$12,Paramètres!$A$1:$I$88,7,0))</f>
        <v>0</v>
      </c>
      <c r="CI102" s="17">
        <f>IF(ISNA(VLOOKUP(A102,'Données projet'!$A$113:$I$133,6,0)),0%,VLOOKUP(A102,'Données projet'!$A$113:$I$133,6,0)*VLOOKUP('Données projet'!$B$12,Paramètres!$A$1:$I$88,7,0))</f>
        <v>0</v>
      </c>
      <c r="CJ102" s="17">
        <f>IF(ISNA(VLOOKUP(A102,'Données projet'!$A$113:$I$133,7,0)),0%,VLOOKUP(A102,'Données projet'!$A$113:$I$133,7,0))</f>
        <v>0</v>
      </c>
      <c r="CK102" s="23">
        <f>EXP(-LN(2)/35)*CK101+(1-EXP(-LN(2)/35))/(LN(2)/35)*CG102*CH102*VLOOKUP('Données projet'!$B$12,Paramètres!$A$1:$I$88,3,0)*0.475*44/12</f>
        <v>33.397300160318473</v>
      </c>
      <c r="CL102" s="23">
        <f>EXP(-LN(2)/25)*CL101+(1-EXP(-LN(2)/25))/(LN(2)/25)*Calculateur!CG102*Calculateur!CI102*VLOOKUP('Données projet'!$B$12,Paramètres!$A$1:$I$88,3,0)*0.475*44/12</f>
        <v>0</v>
      </c>
      <c r="CM102" s="23">
        <f>EXP(-LN(2)/2)*CM101+(1-EXP(-LN(2)/2))/(LN(2)/2)*CG102*CJ102*VLOOKUP('Données projet'!$B$12,Paramètres!$A$1:$I$88,3,0)*0.475*44/12</f>
        <v>0</v>
      </c>
      <c r="CN102" s="24">
        <f t="shared" si="66"/>
        <v>33.397300160318473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68.452634665648233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projet'!$B$13,Paramètres!$A$1:$I$88,3,0)*VLOOKUP('Données projet'!$B$13,Paramètres!$A$1:$I$88,5,0)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projet'!$B$13,Paramètres!$A$1:$I$88,7,0))</f>
        <v>0</v>
      </c>
      <c r="DD102" s="17">
        <f>IF(ISNA(VLOOKUP(A102,'Données projet'!$A$139:$I$159,6,0)),0%,VLOOKUP(A102,'Données projet'!$A$139:$I$159,6,0)*VLOOKUP('Données projet'!$B$13,Paramètres!$A$1:$I$88,7,0))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projet'!$B$13,Paramètres!$A$1:$I$88,3,0)*0.475*44/12</f>
        <v>#N/A</v>
      </c>
      <c r="DG102" s="23" t="e">
        <f>EXP(-LN(2)/25)*DG101+(1-EXP(-LN(2)/25))/(LN(2)/25)*Calculateur!DB102*Calculateur!DD102*VLOOKUP('Données projet'!$B$13,Paramètres!$A$1:$I$88,3,0)*0.475*44/12</f>
        <v>#N/A</v>
      </c>
      <c r="DH102" s="23" t="e">
        <f>EXP(-LN(2)/2)*DH101+(1-EXP(-LN(2)/2))/(LN(2)/2)*DB102*DE102*VLOOKUP('Données projet'!$B$13,Paramètres!$A$1:$I$88,3,0)*0.475*44/12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68.452634665648233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projet'!$B$14,Paramètres!$A$1:$I$88,3,0)*VLOOKUP('Données projet'!$B$14,Paramètres!$A$1:$I$88,5,0)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projet'!$B$14,Paramètres!$A$1:$I$88,7,0))</f>
        <v>0</v>
      </c>
      <c r="DY102" s="17">
        <f>IF(ISNA(VLOOKUP(A102,'Données projet'!$A$165:$I$185,6,0)),0%,VLOOKUP(A102,'Données projet'!$A$165:$I$185,6,0)*VLOOKUP('Données projet'!$B$14,Paramètres!$A$1:$I$88,7,0))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projet'!$B$14,Paramètres!$A$1:$I$88,3,0)*0.475*44/12</f>
        <v>#N/A</v>
      </c>
      <c r="EB102" s="23" t="e">
        <f>EXP(-LN(2)/25)*EB101+(1-EXP(-LN(2)/25))/(LN(2)/25)*Calculateur!DW102*Calculateur!DY102*VLOOKUP('Données projet'!$B$14,Paramètres!$A$1:$I$88,3,0)*0.475*44/12</f>
        <v>#N/A</v>
      </c>
      <c r="EC102" s="23" t="e">
        <f>EXP(-LN(2)/2)*EC101+(1-EXP(-LN(2)/2))/(LN(2)/2)*DW102*DZ102*VLOOKUP('Données projet'!$B$14,Paramètres!$A$1:$I$88,3,0)*0.475*44/12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68.452634665648233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projet'!$B$15,Paramètres!$A$1:$I$88,3,0)*VLOOKUP('Données projet'!$B$15,Paramètres!$A$1:$I$88,5,0)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projet'!$B$15,Paramètres!$A$1:$I$88,7,0))</f>
        <v>0</v>
      </c>
      <c r="ET102" s="17">
        <f>IF(ISNA(VLOOKUP(A102,'Données projet'!$A$191:$I$211,6,0)),0%,VLOOKUP(A102,'Données projet'!$A$191:$I$211,6,0)*VLOOKUP('Données projet'!$B$15,Paramètres!$A$1:$I$88,7,0))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projet'!$B$15,Paramètres!$A$1:$I$88,3,0)*0.475*44/12</f>
        <v>#N/A</v>
      </c>
      <c r="EW102" s="23" t="e">
        <f>EXP(-LN(2)/25)*EW101+(1-EXP(-LN(2)/25))/(LN(2)/25)*Calculateur!ER102*Calculateur!ET102*VLOOKUP('Données projet'!$B$15,Paramètres!$A$1:$I$88,3,0)*0.475*44/12</f>
        <v>#N/A</v>
      </c>
      <c r="EX102" s="23" t="e">
        <f>EXP(-LN(2)/2)*EX101+(1-EXP(-LN(2)/2))/(LN(2)/2)*ER102*EU102*VLOOKUP('Données projet'!$B$15,Paramètres!$A$1:$I$88,3,0)*0.475*44/12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68.452634665648233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projet'!$B$16,Paramètres!$A$1:$I$88,3,0)*VLOOKUP('Données projet'!$B$16,Paramètres!$A$1:$I$88,5,0)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projet'!$B$16,Paramètres!$A$1:$I$88,7,0))</f>
        <v>0</v>
      </c>
      <c r="FO102" s="17">
        <f>IF(ISNA(VLOOKUP(A102,'Données projet'!$A$217:$I$237,6,0)),0%,VLOOKUP(A102,'Données projet'!$A$217:$I$237,6,0)*VLOOKUP('Données projet'!$B$16,Paramètres!$A$1:$I$88,7,0))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projet'!$B$16,Paramètres!$A$1:$I$88,3,0)*0.475*44/12</f>
        <v>#N/A</v>
      </c>
      <c r="FR102" s="23" t="e">
        <f>EXP(-LN(2)/25)*FR101+(1-EXP(-LN(2)/25))/(LN(2)/25)*Calculateur!FM102*Calculateur!FO102*VLOOKUP('Données projet'!$B$16,Paramètres!$A$1:$I$88,3,0)*0.475*44/12</f>
        <v>#N/A</v>
      </c>
      <c r="FS102" s="23" t="e">
        <f>EXP(-LN(2)/2)*FS101+(1-EXP(-LN(2)/2))/(LN(2)/2)*FM102*FP102*VLOOKUP('Données projet'!$B$16,Paramètres!$A$1:$I$88,3,0)*0.475*44/12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68.452634665648233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projet'!$B$17,Paramètres!$A$1:$I$88,3,0)*VLOOKUP('Données projet'!$B$17,Paramètres!$A$1:$I$88,5,0)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projet'!$B$17,Paramètres!$A$1:$I$88,7,0))</f>
        <v>0</v>
      </c>
      <c r="GJ102" s="17">
        <f>IF(ISNA(VLOOKUP(A102,'Données projet'!$A$243:$I$263,6,0)),0%,VLOOKUP(A102,'Données projet'!$A$243:$I$263,6,0)*VLOOKUP('Données projet'!$B$17,Paramètres!$A$1:$I$88,7,0))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projet'!$B$17,Paramètres!$A$1:$I$88,3,0)*0.475*44/12</f>
        <v>#N/A</v>
      </c>
      <c r="GM102" s="23" t="e">
        <f>EXP(-LN(2)/25)*GM101+(1-EXP(-LN(2)/25))/(LN(2)/25)*Calculateur!GH102*Calculateur!GJ102*VLOOKUP('Données projet'!$B$17,Paramètres!$A$1:$I$88,3,0)*0.475*44/12</f>
        <v>#N/A</v>
      </c>
      <c r="GN102" s="23" t="e">
        <f>EXP(-LN(2)/2)*GN101+(1-EXP(-LN(2)/2))/(LN(2)/2)*GH102*GK102*VLOOKUP('Données projet'!$B$17,Paramètres!$A$1:$I$88,3,0)*0.475*44/12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68.452634665648233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projet'!$B$18,Paramètres!$A$1:$I$88,3,0)*VLOOKUP('Données projet'!$B$18,Paramètres!$A$1:$I$88,5,0)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projet'!$B$18,Paramètres!$A$1:$I$88,7,0))</f>
        <v>0</v>
      </c>
      <c r="HE102" s="17">
        <f>IF(ISNA(VLOOKUP(A102,'Données projet'!$A$269:$I$289,6,0)),0%,VLOOKUP(A102,'Données projet'!$A$269:$I$289,6,0)*VLOOKUP('Données projet'!$B$18,Paramètres!$A$1:$I$88,7,0))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projet'!$B$18,Paramètres!$A$1:$I$88,3,0)*0.475*44/12</f>
        <v>#N/A</v>
      </c>
      <c r="HH102" s="23" t="e">
        <f>EXP(-LN(2)/25)*HH101+(1-EXP(-LN(2)/25))/(LN(2)/25)*Calculateur!HC102*Calculateur!HE102*VLOOKUP('Données projet'!$B$18,Paramètres!$A$1:$I$88,3,0)*0.475*44/12</f>
        <v>#N/A</v>
      </c>
      <c r="HI102" s="23" t="e">
        <f>EXP(-LN(2)/2)*HI101+(1-EXP(-LN(2)/2))/(LN(2)/2)*HC102*HF102*VLOOKUP('Données projet'!$B$18,Paramètres!$A$1:$I$88,3,0)*0.475*44/12</f>
        <v>#N/A</v>
      </c>
      <c r="HJ102" s="24" t="e">
        <f t="shared" si="84"/>
        <v>#N/A</v>
      </c>
    </row>
    <row r="103" spans="1:218" s="5" customFormat="1" x14ac:dyDescent="0.35">
      <c r="A103" s="11">
        <f t="shared" si="85"/>
        <v>100</v>
      </c>
      <c r="B103" s="77">
        <f>'Scénario référence'!$B$16*5+'Scénario référence'!$B$17*0+'Scénario référence'!$B$18*5</f>
        <v>1.75</v>
      </c>
      <c r="C103" s="20">
        <f>Calculateur!C102+'Scénario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03" s="12">
        <f t="shared" si="86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6.416666666666667</v>
      </c>
      <c r="H103" s="70">
        <f t="shared" si="56"/>
        <v>231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68.479477994808605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3.4106051316484809E-13</v>
      </c>
      <c r="O103" s="14">
        <f>N103*VLOOKUP('Données projet'!$B$9,Paramètres!$A$1:$I$88,3,0)*VLOOKUP('Données projet'!$B$9,Paramètres!$A$1:$I$88,5,0)</f>
        <v>1.9065282685915009E-13</v>
      </c>
      <c r="P103" s="14">
        <f t="shared" si="87"/>
        <v>2.6568987209435707E-12</v>
      </c>
      <c r="Q103" s="22">
        <f t="shared" si="107"/>
        <v>4.959485612423072E-12</v>
      </c>
      <c r="R103" s="62">
        <f t="shared" si="55"/>
        <v>287.75808598096984</v>
      </c>
      <c r="S103" s="62">
        <f ca="1">AVERAGE(OFFSET($R$3,0,0,'Données projet'!$E$9+1,1))-AVERAGE(OFFSET($H$3,0,0,'Données projet'!$E$9+1,1))</f>
        <v>341.05096821796769</v>
      </c>
      <c r="T103" s="62">
        <f t="shared" si="88"/>
        <v>400.72519822215168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projet'!$B$9,Paramètres!$A$1:$I$88,7,0))</f>
        <v>0</v>
      </c>
      <c r="X103" s="17">
        <f>IF(ISNA(VLOOKUP(A103,'Données projet'!$A$35:$I$55,6,0)),0%,VLOOKUP(A103,'Données projet'!$A$35:$I$55,6,0)*VLOOKUP('Données projet'!$B$9,Paramètres!$A$1:$I$88,7,0))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projet'!$B$9,Paramètres!$A$1:$I$88,3,0)*0.475*44/12</f>
        <v>108.51721679032453</v>
      </c>
      <c r="AA103" s="23">
        <f>EXP(-LN(2)/25)*AA102+(1-EXP(-LN(2)/25))/(LN(2)/25)*Calculateur!V103*Calculateur!X103*VLOOKUP('Données projet'!$B$9,Paramètres!$A$1:$I$88,3,0)*0.475*44/12</f>
        <v>43.716738007830571</v>
      </c>
      <c r="AB103" s="23">
        <f>EXP(-LN(2)/2)*AB102+(1-EXP(-LN(2)/2))/(LN(2)/2)*V103*Y103*VLOOKUP('Données projet'!$B$9,Paramètres!$A$1:$I$88,3,0)*0.475*44/12</f>
        <v>0</v>
      </c>
      <c r="AC103" s="24">
        <f t="shared" si="57"/>
        <v>152.23395479815508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68.479477994808605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5.6843418860808015E-14</v>
      </c>
      <c r="AJ103" s="14">
        <f>AI103*VLOOKUP('Données projet'!$B$10,Paramètres!$A$1:$I$88,3,0)*VLOOKUP('Données projet'!$B$10,Paramètres!$A$1:$I$88,5,0)</f>
        <v>3.3992364478763198E-14</v>
      </c>
      <c r="AK103" s="14">
        <f t="shared" si="89"/>
        <v>5.790027782444094E-13</v>
      </c>
      <c r="AL103" s="22">
        <f t="shared" si="58"/>
        <v>1.0676332069095257E-12</v>
      </c>
      <c r="AM103" s="62">
        <f t="shared" si="59"/>
        <v>287.75808598096597</v>
      </c>
      <c r="AN103" s="62">
        <f ca="1">AVERAGE(OFFSET($AM$3,0,0,'Données projet'!$E$10+1,1))-AVERAGE(OFFSET($H$3,0,0,'Données projet'!$E$10+1,1))</f>
        <v>231.96474801342879</v>
      </c>
      <c r="AO103" s="62">
        <f t="shared" si="90"/>
        <v>237.75726086383668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projet'!$B$10,Paramètres!$A$1:$I$88,7,0))</f>
        <v>0</v>
      </c>
      <c r="AS103" s="17">
        <f>IF(ISNA(VLOOKUP(A103,'Données projet'!$A$61:$I$81,6,0)),0%,VLOOKUP(A103,'Données projet'!$A$61:$I$81,6,0)*VLOOKUP('Données projet'!$B$10,Paramètres!$A$1:$I$88,7,0))</f>
        <v>0</v>
      </c>
      <c r="AT103" s="17">
        <f>IF(ISNA(VLOOKUP(A103,'Données projet'!$A$61:$I$81,7,0)),0%,VLOOKUP(A103,'Données projet'!$A$61:$I$81,7,0))</f>
        <v>0</v>
      </c>
      <c r="AU103" s="23">
        <f>EXP(-LN(2)/35)*AU102+(1-EXP(-LN(2)/35))/(LN(2)/35)*AQ103*AR103*VLOOKUP('Données projet'!$B$10,Paramètres!$A$1:$I$88,3,0)*0.475*44/12</f>
        <v>42.79371357051847</v>
      </c>
      <c r="AV103" s="23">
        <f>EXP(-LN(2)/25)*AV102+(1-EXP(-LN(2)/25))/(LN(2)/25)*Calculateur!AQ103*Calculateur!AS103*VLOOKUP('Données projet'!$B$10,Paramètres!$A$1:$I$88,3,0)*0.475*44/12</f>
        <v>18.460473146104849</v>
      </c>
      <c r="AW103" s="23">
        <f>EXP(-LN(2)/2)*AW102+(1-EXP(-LN(2)/2))/(LN(2)/2)*AQ103*AT103*VLOOKUP('Données projet'!$B$10,Paramètres!$A$1:$I$88,3,0)*0.475*44/12</f>
        <v>0</v>
      </c>
      <c r="AX103" s="23">
        <f t="shared" si="60"/>
        <v>61.254186716623323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68.479477994808605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10.7</v>
      </c>
      <c r="BD103" s="13">
        <f>IF('Données projet'!$A$88&gt;35,BD102+BC103-BL102,IF(A103&lt;'Données projet'!$A$88,$BA$205^A103,IF(A103='Données projet'!$A$88,'Données projet'!$B$88,BD102+BC103-BL102)))</f>
        <v>526.50000000000045</v>
      </c>
      <c r="BE103" s="14">
        <f>BD103*VLOOKUP('Données projet'!$B$11,Paramètres!$A$1:$I$88,3,0)*VLOOKUP('Données projet'!$B$11,Paramètres!$A$1:$I$88,5,0)</f>
        <v>246.40200000000021</v>
      </c>
      <c r="BF103" s="14">
        <f t="shared" si="91"/>
        <v>59.814834475385524</v>
      </c>
      <c r="BG103" s="22">
        <f t="shared" si="61"/>
        <v>533.32765337796343</v>
      </c>
      <c r="BH103" s="62">
        <f t="shared" si="62"/>
        <v>821.08573935892832</v>
      </c>
      <c r="BI103" s="62">
        <f ca="1">AVERAGE(OFFSET($BH$3,0,0,'Données projet'!$E$11+1,1))-AVERAGE(OFFSET($H$3,0,0,'Données projet'!$E$11+1,1))</f>
        <v>364.96458059055169</v>
      </c>
      <c r="BJ103" s="62">
        <f t="shared" si="92"/>
        <v>246.27159120786257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projet'!$B$11,Paramètres!$A$1:$I$88,7,0))</f>
        <v>0</v>
      </c>
      <c r="BN103" s="17">
        <f>IF(ISNA(VLOOKUP(A103,'Données projet'!$A$87:$I$107,6,0)),0%,VLOOKUP(A103,'Données projet'!$A$87:$I$107,6,0)*VLOOKUP('Données projet'!$B$11,Paramètres!$A$1:$I$88,7,0))</f>
        <v>0</v>
      </c>
      <c r="BO103" s="17">
        <f>IF(ISNA(VLOOKUP(A103,'Données projet'!$A$87:$I$107,7,0)),0%,VLOOKUP(A103,'Données projet'!$A$87:$I$107,7,0))</f>
        <v>0</v>
      </c>
      <c r="BP103" s="23">
        <f>EXP(-LN(2)/35)*BP102+(1-EXP(-LN(2)/35))/(LN(2)/35)*BL103*BM103*VLOOKUP('Données projet'!$B$11,Paramètres!$A$1:$I$88,3,0)*0.475*44/12</f>
        <v>85.001638653113289</v>
      </c>
      <c r="BQ103" s="23">
        <f>EXP(-LN(2)/25)*BQ102+(1-EXP(-LN(2)/25))/(LN(2)/25)*Calculateur!BL103*Calculateur!BN103*VLOOKUP('Données projet'!$B$11,Paramètres!$A$1:$I$88,3,0)*0.475*44/12</f>
        <v>32.820995959598413</v>
      </c>
      <c r="BR103" s="23">
        <f>EXP(-LN(2)/2)*BR102+(1-EXP(-LN(2)/2))/(LN(2)/2)*BL103*BO103*VLOOKUP('Données projet'!$B$11,Paramètres!$A$1:$I$88,3,0)*0.475*44/12</f>
        <v>0</v>
      </c>
      <c r="BS103" s="24">
        <f t="shared" si="63"/>
        <v>117.82263461271171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68.479477994808605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-1.1368683772161603E-13</v>
      </c>
      <c r="BZ103" s="14">
        <f>BY103*VLOOKUP('Données projet'!$B$12,Paramètres!$A$1:$I$88,3,0)*VLOOKUP('Données projet'!$B$12,Paramètres!$A$1:$I$88,5,0)</f>
        <v>-1.1527845344971866E-13</v>
      </c>
      <c r="CA103" s="14" t="e">
        <f t="shared" si="93"/>
        <v>#NUM!</v>
      </c>
      <c r="CB103" s="22" t="e">
        <f t="shared" si="64"/>
        <v>#NUM!</v>
      </c>
      <c r="CC103" s="62" t="e">
        <f t="shared" si="65"/>
        <v>#NUM!</v>
      </c>
      <c r="CD103" s="62">
        <f ca="1">AVERAGE(OFFSET($CC$3,0,0,'Données projet'!$E$12+1,1))-AVERAGE(OFFSET($H$3,0,0,'Données projet'!$E$12+1,1))</f>
        <v>310.53598044763282</v>
      </c>
      <c r="CE103" s="62">
        <f t="shared" si="94"/>
        <v>322.01096634040596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projet'!$B$12,Paramètres!$A$1:$I$88,7,0))</f>
        <v>0</v>
      </c>
      <c r="CI103" s="17">
        <f>IF(ISNA(VLOOKUP(A103,'Données projet'!$A$113:$I$133,6,0)),0%,VLOOKUP(A103,'Données projet'!$A$113:$I$133,6,0)*VLOOKUP('Données projet'!$B$12,Paramètres!$A$1:$I$88,7,0))</f>
        <v>0</v>
      </c>
      <c r="CJ103" s="17">
        <f>IF(ISNA(VLOOKUP(A103,'Données projet'!$A$113:$I$133,7,0)),0%,VLOOKUP(A103,'Données projet'!$A$113:$I$133,7,0))</f>
        <v>0</v>
      </c>
      <c r="CK103" s="23">
        <f>EXP(-LN(2)/35)*CK102+(1-EXP(-LN(2)/35))/(LN(2)/35)*CG103*CH103*VLOOKUP('Données projet'!$B$12,Paramètres!$A$1:$I$88,3,0)*0.475*44/12</f>
        <v>32.742399474516318</v>
      </c>
      <c r="CL103" s="23">
        <f>EXP(-LN(2)/25)*CL102+(1-EXP(-LN(2)/25))/(LN(2)/25)*Calculateur!CG103*Calculateur!CI103*VLOOKUP('Données projet'!$B$12,Paramètres!$A$1:$I$88,3,0)*0.475*44/12</f>
        <v>0</v>
      </c>
      <c r="CM103" s="23">
        <f>EXP(-LN(2)/2)*CM102+(1-EXP(-LN(2)/2))/(LN(2)/2)*CG103*CJ103*VLOOKUP('Données projet'!$B$12,Paramètres!$A$1:$I$88,3,0)*0.475*44/12</f>
        <v>0</v>
      </c>
      <c r="CN103" s="24">
        <f t="shared" si="66"/>
        <v>32.742399474516318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68.479477994808605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projet'!$B$13,Paramètres!$A$1:$I$88,3,0)*VLOOKUP('Données projet'!$B$13,Paramètres!$A$1:$I$88,5,0)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projet'!$B$13,Paramètres!$A$1:$I$88,7,0))</f>
        <v>0</v>
      </c>
      <c r="DD103" s="17">
        <f>IF(ISNA(VLOOKUP(A103,'Données projet'!$A$139:$I$159,6,0)),0%,VLOOKUP(A103,'Données projet'!$A$139:$I$159,6,0)*VLOOKUP('Données projet'!$B$13,Paramètres!$A$1:$I$88,7,0))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projet'!$B$13,Paramètres!$A$1:$I$88,3,0)*0.475*44/12</f>
        <v>#N/A</v>
      </c>
      <c r="DG103" s="23" t="e">
        <f>EXP(-LN(2)/25)*DG102+(1-EXP(-LN(2)/25))/(LN(2)/25)*Calculateur!DB103*Calculateur!DD103*VLOOKUP('Données projet'!$B$13,Paramètres!$A$1:$I$88,3,0)*0.475*44/12</f>
        <v>#N/A</v>
      </c>
      <c r="DH103" s="23" t="e">
        <f>EXP(-LN(2)/2)*DH102+(1-EXP(-LN(2)/2))/(LN(2)/2)*DB103*DE103*VLOOKUP('Données projet'!$B$13,Paramètres!$A$1:$I$88,3,0)*0.475*44/12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68.479477994808605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projet'!$B$14,Paramètres!$A$1:$I$88,3,0)*VLOOKUP('Données projet'!$B$14,Paramètres!$A$1:$I$88,5,0)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projet'!$B$14,Paramètres!$A$1:$I$88,7,0))</f>
        <v>0</v>
      </c>
      <c r="DY103" s="17">
        <f>IF(ISNA(VLOOKUP(A103,'Données projet'!$A$165:$I$185,6,0)),0%,VLOOKUP(A103,'Données projet'!$A$165:$I$185,6,0)*VLOOKUP('Données projet'!$B$14,Paramètres!$A$1:$I$88,7,0))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projet'!$B$14,Paramètres!$A$1:$I$88,3,0)*0.475*44/12</f>
        <v>#N/A</v>
      </c>
      <c r="EB103" s="23" t="e">
        <f>EXP(-LN(2)/25)*EB102+(1-EXP(-LN(2)/25))/(LN(2)/25)*Calculateur!DW103*Calculateur!DY103*VLOOKUP('Données projet'!$B$14,Paramètres!$A$1:$I$88,3,0)*0.475*44/12</f>
        <v>#N/A</v>
      </c>
      <c r="EC103" s="23" t="e">
        <f>EXP(-LN(2)/2)*EC102+(1-EXP(-LN(2)/2))/(LN(2)/2)*DW103*DZ103*VLOOKUP('Données projet'!$B$14,Paramètres!$A$1:$I$88,3,0)*0.475*44/12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68.479477994808605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projet'!$B$15,Paramètres!$A$1:$I$88,3,0)*VLOOKUP('Données projet'!$B$15,Paramètres!$A$1:$I$88,5,0)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projet'!$B$15,Paramètres!$A$1:$I$88,7,0))</f>
        <v>0</v>
      </c>
      <c r="ET103" s="17">
        <f>IF(ISNA(VLOOKUP(A103,'Données projet'!$A$191:$I$211,6,0)),0%,VLOOKUP(A103,'Données projet'!$A$191:$I$211,6,0)*VLOOKUP('Données projet'!$B$15,Paramètres!$A$1:$I$88,7,0))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projet'!$B$15,Paramètres!$A$1:$I$88,3,0)*0.475*44/12</f>
        <v>#N/A</v>
      </c>
      <c r="EW103" s="23" t="e">
        <f>EXP(-LN(2)/25)*EW102+(1-EXP(-LN(2)/25))/(LN(2)/25)*Calculateur!ER103*Calculateur!ET103*VLOOKUP('Données projet'!$B$15,Paramètres!$A$1:$I$88,3,0)*0.475*44/12</f>
        <v>#N/A</v>
      </c>
      <c r="EX103" s="23" t="e">
        <f>EXP(-LN(2)/2)*EX102+(1-EXP(-LN(2)/2))/(LN(2)/2)*ER103*EU103*VLOOKUP('Données projet'!$B$15,Paramètres!$A$1:$I$88,3,0)*0.475*44/12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68.479477994808605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projet'!$B$16,Paramètres!$A$1:$I$88,3,0)*VLOOKUP('Données projet'!$B$16,Paramètres!$A$1:$I$88,5,0)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projet'!$B$16,Paramètres!$A$1:$I$88,7,0))</f>
        <v>0</v>
      </c>
      <c r="FO103" s="17">
        <f>IF(ISNA(VLOOKUP(A103,'Données projet'!$A$217:$I$237,6,0)),0%,VLOOKUP(A103,'Données projet'!$A$217:$I$237,6,0)*VLOOKUP('Données projet'!$B$16,Paramètres!$A$1:$I$88,7,0))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projet'!$B$16,Paramètres!$A$1:$I$88,3,0)*0.475*44/12</f>
        <v>#N/A</v>
      </c>
      <c r="FR103" s="23" t="e">
        <f>EXP(-LN(2)/25)*FR102+(1-EXP(-LN(2)/25))/(LN(2)/25)*Calculateur!FM103*Calculateur!FO103*VLOOKUP('Données projet'!$B$16,Paramètres!$A$1:$I$88,3,0)*0.475*44/12</f>
        <v>#N/A</v>
      </c>
      <c r="FS103" s="23" t="e">
        <f>EXP(-LN(2)/2)*FS102+(1-EXP(-LN(2)/2))/(LN(2)/2)*FM103*FP103*VLOOKUP('Données projet'!$B$16,Paramètres!$A$1:$I$88,3,0)*0.475*44/12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68.479477994808605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projet'!$B$17,Paramètres!$A$1:$I$88,3,0)*VLOOKUP('Données projet'!$B$17,Paramètres!$A$1:$I$88,5,0)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projet'!$B$17,Paramètres!$A$1:$I$88,7,0))</f>
        <v>0</v>
      </c>
      <c r="GJ103" s="17">
        <f>IF(ISNA(VLOOKUP(A103,'Données projet'!$A$243:$I$263,6,0)),0%,VLOOKUP(A103,'Données projet'!$A$243:$I$263,6,0)*VLOOKUP('Données projet'!$B$17,Paramètres!$A$1:$I$88,7,0))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projet'!$B$17,Paramètres!$A$1:$I$88,3,0)*0.475*44/12</f>
        <v>#N/A</v>
      </c>
      <c r="GM103" s="23" t="e">
        <f>EXP(-LN(2)/25)*GM102+(1-EXP(-LN(2)/25))/(LN(2)/25)*Calculateur!GH103*Calculateur!GJ103*VLOOKUP('Données projet'!$B$17,Paramètres!$A$1:$I$88,3,0)*0.475*44/12</f>
        <v>#N/A</v>
      </c>
      <c r="GN103" s="23" t="e">
        <f>EXP(-LN(2)/2)*GN102+(1-EXP(-LN(2)/2))/(LN(2)/2)*GH103*GK103*VLOOKUP('Données projet'!$B$17,Paramètres!$A$1:$I$88,3,0)*0.475*44/12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68.479477994808605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projet'!$B$18,Paramètres!$A$1:$I$88,3,0)*VLOOKUP('Données projet'!$B$18,Paramètres!$A$1:$I$88,5,0)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projet'!$B$18,Paramètres!$A$1:$I$88,7,0))</f>
        <v>0</v>
      </c>
      <c r="HE103" s="17">
        <f>IF(ISNA(VLOOKUP(A103,'Données projet'!$A$269:$I$289,6,0)),0%,VLOOKUP(A103,'Données projet'!$A$269:$I$289,6,0)*VLOOKUP('Données projet'!$B$18,Paramètres!$A$1:$I$88,7,0))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projet'!$B$18,Paramètres!$A$1:$I$88,3,0)*0.475*44/12</f>
        <v>#N/A</v>
      </c>
      <c r="HH103" s="23" t="e">
        <f>EXP(-LN(2)/25)*HH102+(1-EXP(-LN(2)/25))/(LN(2)/25)*Calculateur!HC103*Calculateur!HE103*VLOOKUP('Données projet'!$B$18,Paramètres!$A$1:$I$88,3,0)*0.475*44/12</f>
        <v>#N/A</v>
      </c>
      <c r="HI103" s="23" t="e">
        <f>EXP(-LN(2)/2)*HI102+(1-EXP(-LN(2)/2))/(LN(2)/2)*HC103*HF103*VLOOKUP('Données projet'!$B$18,Paramètres!$A$1:$I$88,3,0)*0.475*44/12</f>
        <v>#N/A</v>
      </c>
      <c r="HJ103" s="24" t="e">
        <f t="shared" si="84"/>
        <v>#N/A</v>
      </c>
    </row>
    <row r="104" spans="1:218" s="5" customFormat="1" x14ac:dyDescent="0.35">
      <c r="A104" s="11">
        <f t="shared" si="85"/>
        <v>101</v>
      </c>
      <c r="B104" s="77">
        <f>'Scénario référence'!$B$16*5+'Scénario référence'!$B$17*0+'Scénario référence'!$B$18*5</f>
        <v>1.75</v>
      </c>
      <c r="C104" s="20">
        <f>Calculateur!C103+'Scénario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04" s="12">
        <f t="shared" si="86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6.416666666666667</v>
      </c>
      <c r="H104" s="70">
        <f t="shared" si="56"/>
        <v>231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68.505855652220731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3.4106051316484809E-13</v>
      </c>
      <c r="O104" s="14">
        <f>N104*VLOOKUP('Données projet'!$B$9,Paramètres!$A$1:$I$88,3,0)*VLOOKUP('Données projet'!$B$9,Paramètres!$A$1:$I$88,5,0)</f>
        <v>1.9065282685915009E-13</v>
      </c>
      <c r="P104" s="14">
        <f t="shared" si="87"/>
        <v>2.6568987209435707E-12</v>
      </c>
      <c r="Q104" s="22">
        <f t="shared" si="107"/>
        <v>4.959485612423072E-12</v>
      </c>
      <c r="R104" s="62">
        <f t="shared" si="55"/>
        <v>287.85480405814764</v>
      </c>
      <c r="S104" s="62">
        <f ca="1">AVERAGE(OFFSET($R$3,0,0,'Données projet'!$E$9+1,1))-AVERAGE(OFFSET($H$3,0,0,'Données projet'!$E$9+1,1))</f>
        <v>341.05096821796769</v>
      </c>
      <c r="T104" s="62">
        <f t="shared" si="88"/>
        <v>400.72519822215168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projet'!$B$9,Paramètres!$A$1:$I$88,7,0))</f>
        <v>0</v>
      </c>
      <c r="X104" s="17">
        <f>IF(ISNA(VLOOKUP(A104,'Données projet'!$A$35:$I$55,6,0)),0%,VLOOKUP(A104,'Données projet'!$A$35:$I$55,6,0)*VLOOKUP('Données projet'!$B$9,Paramètres!$A$1:$I$88,7,0))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projet'!$B$9,Paramètres!$A$1:$I$88,3,0)*0.475*44/12</f>
        <v>106.38926035803289</v>
      </c>
      <c r="AA104" s="23">
        <f>EXP(-LN(2)/25)*AA103+(1-EXP(-LN(2)/25))/(LN(2)/25)*Calculateur!V104*Calculateur!X104*VLOOKUP('Données projet'!$B$9,Paramètres!$A$1:$I$88,3,0)*0.475*44/12</f>
        <v>42.521301508043109</v>
      </c>
      <c r="AB104" s="23">
        <f>EXP(-LN(2)/2)*AB103+(1-EXP(-LN(2)/2))/(LN(2)/2)*V104*Y104*VLOOKUP('Données projet'!$B$9,Paramètres!$A$1:$I$88,3,0)*0.475*44/12</f>
        <v>0</v>
      </c>
      <c r="AC104" s="24">
        <f t="shared" si="57"/>
        <v>148.91056186607599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68.505855652220731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5.6843418860808015E-14</v>
      </c>
      <c r="AJ104" s="14">
        <f>AI104*VLOOKUP('Données projet'!$B$10,Paramètres!$A$1:$I$88,3,0)*VLOOKUP('Données projet'!$B$10,Paramètres!$A$1:$I$88,5,0)</f>
        <v>3.3992364478763198E-14</v>
      </c>
      <c r="AK104" s="14">
        <f t="shared" si="89"/>
        <v>5.790027782444094E-13</v>
      </c>
      <c r="AL104" s="22">
        <f t="shared" si="58"/>
        <v>1.0676332069095257E-12</v>
      </c>
      <c r="AM104" s="62">
        <f t="shared" si="59"/>
        <v>287.85480405814377</v>
      </c>
      <c r="AN104" s="62">
        <f ca="1">AVERAGE(OFFSET($AM$3,0,0,'Données projet'!$E$10+1,1))-AVERAGE(OFFSET($H$3,0,0,'Données projet'!$E$10+1,1))</f>
        <v>231.96474801342879</v>
      </c>
      <c r="AO104" s="62">
        <f t="shared" si="90"/>
        <v>237.75726086383668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projet'!$B$10,Paramètres!$A$1:$I$88,7,0))</f>
        <v>0</v>
      </c>
      <c r="AS104" s="17">
        <f>IF(ISNA(VLOOKUP(A104,'Données projet'!$A$61:$I$81,6,0)),0%,VLOOKUP(A104,'Données projet'!$A$61:$I$81,6,0)*VLOOKUP('Données projet'!$B$10,Paramètres!$A$1:$I$88,7,0))</f>
        <v>0</v>
      </c>
      <c r="AT104" s="17">
        <f>IF(ISNA(VLOOKUP(A104,'Données projet'!$A$61:$I$81,7,0)),0%,VLOOKUP(A104,'Données projet'!$A$61:$I$81,7,0))</f>
        <v>0</v>
      </c>
      <c r="AU104" s="23">
        <f>EXP(-LN(2)/35)*AU103+(1-EXP(-LN(2)/35))/(LN(2)/35)*AQ104*AR104*VLOOKUP('Données projet'!$B$10,Paramètres!$A$1:$I$88,3,0)*0.475*44/12</f>
        <v>41.954554948988566</v>
      </c>
      <c r="AV104" s="23">
        <f>EXP(-LN(2)/25)*AV103+(1-EXP(-LN(2)/25))/(LN(2)/25)*Calculateur!AQ104*Calculateur!AS104*VLOOKUP('Données projet'!$B$10,Paramètres!$A$1:$I$88,3,0)*0.475*44/12</f>
        <v>17.955670537130523</v>
      </c>
      <c r="AW104" s="23">
        <f>EXP(-LN(2)/2)*AW103+(1-EXP(-LN(2)/2))/(LN(2)/2)*AQ104*AT104*VLOOKUP('Données projet'!$B$10,Paramètres!$A$1:$I$88,3,0)*0.475*44/12</f>
        <v>0</v>
      </c>
      <c r="AX104" s="23">
        <f t="shared" si="60"/>
        <v>59.910225486119089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68.505855652220731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10.7</v>
      </c>
      <c r="BD104" s="13">
        <f>IF('Données projet'!$A$88&gt;35,BD103+BC104-BL103,IF(A104&lt;'Données projet'!$A$88,$BA$205^A104,IF(A104='Données projet'!$A$88,'Données projet'!$B$88,BD103+BC104-BL103)))</f>
        <v>537.2000000000005</v>
      </c>
      <c r="BE104" s="14">
        <f>BD104*VLOOKUP('Données projet'!$B$11,Paramètres!$A$1:$I$88,3,0)*VLOOKUP('Données projet'!$B$11,Paramètres!$A$1:$I$88,5,0)</f>
        <v>251.40960000000024</v>
      </c>
      <c r="BF104" s="14">
        <f t="shared" si="91"/>
        <v>60.887686632376123</v>
      </c>
      <c r="BG104" s="22">
        <f t="shared" si="61"/>
        <v>543.91777421805546</v>
      </c>
      <c r="BH104" s="62">
        <f t="shared" si="62"/>
        <v>831.77257827619815</v>
      </c>
      <c r="BI104" s="62">
        <f ca="1">AVERAGE(OFFSET($BH$3,0,0,'Données projet'!$E$11+1,1))-AVERAGE(OFFSET($H$3,0,0,'Données projet'!$E$11+1,1))</f>
        <v>364.96458059055169</v>
      </c>
      <c r="BJ104" s="62">
        <f t="shared" si="92"/>
        <v>246.27159120786257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projet'!$B$11,Paramètres!$A$1:$I$88,7,0))</f>
        <v>0</v>
      </c>
      <c r="BN104" s="17">
        <f>IF(ISNA(VLOOKUP(A104,'Données projet'!$A$87:$I$107,6,0)),0%,VLOOKUP(A104,'Données projet'!$A$87:$I$107,6,0)*VLOOKUP('Données projet'!$B$11,Paramètres!$A$1:$I$88,7,0))</f>
        <v>0</v>
      </c>
      <c r="BO104" s="17">
        <f>IF(ISNA(VLOOKUP(A104,'Données projet'!$A$87:$I$107,7,0)),0%,VLOOKUP(A104,'Données projet'!$A$87:$I$107,7,0))</f>
        <v>0</v>
      </c>
      <c r="BP104" s="23">
        <f>EXP(-LN(2)/35)*BP103+(1-EXP(-LN(2)/35))/(LN(2)/35)*BL104*BM104*VLOOKUP('Données projet'!$B$11,Paramètres!$A$1:$I$88,3,0)*0.475*44/12</f>
        <v>83.334808365005955</v>
      </c>
      <c r="BQ104" s="23">
        <f>EXP(-LN(2)/25)*BQ103+(1-EXP(-LN(2)/25))/(LN(2)/25)*Calculateur!BL104*Calculateur!BN104*VLOOKUP('Données projet'!$B$11,Paramètres!$A$1:$I$88,3,0)*0.475*44/12</f>
        <v>31.923504099102029</v>
      </c>
      <c r="BR104" s="23">
        <f>EXP(-LN(2)/2)*BR103+(1-EXP(-LN(2)/2))/(LN(2)/2)*BL104*BO104*VLOOKUP('Données projet'!$B$11,Paramètres!$A$1:$I$88,3,0)*0.475*44/12</f>
        <v>0</v>
      </c>
      <c r="BS104" s="24">
        <f t="shared" si="63"/>
        <v>115.25831246410799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68.505855652220731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-1.1368683772161603E-13</v>
      </c>
      <c r="BZ104" s="14">
        <f>BY104*VLOOKUP('Données projet'!$B$12,Paramètres!$A$1:$I$88,3,0)*VLOOKUP('Données projet'!$B$12,Paramètres!$A$1:$I$88,5,0)</f>
        <v>-1.1527845344971866E-13</v>
      </c>
      <c r="CA104" s="14" t="e">
        <f t="shared" si="93"/>
        <v>#NUM!</v>
      </c>
      <c r="CB104" s="22" t="e">
        <f t="shared" si="64"/>
        <v>#NUM!</v>
      </c>
      <c r="CC104" s="62" t="e">
        <f t="shared" si="65"/>
        <v>#NUM!</v>
      </c>
      <c r="CD104" s="62">
        <f ca="1">AVERAGE(OFFSET($CC$3,0,0,'Données projet'!$E$12+1,1))-AVERAGE(OFFSET($H$3,0,0,'Données projet'!$E$12+1,1))</f>
        <v>310.53598044763282</v>
      </c>
      <c r="CE104" s="62">
        <f t="shared" si="94"/>
        <v>322.01096634040596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projet'!$B$12,Paramètres!$A$1:$I$88,7,0))</f>
        <v>0</v>
      </c>
      <c r="CI104" s="17">
        <f>IF(ISNA(VLOOKUP(A104,'Données projet'!$A$113:$I$133,6,0)),0%,VLOOKUP(A104,'Données projet'!$A$113:$I$133,6,0)*VLOOKUP('Données projet'!$B$12,Paramètres!$A$1:$I$88,7,0))</f>
        <v>0</v>
      </c>
      <c r="CJ104" s="17">
        <f>IF(ISNA(VLOOKUP(A104,'Données projet'!$A$113:$I$133,7,0)),0%,VLOOKUP(A104,'Données projet'!$A$113:$I$133,7,0))</f>
        <v>0</v>
      </c>
      <c r="CK104" s="23">
        <f>EXP(-LN(2)/35)*CK103+(1-EXP(-LN(2)/35))/(LN(2)/35)*CG104*CH104*VLOOKUP('Données projet'!$B$12,Paramètres!$A$1:$I$88,3,0)*0.475*44/12</f>
        <v>32.10034099171277</v>
      </c>
      <c r="CL104" s="23">
        <f>EXP(-LN(2)/25)*CL103+(1-EXP(-LN(2)/25))/(LN(2)/25)*Calculateur!CG104*Calculateur!CI104*VLOOKUP('Données projet'!$B$12,Paramètres!$A$1:$I$88,3,0)*0.475*44/12</f>
        <v>0</v>
      </c>
      <c r="CM104" s="23">
        <f>EXP(-LN(2)/2)*CM103+(1-EXP(-LN(2)/2))/(LN(2)/2)*CG104*CJ104*VLOOKUP('Données projet'!$B$12,Paramètres!$A$1:$I$88,3,0)*0.475*44/12</f>
        <v>0</v>
      </c>
      <c r="CN104" s="24">
        <f t="shared" si="66"/>
        <v>32.10034099171277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68.505855652220731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projet'!$B$13,Paramètres!$A$1:$I$88,3,0)*VLOOKUP('Données projet'!$B$13,Paramètres!$A$1:$I$88,5,0)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projet'!$B$13,Paramètres!$A$1:$I$88,7,0))</f>
        <v>0</v>
      </c>
      <c r="DD104" s="17">
        <f>IF(ISNA(VLOOKUP(A104,'Données projet'!$A$139:$I$159,6,0)),0%,VLOOKUP(A104,'Données projet'!$A$139:$I$159,6,0)*VLOOKUP('Données projet'!$B$13,Paramètres!$A$1:$I$88,7,0))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projet'!$B$13,Paramètres!$A$1:$I$88,3,0)*0.475*44/12</f>
        <v>#N/A</v>
      </c>
      <c r="DG104" s="23" t="e">
        <f>EXP(-LN(2)/25)*DG103+(1-EXP(-LN(2)/25))/(LN(2)/25)*Calculateur!DB104*Calculateur!DD104*VLOOKUP('Données projet'!$B$13,Paramètres!$A$1:$I$88,3,0)*0.475*44/12</f>
        <v>#N/A</v>
      </c>
      <c r="DH104" s="23" t="e">
        <f>EXP(-LN(2)/2)*DH103+(1-EXP(-LN(2)/2))/(LN(2)/2)*DB104*DE104*VLOOKUP('Données projet'!$B$13,Paramètres!$A$1:$I$88,3,0)*0.475*44/12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68.505855652220731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projet'!$B$14,Paramètres!$A$1:$I$88,3,0)*VLOOKUP('Données projet'!$B$14,Paramètres!$A$1:$I$88,5,0)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projet'!$B$14,Paramètres!$A$1:$I$88,7,0))</f>
        <v>0</v>
      </c>
      <c r="DY104" s="17">
        <f>IF(ISNA(VLOOKUP(A104,'Données projet'!$A$165:$I$185,6,0)),0%,VLOOKUP(A104,'Données projet'!$A$165:$I$185,6,0)*VLOOKUP('Données projet'!$B$14,Paramètres!$A$1:$I$88,7,0))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projet'!$B$14,Paramètres!$A$1:$I$88,3,0)*0.475*44/12</f>
        <v>#N/A</v>
      </c>
      <c r="EB104" s="23" t="e">
        <f>EXP(-LN(2)/25)*EB103+(1-EXP(-LN(2)/25))/(LN(2)/25)*Calculateur!DW104*Calculateur!DY104*VLOOKUP('Données projet'!$B$14,Paramètres!$A$1:$I$88,3,0)*0.475*44/12</f>
        <v>#N/A</v>
      </c>
      <c r="EC104" s="23" t="e">
        <f>EXP(-LN(2)/2)*EC103+(1-EXP(-LN(2)/2))/(LN(2)/2)*DW104*DZ104*VLOOKUP('Données projet'!$B$14,Paramètres!$A$1:$I$88,3,0)*0.475*44/12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68.505855652220731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projet'!$B$15,Paramètres!$A$1:$I$88,3,0)*VLOOKUP('Données projet'!$B$15,Paramètres!$A$1:$I$88,5,0)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projet'!$B$15,Paramètres!$A$1:$I$88,7,0))</f>
        <v>0</v>
      </c>
      <c r="ET104" s="17">
        <f>IF(ISNA(VLOOKUP(A104,'Données projet'!$A$191:$I$211,6,0)),0%,VLOOKUP(A104,'Données projet'!$A$191:$I$211,6,0)*VLOOKUP('Données projet'!$B$15,Paramètres!$A$1:$I$88,7,0))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projet'!$B$15,Paramètres!$A$1:$I$88,3,0)*0.475*44/12</f>
        <v>#N/A</v>
      </c>
      <c r="EW104" s="23" t="e">
        <f>EXP(-LN(2)/25)*EW103+(1-EXP(-LN(2)/25))/(LN(2)/25)*Calculateur!ER104*Calculateur!ET104*VLOOKUP('Données projet'!$B$15,Paramètres!$A$1:$I$88,3,0)*0.475*44/12</f>
        <v>#N/A</v>
      </c>
      <c r="EX104" s="23" t="e">
        <f>EXP(-LN(2)/2)*EX103+(1-EXP(-LN(2)/2))/(LN(2)/2)*ER104*EU104*VLOOKUP('Données projet'!$B$15,Paramètres!$A$1:$I$88,3,0)*0.475*44/12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68.505855652220731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projet'!$B$16,Paramètres!$A$1:$I$88,3,0)*VLOOKUP('Données projet'!$B$16,Paramètres!$A$1:$I$88,5,0)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projet'!$B$16,Paramètres!$A$1:$I$88,7,0))</f>
        <v>0</v>
      </c>
      <c r="FO104" s="17">
        <f>IF(ISNA(VLOOKUP(A104,'Données projet'!$A$217:$I$237,6,0)),0%,VLOOKUP(A104,'Données projet'!$A$217:$I$237,6,0)*VLOOKUP('Données projet'!$B$16,Paramètres!$A$1:$I$88,7,0))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projet'!$B$16,Paramètres!$A$1:$I$88,3,0)*0.475*44/12</f>
        <v>#N/A</v>
      </c>
      <c r="FR104" s="23" t="e">
        <f>EXP(-LN(2)/25)*FR103+(1-EXP(-LN(2)/25))/(LN(2)/25)*Calculateur!FM104*Calculateur!FO104*VLOOKUP('Données projet'!$B$16,Paramètres!$A$1:$I$88,3,0)*0.475*44/12</f>
        <v>#N/A</v>
      </c>
      <c r="FS104" s="23" t="e">
        <f>EXP(-LN(2)/2)*FS103+(1-EXP(-LN(2)/2))/(LN(2)/2)*FM104*FP104*VLOOKUP('Données projet'!$B$16,Paramètres!$A$1:$I$88,3,0)*0.475*44/12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68.505855652220731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projet'!$B$17,Paramètres!$A$1:$I$88,3,0)*VLOOKUP('Données projet'!$B$17,Paramètres!$A$1:$I$88,5,0)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projet'!$B$17,Paramètres!$A$1:$I$88,7,0))</f>
        <v>0</v>
      </c>
      <c r="GJ104" s="17">
        <f>IF(ISNA(VLOOKUP(A104,'Données projet'!$A$243:$I$263,6,0)),0%,VLOOKUP(A104,'Données projet'!$A$243:$I$263,6,0)*VLOOKUP('Données projet'!$B$17,Paramètres!$A$1:$I$88,7,0))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projet'!$B$17,Paramètres!$A$1:$I$88,3,0)*0.475*44/12</f>
        <v>#N/A</v>
      </c>
      <c r="GM104" s="23" t="e">
        <f>EXP(-LN(2)/25)*GM103+(1-EXP(-LN(2)/25))/(LN(2)/25)*Calculateur!GH104*Calculateur!GJ104*VLOOKUP('Données projet'!$B$17,Paramètres!$A$1:$I$88,3,0)*0.475*44/12</f>
        <v>#N/A</v>
      </c>
      <c r="GN104" s="23" t="e">
        <f>EXP(-LN(2)/2)*GN103+(1-EXP(-LN(2)/2))/(LN(2)/2)*GH104*GK104*VLOOKUP('Données projet'!$B$17,Paramètres!$A$1:$I$88,3,0)*0.475*44/12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68.505855652220731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projet'!$B$18,Paramètres!$A$1:$I$88,3,0)*VLOOKUP('Données projet'!$B$18,Paramètres!$A$1:$I$88,5,0)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projet'!$B$18,Paramètres!$A$1:$I$88,7,0))</f>
        <v>0</v>
      </c>
      <c r="HE104" s="17">
        <f>IF(ISNA(VLOOKUP(A104,'Données projet'!$A$269:$I$289,6,0)),0%,VLOOKUP(A104,'Données projet'!$A$269:$I$289,6,0)*VLOOKUP('Données projet'!$B$18,Paramètres!$A$1:$I$88,7,0))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projet'!$B$18,Paramètres!$A$1:$I$88,3,0)*0.475*44/12</f>
        <v>#N/A</v>
      </c>
      <c r="HH104" s="23" t="e">
        <f>EXP(-LN(2)/25)*HH103+(1-EXP(-LN(2)/25))/(LN(2)/25)*Calculateur!HC104*Calculateur!HE104*VLOOKUP('Données projet'!$B$18,Paramètres!$A$1:$I$88,3,0)*0.475*44/12</f>
        <v>#N/A</v>
      </c>
      <c r="HI104" s="23" t="e">
        <f>EXP(-LN(2)/2)*HI103+(1-EXP(-LN(2)/2))/(LN(2)/2)*HC104*HF104*VLOOKUP('Données projet'!$B$18,Paramètres!$A$1:$I$88,3,0)*0.475*44/12</f>
        <v>#N/A</v>
      </c>
      <c r="HJ104" s="24" t="e">
        <f t="shared" si="84"/>
        <v>#N/A</v>
      </c>
    </row>
    <row r="105" spans="1:218" s="5" customFormat="1" x14ac:dyDescent="0.35">
      <c r="A105" s="11">
        <f t="shared" si="85"/>
        <v>102</v>
      </c>
      <c r="B105" s="77">
        <f>'Scénario référence'!$B$16*5+'Scénario référence'!$B$17*0+'Scénario référence'!$B$18*5</f>
        <v>1.75</v>
      </c>
      <c r="C105" s="20">
        <f>Calculateur!C104+'Scénario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05" s="12">
        <f t="shared" si="86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6.416666666666667</v>
      </c>
      <c r="H105" s="70">
        <f t="shared" si="56"/>
        <v>231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68.531775716248376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3.4106051316484809E-13</v>
      </c>
      <c r="O105" s="14">
        <f>N105*VLOOKUP('Données projet'!$B$9,Paramètres!$A$1:$I$88,3,0)*VLOOKUP('Données projet'!$B$9,Paramètres!$A$1:$I$88,5,0)</f>
        <v>1.9065282685915009E-13</v>
      </c>
      <c r="P105" s="14">
        <f t="shared" si="87"/>
        <v>2.6568987209435707E-12</v>
      </c>
      <c r="Q105" s="22">
        <f t="shared" si="107"/>
        <v>4.959485612423072E-12</v>
      </c>
      <c r="R105" s="62">
        <f t="shared" si="55"/>
        <v>287.94984429291566</v>
      </c>
      <c r="S105" s="62">
        <f ca="1">AVERAGE(OFFSET($R$3,0,0,'Données projet'!$E$9+1,1))-AVERAGE(OFFSET($H$3,0,0,'Données projet'!$E$9+1,1))</f>
        <v>341.05096821796769</v>
      </c>
      <c r="T105" s="62">
        <f t="shared" si="88"/>
        <v>400.72519822215168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projet'!$B$9,Paramètres!$A$1:$I$88,7,0))</f>
        <v>0</v>
      </c>
      <c r="X105" s="17">
        <f>IF(ISNA(VLOOKUP(A105,'Données projet'!$A$35:$I$55,6,0)),0%,VLOOKUP(A105,'Données projet'!$A$35:$I$55,6,0)*VLOOKUP('Données projet'!$B$9,Paramètres!$A$1:$I$88,7,0))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projet'!$B$9,Paramètres!$A$1:$I$88,3,0)*0.475*44/12</f>
        <v>104.30303185345322</v>
      </c>
      <c r="AA105" s="23">
        <f>EXP(-LN(2)/25)*AA104+(1-EXP(-LN(2)/25))/(LN(2)/25)*Calculateur!V105*Calculateur!X105*VLOOKUP('Données projet'!$B$9,Paramètres!$A$1:$I$88,3,0)*0.475*44/12</f>
        <v>41.358554282207606</v>
      </c>
      <c r="AB105" s="23">
        <f>EXP(-LN(2)/2)*AB104+(1-EXP(-LN(2)/2))/(LN(2)/2)*V105*Y105*VLOOKUP('Données projet'!$B$9,Paramètres!$A$1:$I$88,3,0)*0.475*44/12</f>
        <v>0</v>
      </c>
      <c r="AC105" s="24">
        <f t="shared" si="57"/>
        <v>145.66158613566083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68.531775716248376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5.6843418860808015E-14</v>
      </c>
      <c r="AJ105" s="14">
        <f>AI105*VLOOKUP('Données projet'!$B$10,Paramètres!$A$1:$I$88,3,0)*VLOOKUP('Données projet'!$B$10,Paramètres!$A$1:$I$88,5,0)</f>
        <v>3.3992364478763198E-14</v>
      </c>
      <c r="AK105" s="14">
        <f t="shared" si="89"/>
        <v>5.790027782444094E-13</v>
      </c>
      <c r="AL105" s="22">
        <f t="shared" si="58"/>
        <v>1.0676332069095257E-12</v>
      </c>
      <c r="AM105" s="62">
        <f t="shared" si="59"/>
        <v>287.94984429291179</v>
      </c>
      <c r="AN105" s="62">
        <f ca="1">AVERAGE(OFFSET($AM$3,0,0,'Données projet'!$E$10+1,1))-AVERAGE(OFFSET($H$3,0,0,'Données projet'!$E$10+1,1))</f>
        <v>231.96474801342879</v>
      </c>
      <c r="AO105" s="62">
        <f t="shared" si="90"/>
        <v>237.75726086383668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projet'!$B$10,Paramètres!$A$1:$I$88,7,0))</f>
        <v>0</v>
      </c>
      <c r="AS105" s="17">
        <f>IF(ISNA(VLOOKUP(A105,'Données projet'!$A$61:$I$81,6,0)),0%,VLOOKUP(A105,'Données projet'!$A$61:$I$81,6,0)*VLOOKUP('Données projet'!$B$10,Paramètres!$A$1:$I$88,7,0))</f>
        <v>0</v>
      </c>
      <c r="AT105" s="17">
        <f>IF(ISNA(VLOOKUP(A105,'Données projet'!$A$61:$I$81,7,0)),0%,VLOOKUP(A105,'Données projet'!$A$61:$I$81,7,0))</f>
        <v>0</v>
      </c>
      <c r="AU105" s="23">
        <f>EXP(-LN(2)/35)*AU104+(1-EXP(-LN(2)/35))/(LN(2)/35)*AQ105*AR105*VLOOKUP('Données projet'!$B$10,Paramètres!$A$1:$I$88,3,0)*0.475*44/12</f>
        <v>41.131851716190639</v>
      </c>
      <c r="AV105" s="23">
        <f>EXP(-LN(2)/25)*AV104+(1-EXP(-LN(2)/25))/(LN(2)/25)*Calculateur!AQ105*Calculateur!AS105*VLOOKUP('Données projet'!$B$10,Paramètres!$A$1:$I$88,3,0)*0.475*44/12</f>
        <v>17.464671782045013</v>
      </c>
      <c r="AW105" s="23">
        <f>EXP(-LN(2)/2)*AW104+(1-EXP(-LN(2)/2))/(LN(2)/2)*AQ105*AT105*VLOOKUP('Données projet'!$B$10,Paramètres!$A$1:$I$88,3,0)*0.475*44/12</f>
        <v>0</v>
      </c>
      <c r="AX105" s="23">
        <f t="shared" si="60"/>
        <v>58.596523498235655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68.531775716248376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10.7</v>
      </c>
      <c r="BD105" s="13">
        <f>IF('Données projet'!$A$88&gt;35,BD104+BC105-BL104,IF(A105&lt;'Données projet'!$A$88,$BA$205^A105,IF(A105='Données projet'!$A$88,'Données projet'!$B$88,BD104+BC105-BL104)))</f>
        <v>547.90000000000055</v>
      </c>
      <c r="BE105" s="14">
        <f>BD105*VLOOKUP('Données projet'!$B$11,Paramètres!$A$1:$I$88,3,0)*VLOOKUP('Données projet'!$B$11,Paramètres!$A$1:$I$88,5,0)</f>
        <v>256.41720000000026</v>
      </c>
      <c r="BF105" s="14">
        <f t="shared" si="91"/>
        <v>61.95805412553716</v>
      </c>
      <c r="BG105" s="22">
        <f t="shared" si="61"/>
        <v>554.50356760197769</v>
      </c>
      <c r="BH105" s="62">
        <f t="shared" si="62"/>
        <v>842.4534118948884</v>
      </c>
      <c r="BI105" s="62">
        <f ca="1">AVERAGE(OFFSET($BH$3,0,0,'Données projet'!$E$11+1,1))-AVERAGE(OFFSET($H$3,0,0,'Données projet'!$E$11+1,1))</f>
        <v>364.96458059055169</v>
      </c>
      <c r="BJ105" s="62">
        <f t="shared" si="92"/>
        <v>246.27159120786257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projet'!$B$11,Paramètres!$A$1:$I$88,7,0))</f>
        <v>0</v>
      </c>
      <c r="BN105" s="17">
        <f>IF(ISNA(VLOOKUP(A105,'Données projet'!$A$87:$I$107,6,0)),0%,VLOOKUP(A105,'Données projet'!$A$87:$I$107,6,0)*VLOOKUP('Données projet'!$B$11,Paramètres!$A$1:$I$88,7,0))</f>
        <v>0</v>
      </c>
      <c r="BO105" s="17">
        <f>IF(ISNA(VLOOKUP(A105,'Données projet'!$A$87:$I$107,7,0)),0%,VLOOKUP(A105,'Données projet'!$A$87:$I$107,7,0))</f>
        <v>0</v>
      </c>
      <c r="BP105" s="23">
        <f>EXP(-LN(2)/35)*BP104+(1-EXP(-LN(2)/35))/(LN(2)/35)*BL105*BM105*VLOOKUP('Données projet'!$B$11,Paramètres!$A$1:$I$88,3,0)*0.475*44/12</f>
        <v>81.700663602182317</v>
      </c>
      <c r="BQ105" s="23">
        <f>EXP(-LN(2)/25)*BQ104+(1-EXP(-LN(2)/25))/(LN(2)/25)*Calculateur!BL105*Calculateur!BN105*VLOOKUP('Données projet'!$B$11,Paramètres!$A$1:$I$88,3,0)*0.475*44/12</f>
        <v>31.050554200727966</v>
      </c>
      <c r="BR105" s="23">
        <f>EXP(-LN(2)/2)*BR104+(1-EXP(-LN(2)/2))/(LN(2)/2)*BL105*BO105*VLOOKUP('Données projet'!$B$11,Paramètres!$A$1:$I$88,3,0)*0.475*44/12</f>
        <v>0</v>
      </c>
      <c r="BS105" s="24">
        <f t="shared" si="63"/>
        <v>112.75121780291028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68.531775716248376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-1.1368683772161603E-13</v>
      </c>
      <c r="BZ105" s="14">
        <f>BY105*VLOOKUP('Données projet'!$B$12,Paramètres!$A$1:$I$88,3,0)*VLOOKUP('Données projet'!$B$12,Paramètres!$A$1:$I$88,5,0)</f>
        <v>-1.1527845344971866E-13</v>
      </c>
      <c r="CA105" s="14" t="e">
        <f t="shared" si="93"/>
        <v>#NUM!</v>
      </c>
      <c r="CB105" s="22" t="e">
        <f t="shared" si="64"/>
        <v>#NUM!</v>
      </c>
      <c r="CC105" s="62" t="e">
        <f t="shared" si="65"/>
        <v>#NUM!</v>
      </c>
      <c r="CD105" s="62">
        <f ca="1">AVERAGE(OFFSET($CC$3,0,0,'Données projet'!$E$12+1,1))-AVERAGE(OFFSET($H$3,0,0,'Données projet'!$E$12+1,1))</f>
        <v>310.53598044763282</v>
      </c>
      <c r="CE105" s="62">
        <f t="shared" si="94"/>
        <v>322.01096634040596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projet'!$B$12,Paramètres!$A$1:$I$88,7,0))</f>
        <v>0</v>
      </c>
      <c r="CI105" s="17">
        <f>IF(ISNA(VLOOKUP(A105,'Données projet'!$A$113:$I$133,6,0)),0%,VLOOKUP(A105,'Données projet'!$A$113:$I$133,6,0)*VLOOKUP('Données projet'!$B$12,Paramètres!$A$1:$I$88,7,0))</f>
        <v>0</v>
      </c>
      <c r="CJ105" s="17">
        <f>IF(ISNA(VLOOKUP(A105,'Données projet'!$A$113:$I$133,7,0)),0%,VLOOKUP(A105,'Données projet'!$A$113:$I$133,7,0))</f>
        <v>0</v>
      </c>
      <c r="CK105" s="23">
        <f>EXP(-LN(2)/35)*CK104+(1-EXP(-LN(2)/35))/(LN(2)/35)*CG105*CH105*VLOOKUP('Données projet'!$B$12,Paramètres!$A$1:$I$88,3,0)*0.475*44/12</f>
        <v>31.470872884139993</v>
      </c>
      <c r="CL105" s="23">
        <f>EXP(-LN(2)/25)*CL104+(1-EXP(-LN(2)/25))/(LN(2)/25)*Calculateur!CG105*Calculateur!CI105*VLOOKUP('Données projet'!$B$12,Paramètres!$A$1:$I$88,3,0)*0.475*44/12</f>
        <v>0</v>
      </c>
      <c r="CM105" s="23">
        <f>EXP(-LN(2)/2)*CM104+(1-EXP(-LN(2)/2))/(LN(2)/2)*CG105*CJ105*VLOOKUP('Données projet'!$B$12,Paramètres!$A$1:$I$88,3,0)*0.475*44/12</f>
        <v>0</v>
      </c>
      <c r="CN105" s="24">
        <f t="shared" si="66"/>
        <v>31.470872884139993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68.531775716248376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projet'!$B$13,Paramètres!$A$1:$I$88,3,0)*VLOOKUP('Données projet'!$B$13,Paramètres!$A$1:$I$88,5,0)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projet'!$B$13,Paramètres!$A$1:$I$88,7,0))</f>
        <v>0</v>
      </c>
      <c r="DD105" s="17">
        <f>IF(ISNA(VLOOKUP(A105,'Données projet'!$A$139:$I$159,6,0)),0%,VLOOKUP(A105,'Données projet'!$A$139:$I$159,6,0)*VLOOKUP('Données projet'!$B$13,Paramètres!$A$1:$I$88,7,0))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projet'!$B$13,Paramètres!$A$1:$I$88,3,0)*0.475*44/12</f>
        <v>#N/A</v>
      </c>
      <c r="DG105" s="23" t="e">
        <f>EXP(-LN(2)/25)*DG104+(1-EXP(-LN(2)/25))/(LN(2)/25)*Calculateur!DB105*Calculateur!DD105*VLOOKUP('Données projet'!$B$13,Paramètres!$A$1:$I$88,3,0)*0.475*44/12</f>
        <v>#N/A</v>
      </c>
      <c r="DH105" s="23" t="e">
        <f>EXP(-LN(2)/2)*DH104+(1-EXP(-LN(2)/2))/(LN(2)/2)*DB105*DE105*VLOOKUP('Données projet'!$B$13,Paramètres!$A$1:$I$88,3,0)*0.475*44/12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68.531775716248376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projet'!$B$14,Paramètres!$A$1:$I$88,3,0)*VLOOKUP('Données projet'!$B$14,Paramètres!$A$1:$I$88,5,0)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projet'!$B$14,Paramètres!$A$1:$I$88,7,0))</f>
        <v>0</v>
      </c>
      <c r="DY105" s="17">
        <f>IF(ISNA(VLOOKUP(A105,'Données projet'!$A$165:$I$185,6,0)),0%,VLOOKUP(A105,'Données projet'!$A$165:$I$185,6,0)*VLOOKUP('Données projet'!$B$14,Paramètres!$A$1:$I$88,7,0))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projet'!$B$14,Paramètres!$A$1:$I$88,3,0)*0.475*44/12</f>
        <v>#N/A</v>
      </c>
      <c r="EB105" s="23" t="e">
        <f>EXP(-LN(2)/25)*EB104+(1-EXP(-LN(2)/25))/(LN(2)/25)*Calculateur!DW105*Calculateur!DY105*VLOOKUP('Données projet'!$B$14,Paramètres!$A$1:$I$88,3,0)*0.475*44/12</f>
        <v>#N/A</v>
      </c>
      <c r="EC105" s="23" t="e">
        <f>EXP(-LN(2)/2)*EC104+(1-EXP(-LN(2)/2))/(LN(2)/2)*DW105*DZ105*VLOOKUP('Données projet'!$B$14,Paramètres!$A$1:$I$88,3,0)*0.475*44/12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68.531775716248376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projet'!$B$15,Paramètres!$A$1:$I$88,3,0)*VLOOKUP('Données projet'!$B$15,Paramètres!$A$1:$I$88,5,0)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projet'!$B$15,Paramètres!$A$1:$I$88,7,0))</f>
        <v>0</v>
      </c>
      <c r="ET105" s="17">
        <f>IF(ISNA(VLOOKUP(A105,'Données projet'!$A$191:$I$211,6,0)),0%,VLOOKUP(A105,'Données projet'!$A$191:$I$211,6,0)*VLOOKUP('Données projet'!$B$15,Paramètres!$A$1:$I$88,7,0))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projet'!$B$15,Paramètres!$A$1:$I$88,3,0)*0.475*44/12</f>
        <v>#N/A</v>
      </c>
      <c r="EW105" s="23" t="e">
        <f>EXP(-LN(2)/25)*EW104+(1-EXP(-LN(2)/25))/(LN(2)/25)*Calculateur!ER105*Calculateur!ET105*VLOOKUP('Données projet'!$B$15,Paramètres!$A$1:$I$88,3,0)*0.475*44/12</f>
        <v>#N/A</v>
      </c>
      <c r="EX105" s="23" t="e">
        <f>EXP(-LN(2)/2)*EX104+(1-EXP(-LN(2)/2))/(LN(2)/2)*ER105*EU105*VLOOKUP('Données projet'!$B$15,Paramètres!$A$1:$I$88,3,0)*0.475*44/12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68.531775716248376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projet'!$B$16,Paramètres!$A$1:$I$88,3,0)*VLOOKUP('Données projet'!$B$16,Paramètres!$A$1:$I$88,5,0)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projet'!$B$16,Paramètres!$A$1:$I$88,7,0))</f>
        <v>0</v>
      </c>
      <c r="FO105" s="17">
        <f>IF(ISNA(VLOOKUP(A105,'Données projet'!$A$217:$I$237,6,0)),0%,VLOOKUP(A105,'Données projet'!$A$217:$I$237,6,0)*VLOOKUP('Données projet'!$B$16,Paramètres!$A$1:$I$88,7,0))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projet'!$B$16,Paramètres!$A$1:$I$88,3,0)*0.475*44/12</f>
        <v>#N/A</v>
      </c>
      <c r="FR105" s="23" t="e">
        <f>EXP(-LN(2)/25)*FR104+(1-EXP(-LN(2)/25))/(LN(2)/25)*Calculateur!FM105*Calculateur!FO105*VLOOKUP('Données projet'!$B$16,Paramètres!$A$1:$I$88,3,0)*0.475*44/12</f>
        <v>#N/A</v>
      </c>
      <c r="FS105" s="23" t="e">
        <f>EXP(-LN(2)/2)*FS104+(1-EXP(-LN(2)/2))/(LN(2)/2)*FM105*FP105*VLOOKUP('Données projet'!$B$16,Paramètres!$A$1:$I$88,3,0)*0.475*44/12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68.531775716248376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projet'!$B$17,Paramètres!$A$1:$I$88,3,0)*VLOOKUP('Données projet'!$B$17,Paramètres!$A$1:$I$88,5,0)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projet'!$B$17,Paramètres!$A$1:$I$88,7,0))</f>
        <v>0</v>
      </c>
      <c r="GJ105" s="17">
        <f>IF(ISNA(VLOOKUP(A105,'Données projet'!$A$243:$I$263,6,0)),0%,VLOOKUP(A105,'Données projet'!$A$243:$I$263,6,0)*VLOOKUP('Données projet'!$B$17,Paramètres!$A$1:$I$88,7,0))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projet'!$B$17,Paramètres!$A$1:$I$88,3,0)*0.475*44/12</f>
        <v>#N/A</v>
      </c>
      <c r="GM105" s="23" t="e">
        <f>EXP(-LN(2)/25)*GM104+(1-EXP(-LN(2)/25))/(LN(2)/25)*Calculateur!GH105*Calculateur!GJ105*VLOOKUP('Données projet'!$B$17,Paramètres!$A$1:$I$88,3,0)*0.475*44/12</f>
        <v>#N/A</v>
      </c>
      <c r="GN105" s="23" t="e">
        <f>EXP(-LN(2)/2)*GN104+(1-EXP(-LN(2)/2))/(LN(2)/2)*GH105*GK105*VLOOKUP('Données projet'!$B$17,Paramètres!$A$1:$I$88,3,0)*0.475*44/12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68.531775716248376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projet'!$B$18,Paramètres!$A$1:$I$88,3,0)*VLOOKUP('Données projet'!$B$18,Paramètres!$A$1:$I$88,5,0)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projet'!$B$18,Paramètres!$A$1:$I$88,7,0))</f>
        <v>0</v>
      </c>
      <c r="HE105" s="17">
        <f>IF(ISNA(VLOOKUP(A105,'Données projet'!$A$269:$I$289,6,0)),0%,VLOOKUP(A105,'Données projet'!$A$269:$I$289,6,0)*VLOOKUP('Données projet'!$B$18,Paramètres!$A$1:$I$88,7,0))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projet'!$B$18,Paramètres!$A$1:$I$88,3,0)*0.475*44/12</f>
        <v>#N/A</v>
      </c>
      <c r="HH105" s="23" t="e">
        <f>EXP(-LN(2)/25)*HH104+(1-EXP(-LN(2)/25))/(LN(2)/25)*Calculateur!HC105*Calculateur!HE105*VLOOKUP('Données projet'!$B$18,Paramètres!$A$1:$I$88,3,0)*0.475*44/12</f>
        <v>#N/A</v>
      </c>
      <c r="HI105" s="23" t="e">
        <f>EXP(-LN(2)/2)*HI104+(1-EXP(-LN(2)/2))/(LN(2)/2)*HC105*HF105*VLOOKUP('Données projet'!$B$18,Paramètres!$A$1:$I$88,3,0)*0.475*44/12</f>
        <v>#N/A</v>
      </c>
      <c r="HJ105" s="24" t="e">
        <f t="shared" si="84"/>
        <v>#N/A</v>
      </c>
    </row>
    <row r="106" spans="1:218" s="5" customFormat="1" x14ac:dyDescent="0.35">
      <c r="A106" s="11">
        <f t="shared" si="85"/>
        <v>103</v>
      </c>
      <c r="B106" s="77">
        <f>'Scénario référence'!$B$16*5+'Scénario référence'!$B$17*0+'Scénario référence'!$B$18*5</f>
        <v>1.75</v>
      </c>
      <c r="C106" s="20">
        <f>Calculateur!C105+'Scénario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06" s="12">
        <f t="shared" si="86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6.416666666666667</v>
      </c>
      <c r="H106" s="70">
        <f t="shared" si="56"/>
        <v>231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68.557246125113707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3.4106051316484809E-13</v>
      </c>
      <c r="O106" s="14">
        <f>N106*VLOOKUP('Données projet'!$B$9,Paramètres!$A$1:$I$88,3,0)*VLOOKUP('Données projet'!$B$9,Paramètres!$A$1:$I$88,5,0)</f>
        <v>1.9065282685915009E-13</v>
      </c>
      <c r="P106" s="14">
        <f t="shared" si="87"/>
        <v>2.6568987209435707E-12</v>
      </c>
      <c r="Q106" s="22">
        <f t="shared" si="107"/>
        <v>4.959485612423072E-12</v>
      </c>
      <c r="R106" s="62">
        <f t="shared" si="55"/>
        <v>288.04323579208852</v>
      </c>
      <c r="S106" s="62">
        <f ca="1">AVERAGE(OFFSET($R$3,0,0,'Données projet'!$E$9+1,1))-AVERAGE(OFFSET($H$3,0,0,'Données projet'!$E$9+1,1))</f>
        <v>341.05096821796769</v>
      </c>
      <c r="T106" s="62">
        <f t="shared" si="88"/>
        <v>400.72519822215168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projet'!$B$9,Paramètres!$A$1:$I$88,7,0))</f>
        <v>0</v>
      </c>
      <c r="X106" s="17">
        <f>IF(ISNA(VLOOKUP(A106,'Données projet'!$A$35:$I$55,6,0)),0%,VLOOKUP(A106,'Données projet'!$A$35:$I$55,6,0)*VLOOKUP('Données projet'!$B$9,Paramètres!$A$1:$I$88,7,0))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projet'!$B$9,Paramètres!$A$1:$I$88,3,0)*0.475*44/12</f>
        <v>102.25771301737463</v>
      </c>
      <c r="AA106" s="23">
        <f>EXP(-LN(2)/25)*AA105+(1-EXP(-LN(2)/25))/(LN(2)/25)*Calculateur!V106*Calculateur!X106*VLOOKUP('Données projet'!$B$9,Paramètres!$A$1:$I$88,3,0)*0.475*44/12</f>
        <v>40.227602440408795</v>
      </c>
      <c r="AB106" s="23">
        <f>EXP(-LN(2)/2)*AB105+(1-EXP(-LN(2)/2))/(LN(2)/2)*V106*Y106*VLOOKUP('Données projet'!$B$9,Paramètres!$A$1:$I$88,3,0)*0.475*44/12</f>
        <v>0</v>
      </c>
      <c r="AC106" s="24">
        <f t="shared" si="57"/>
        <v>142.48531545778343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68.557246125113707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5.6843418860808015E-14</v>
      </c>
      <c r="AJ106" s="14">
        <f>AI106*VLOOKUP('Données projet'!$B$10,Paramètres!$A$1:$I$88,3,0)*VLOOKUP('Données projet'!$B$10,Paramètres!$A$1:$I$88,5,0)</f>
        <v>3.3992364478763198E-14</v>
      </c>
      <c r="AK106" s="14">
        <f t="shared" si="89"/>
        <v>5.790027782444094E-13</v>
      </c>
      <c r="AL106" s="22">
        <f t="shared" si="58"/>
        <v>1.0676332069095257E-12</v>
      </c>
      <c r="AM106" s="62">
        <f t="shared" si="59"/>
        <v>288.04323579208466</v>
      </c>
      <c r="AN106" s="62">
        <f ca="1">AVERAGE(OFFSET($AM$3,0,0,'Données projet'!$E$10+1,1))-AVERAGE(OFFSET($H$3,0,0,'Données projet'!$E$10+1,1))</f>
        <v>231.96474801342879</v>
      </c>
      <c r="AO106" s="62">
        <f t="shared" si="90"/>
        <v>237.75726086383668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projet'!$B$10,Paramètres!$A$1:$I$88,7,0))</f>
        <v>0</v>
      </c>
      <c r="AS106" s="17">
        <f>IF(ISNA(VLOOKUP(A106,'Données projet'!$A$61:$I$81,6,0)),0%,VLOOKUP(A106,'Données projet'!$A$61:$I$81,6,0)*VLOOKUP('Données projet'!$B$10,Paramètres!$A$1:$I$88,7,0))</f>
        <v>0</v>
      </c>
      <c r="AT106" s="17">
        <f>IF(ISNA(VLOOKUP(A106,'Données projet'!$A$61:$I$81,7,0)),0%,VLOOKUP(A106,'Données projet'!$A$61:$I$81,7,0))</f>
        <v>0</v>
      </c>
      <c r="AU106" s="23">
        <f>EXP(-LN(2)/35)*AU105+(1-EXP(-LN(2)/35))/(LN(2)/35)*AQ106*AR106*VLOOKUP('Données projet'!$B$10,Paramètres!$A$1:$I$88,3,0)*0.475*44/12</f>
        <v>40.325281191988459</v>
      </c>
      <c r="AV106" s="23">
        <f>EXP(-LN(2)/25)*AV105+(1-EXP(-LN(2)/25))/(LN(2)/25)*Calculateur!AQ106*Calculateur!AS106*VLOOKUP('Données projet'!$B$10,Paramètres!$A$1:$I$88,3,0)*0.475*44/12</f>
        <v>16.98709941373782</v>
      </c>
      <c r="AW106" s="23">
        <f>EXP(-LN(2)/2)*AW105+(1-EXP(-LN(2)/2))/(LN(2)/2)*AQ106*AT106*VLOOKUP('Données projet'!$B$10,Paramètres!$A$1:$I$88,3,0)*0.475*44/12</f>
        <v>0</v>
      </c>
      <c r="AX106" s="23">
        <f t="shared" si="60"/>
        <v>57.312380605726275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68.557246125113707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10.7</v>
      </c>
      <c r="BD106" s="13">
        <f>IF('Données projet'!$A$88&gt;35,BD105+BC106-BL105,IF(A106&lt;'Données projet'!$A$88,$BA$205^A106,IF(A106='Données projet'!$A$88,'Données projet'!$B$88,BD105+BC106-BL105)))</f>
        <v>558.60000000000059</v>
      </c>
      <c r="BE106" s="14">
        <f>BD106*VLOOKUP('Données projet'!$B$11,Paramètres!$A$1:$I$88,3,0)*VLOOKUP('Données projet'!$B$11,Paramètres!$A$1:$I$88,5,0)</f>
        <v>261.42480000000029</v>
      </c>
      <c r="BF106" s="14">
        <f t="shared" si="91"/>
        <v>63.025991071670703</v>
      </c>
      <c r="BG106" s="22">
        <f t="shared" si="61"/>
        <v>565.08512778316037</v>
      </c>
      <c r="BH106" s="62">
        <f t="shared" si="62"/>
        <v>853.12836357524395</v>
      </c>
      <c r="BI106" s="62">
        <f ca="1">AVERAGE(OFFSET($BH$3,0,0,'Données projet'!$E$11+1,1))-AVERAGE(OFFSET($H$3,0,0,'Données projet'!$E$11+1,1))</f>
        <v>364.96458059055169</v>
      </c>
      <c r="BJ106" s="62">
        <f t="shared" si="92"/>
        <v>246.27159120786257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projet'!$B$11,Paramètres!$A$1:$I$88,7,0))</f>
        <v>0</v>
      </c>
      <c r="BN106" s="17">
        <f>IF(ISNA(VLOOKUP(A106,'Données projet'!$A$87:$I$107,6,0)),0%,VLOOKUP(A106,'Données projet'!$A$87:$I$107,6,0)*VLOOKUP('Données projet'!$B$11,Paramètres!$A$1:$I$88,7,0))</f>
        <v>0</v>
      </c>
      <c r="BO106" s="17">
        <f>IF(ISNA(VLOOKUP(A106,'Données projet'!$A$87:$I$107,7,0)),0%,VLOOKUP(A106,'Données projet'!$A$87:$I$107,7,0))</f>
        <v>0</v>
      </c>
      <c r="BP106" s="23">
        <f>EXP(-LN(2)/35)*BP105+(1-EXP(-LN(2)/35))/(LN(2)/35)*BL106*BM106*VLOOKUP('Données projet'!$B$11,Paramètres!$A$1:$I$88,3,0)*0.475*44/12</f>
        <v>80.09856342142777</v>
      </c>
      <c r="BQ106" s="23">
        <f>EXP(-LN(2)/25)*BQ105+(1-EXP(-LN(2)/25))/(LN(2)/25)*Calculateur!BL106*Calculateur!BN106*VLOOKUP('Données projet'!$B$11,Paramètres!$A$1:$I$88,3,0)*0.475*44/12</f>
        <v>30.201475163231382</v>
      </c>
      <c r="BR106" s="23">
        <f>EXP(-LN(2)/2)*BR105+(1-EXP(-LN(2)/2))/(LN(2)/2)*BL106*BO106*VLOOKUP('Données projet'!$B$11,Paramètres!$A$1:$I$88,3,0)*0.475*44/12</f>
        <v>0</v>
      </c>
      <c r="BS106" s="24">
        <f t="shared" si="63"/>
        <v>110.30003858465915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68.557246125113707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-1.1368683772161603E-13</v>
      </c>
      <c r="BZ106" s="14">
        <f>BY106*VLOOKUP('Données projet'!$B$12,Paramètres!$A$1:$I$88,3,0)*VLOOKUP('Données projet'!$B$12,Paramètres!$A$1:$I$88,5,0)</f>
        <v>-1.1527845344971866E-13</v>
      </c>
      <c r="CA106" s="14" t="e">
        <f t="shared" si="93"/>
        <v>#NUM!</v>
      </c>
      <c r="CB106" s="22" t="e">
        <f t="shared" si="64"/>
        <v>#NUM!</v>
      </c>
      <c r="CC106" s="62" t="e">
        <f t="shared" si="65"/>
        <v>#NUM!</v>
      </c>
      <c r="CD106" s="62">
        <f ca="1">AVERAGE(OFFSET($CC$3,0,0,'Données projet'!$E$12+1,1))-AVERAGE(OFFSET($H$3,0,0,'Données projet'!$E$12+1,1))</f>
        <v>310.53598044763282</v>
      </c>
      <c r="CE106" s="62">
        <f t="shared" si="94"/>
        <v>322.01096634040596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projet'!$B$12,Paramètres!$A$1:$I$88,7,0))</f>
        <v>0</v>
      </c>
      <c r="CI106" s="17">
        <f>IF(ISNA(VLOOKUP(A106,'Données projet'!$A$113:$I$133,6,0)),0%,VLOOKUP(A106,'Données projet'!$A$113:$I$133,6,0)*VLOOKUP('Données projet'!$B$12,Paramètres!$A$1:$I$88,7,0))</f>
        <v>0</v>
      </c>
      <c r="CJ106" s="17">
        <f>IF(ISNA(VLOOKUP(A106,'Données projet'!$A$113:$I$133,7,0)),0%,VLOOKUP(A106,'Données projet'!$A$113:$I$133,7,0))</f>
        <v>0</v>
      </c>
      <c r="CK106" s="23">
        <f>EXP(-LN(2)/35)*CK105+(1-EXP(-LN(2)/35))/(LN(2)/35)*CG106*CH106*VLOOKUP('Données projet'!$B$12,Paramètres!$A$1:$I$88,3,0)*0.475*44/12</f>
        <v>30.853748262219085</v>
      </c>
      <c r="CL106" s="23">
        <f>EXP(-LN(2)/25)*CL105+(1-EXP(-LN(2)/25))/(LN(2)/25)*Calculateur!CG106*Calculateur!CI106*VLOOKUP('Données projet'!$B$12,Paramètres!$A$1:$I$88,3,0)*0.475*44/12</f>
        <v>0</v>
      </c>
      <c r="CM106" s="23">
        <f>EXP(-LN(2)/2)*CM105+(1-EXP(-LN(2)/2))/(LN(2)/2)*CG106*CJ106*VLOOKUP('Données projet'!$B$12,Paramètres!$A$1:$I$88,3,0)*0.475*44/12</f>
        <v>0</v>
      </c>
      <c r="CN106" s="24">
        <f t="shared" si="66"/>
        <v>30.853748262219085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68.557246125113707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projet'!$B$13,Paramètres!$A$1:$I$88,3,0)*VLOOKUP('Données projet'!$B$13,Paramètres!$A$1:$I$88,5,0)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projet'!$B$13,Paramètres!$A$1:$I$88,7,0))</f>
        <v>0</v>
      </c>
      <c r="DD106" s="17">
        <f>IF(ISNA(VLOOKUP(A106,'Données projet'!$A$139:$I$159,6,0)),0%,VLOOKUP(A106,'Données projet'!$A$139:$I$159,6,0)*VLOOKUP('Données projet'!$B$13,Paramètres!$A$1:$I$88,7,0))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projet'!$B$13,Paramètres!$A$1:$I$88,3,0)*0.475*44/12</f>
        <v>#N/A</v>
      </c>
      <c r="DG106" s="23" t="e">
        <f>EXP(-LN(2)/25)*DG105+(1-EXP(-LN(2)/25))/(LN(2)/25)*Calculateur!DB106*Calculateur!DD106*VLOOKUP('Données projet'!$B$13,Paramètres!$A$1:$I$88,3,0)*0.475*44/12</f>
        <v>#N/A</v>
      </c>
      <c r="DH106" s="23" t="e">
        <f>EXP(-LN(2)/2)*DH105+(1-EXP(-LN(2)/2))/(LN(2)/2)*DB106*DE106*VLOOKUP('Données projet'!$B$13,Paramètres!$A$1:$I$88,3,0)*0.475*44/12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68.557246125113707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projet'!$B$14,Paramètres!$A$1:$I$88,3,0)*VLOOKUP('Données projet'!$B$14,Paramètres!$A$1:$I$88,5,0)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projet'!$B$14,Paramètres!$A$1:$I$88,7,0))</f>
        <v>0</v>
      </c>
      <c r="DY106" s="17">
        <f>IF(ISNA(VLOOKUP(A106,'Données projet'!$A$165:$I$185,6,0)),0%,VLOOKUP(A106,'Données projet'!$A$165:$I$185,6,0)*VLOOKUP('Données projet'!$B$14,Paramètres!$A$1:$I$88,7,0))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projet'!$B$14,Paramètres!$A$1:$I$88,3,0)*0.475*44/12</f>
        <v>#N/A</v>
      </c>
      <c r="EB106" s="23" t="e">
        <f>EXP(-LN(2)/25)*EB105+(1-EXP(-LN(2)/25))/(LN(2)/25)*Calculateur!DW106*Calculateur!DY106*VLOOKUP('Données projet'!$B$14,Paramètres!$A$1:$I$88,3,0)*0.475*44/12</f>
        <v>#N/A</v>
      </c>
      <c r="EC106" s="23" t="e">
        <f>EXP(-LN(2)/2)*EC105+(1-EXP(-LN(2)/2))/(LN(2)/2)*DW106*DZ106*VLOOKUP('Données projet'!$B$14,Paramètres!$A$1:$I$88,3,0)*0.475*44/12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68.557246125113707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projet'!$B$15,Paramètres!$A$1:$I$88,3,0)*VLOOKUP('Données projet'!$B$15,Paramètres!$A$1:$I$88,5,0)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projet'!$B$15,Paramètres!$A$1:$I$88,7,0))</f>
        <v>0</v>
      </c>
      <c r="ET106" s="17">
        <f>IF(ISNA(VLOOKUP(A106,'Données projet'!$A$191:$I$211,6,0)),0%,VLOOKUP(A106,'Données projet'!$A$191:$I$211,6,0)*VLOOKUP('Données projet'!$B$15,Paramètres!$A$1:$I$88,7,0))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projet'!$B$15,Paramètres!$A$1:$I$88,3,0)*0.475*44/12</f>
        <v>#N/A</v>
      </c>
      <c r="EW106" s="23" t="e">
        <f>EXP(-LN(2)/25)*EW105+(1-EXP(-LN(2)/25))/(LN(2)/25)*Calculateur!ER106*Calculateur!ET106*VLOOKUP('Données projet'!$B$15,Paramètres!$A$1:$I$88,3,0)*0.475*44/12</f>
        <v>#N/A</v>
      </c>
      <c r="EX106" s="23" t="e">
        <f>EXP(-LN(2)/2)*EX105+(1-EXP(-LN(2)/2))/(LN(2)/2)*ER106*EU106*VLOOKUP('Données projet'!$B$15,Paramètres!$A$1:$I$88,3,0)*0.475*44/12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68.557246125113707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projet'!$B$16,Paramètres!$A$1:$I$88,3,0)*VLOOKUP('Données projet'!$B$16,Paramètres!$A$1:$I$88,5,0)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projet'!$B$16,Paramètres!$A$1:$I$88,7,0))</f>
        <v>0</v>
      </c>
      <c r="FO106" s="17">
        <f>IF(ISNA(VLOOKUP(A106,'Données projet'!$A$217:$I$237,6,0)),0%,VLOOKUP(A106,'Données projet'!$A$217:$I$237,6,0)*VLOOKUP('Données projet'!$B$16,Paramètres!$A$1:$I$88,7,0))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projet'!$B$16,Paramètres!$A$1:$I$88,3,0)*0.475*44/12</f>
        <v>#N/A</v>
      </c>
      <c r="FR106" s="23" t="e">
        <f>EXP(-LN(2)/25)*FR105+(1-EXP(-LN(2)/25))/(LN(2)/25)*Calculateur!FM106*Calculateur!FO106*VLOOKUP('Données projet'!$B$16,Paramètres!$A$1:$I$88,3,0)*0.475*44/12</f>
        <v>#N/A</v>
      </c>
      <c r="FS106" s="23" t="e">
        <f>EXP(-LN(2)/2)*FS105+(1-EXP(-LN(2)/2))/(LN(2)/2)*FM106*FP106*VLOOKUP('Données projet'!$B$16,Paramètres!$A$1:$I$88,3,0)*0.475*44/12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68.557246125113707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projet'!$B$17,Paramètres!$A$1:$I$88,3,0)*VLOOKUP('Données projet'!$B$17,Paramètres!$A$1:$I$88,5,0)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projet'!$B$17,Paramètres!$A$1:$I$88,7,0))</f>
        <v>0</v>
      </c>
      <c r="GJ106" s="17">
        <f>IF(ISNA(VLOOKUP(A106,'Données projet'!$A$243:$I$263,6,0)),0%,VLOOKUP(A106,'Données projet'!$A$243:$I$263,6,0)*VLOOKUP('Données projet'!$B$17,Paramètres!$A$1:$I$88,7,0))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projet'!$B$17,Paramètres!$A$1:$I$88,3,0)*0.475*44/12</f>
        <v>#N/A</v>
      </c>
      <c r="GM106" s="23" t="e">
        <f>EXP(-LN(2)/25)*GM105+(1-EXP(-LN(2)/25))/(LN(2)/25)*Calculateur!GH106*Calculateur!GJ106*VLOOKUP('Données projet'!$B$17,Paramètres!$A$1:$I$88,3,0)*0.475*44/12</f>
        <v>#N/A</v>
      </c>
      <c r="GN106" s="23" t="e">
        <f>EXP(-LN(2)/2)*GN105+(1-EXP(-LN(2)/2))/(LN(2)/2)*GH106*GK106*VLOOKUP('Données projet'!$B$17,Paramètres!$A$1:$I$88,3,0)*0.475*44/12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68.557246125113707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projet'!$B$18,Paramètres!$A$1:$I$88,3,0)*VLOOKUP('Données projet'!$B$18,Paramètres!$A$1:$I$88,5,0)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projet'!$B$18,Paramètres!$A$1:$I$88,7,0))</f>
        <v>0</v>
      </c>
      <c r="HE106" s="17">
        <f>IF(ISNA(VLOOKUP(A106,'Données projet'!$A$269:$I$289,6,0)),0%,VLOOKUP(A106,'Données projet'!$A$269:$I$289,6,0)*VLOOKUP('Données projet'!$B$18,Paramètres!$A$1:$I$88,7,0))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projet'!$B$18,Paramètres!$A$1:$I$88,3,0)*0.475*44/12</f>
        <v>#N/A</v>
      </c>
      <c r="HH106" s="23" t="e">
        <f>EXP(-LN(2)/25)*HH105+(1-EXP(-LN(2)/25))/(LN(2)/25)*Calculateur!HC106*Calculateur!HE106*VLOOKUP('Données projet'!$B$18,Paramètres!$A$1:$I$88,3,0)*0.475*44/12</f>
        <v>#N/A</v>
      </c>
      <c r="HI106" s="23" t="e">
        <f>EXP(-LN(2)/2)*HI105+(1-EXP(-LN(2)/2))/(LN(2)/2)*HC106*HF106*VLOOKUP('Données projet'!$B$18,Paramètres!$A$1:$I$88,3,0)*0.475*44/12</f>
        <v>#N/A</v>
      </c>
      <c r="HJ106" s="24" t="e">
        <f t="shared" si="84"/>
        <v>#N/A</v>
      </c>
    </row>
    <row r="107" spans="1:218" s="5" customFormat="1" x14ac:dyDescent="0.35">
      <c r="A107" s="11">
        <f t="shared" si="85"/>
        <v>104</v>
      </c>
      <c r="B107" s="77">
        <f>'Scénario référence'!$B$16*5+'Scénario référence'!$B$17*0+'Scénario référence'!$B$18*5</f>
        <v>1.75</v>
      </c>
      <c r="C107" s="20">
        <f>Calculateur!C106+'Scénario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07" s="12">
        <f t="shared" si="86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6.416666666666667</v>
      </c>
      <c r="H107" s="70">
        <f t="shared" si="56"/>
        <v>231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68.582274679328549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3.4106051316484809E-13</v>
      </c>
      <c r="O107" s="14">
        <f>N107*VLOOKUP('Données projet'!$B$9,Paramètres!$A$1:$I$88,3,0)*VLOOKUP('Données projet'!$B$9,Paramètres!$A$1:$I$88,5,0)</f>
        <v>1.9065282685915009E-13</v>
      </c>
      <c r="P107" s="14">
        <f t="shared" si="87"/>
        <v>2.6568987209435707E-12</v>
      </c>
      <c r="Q107" s="22">
        <f t="shared" si="107"/>
        <v>4.959485612423072E-12</v>
      </c>
      <c r="R107" s="62">
        <f t="shared" si="55"/>
        <v>288.13500715754299</v>
      </c>
      <c r="S107" s="62">
        <f ca="1">AVERAGE(OFFSET($R$3,0,0,'Données projet'!$E$9+1,1))-AVERAGE(OFFSET($H$3,0,0,'Données projet'!$E$9+1,1))</f>
        <v>341.05096821796769</v>
      </c>
      <c r="T107" s="62">
        <f t="shared" si="88"/>
        <v>400.72519822215168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projet'!$B$9,Paramètres!$A$1:$I$88,7,0))</f>
        <v>0</v>
      </c>
      <c r="X107" s="17">
        <f>IF(ISNA(VLOOKUP(A107,'Données projet'!$A$35:$I$55,6,0)),0%,VLOOKUP(A107,'Données projet'!$A$35:$I$55,6,0)*VLOOKUP('Données projet'!$B$9,Paramètres!$A$1:$I$88,7,0))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projet'!$B$9,Paramètres!$A$1:$I$88,3,0)*0.475*44/12</f>
        <v>100.25250163615023</v>
      </c>
      <c r="AA107" s="23">
        <f>EXP(-LN(2)/25)*AA106+(1-EXP(-LN(2)/25))/(LN(2)/25)*Calculateur!V107*Calculateur!X107*VLOOKUP('Données projet'!$B$9,Paramètres!$A$1:$I$88,3,0)*0.475*44/12</f>
        <v>39.127576536198148</v>
      </c>
      <c r="AB107" s="23">
        <f>EXP(-LN(2)/2)*AB106+(1-EXP(-LN(2)/2))/(LN(2)/2)*V107*Y107*VLOOKUP('Données projet'!$B$9,Paramètres!$A$1:$I$88,3,0)*0.475*44/12</f>
        <v>0</v>
      </c>
      <c r="AC107" s="24">
        <f t="shared" si="57"/>
        <v>139.38007817234836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68.582274679328549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5.6843418860808015E-14</v>
      </c>
      <c r="AJ107" s="14">
        <f>AI107*VLOOKUP('Données projet'!$B$10,Paramètres!$A$1:$I$88,3,0)*VLOOKUP('Données projet'!$B$10,Paramètres!$A$1:$I$88,5,0)</f>
        <v>3.3992364478763198E-14</v>
      </c>
      <c r="AK107" s="14">
        <f t="shared" si="89"/>
        <v>5.790027782444094E-13</v>
      </c>
      <c r="AL107" s="22">
        <f t="shared" si="58"/>
        <v>1.0676332069095257E-12</v>
      </c>
      <c r="AM107" s="62">
        <f t="shared" si="59"/>
        <v>288.13500715753912</v>
      </c>
      <c r="AN107" s="62">
        <f ca="1">AVERAGE(OFFSET($AM$3,0,0,'Données projet'!$E$10+1,1))-AVERAGE(OFFSET($H$3,0,0,'Données projet'!$E$10+1,1))</f>
        <v>231.96474801342879</v>
      </c>
      <c r="AO107" s="62">
        <f t="shared" si="90"/>
        <v>237.75726086383668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projet'!$B$10,Paramètres!$A$1:$I$88,7,0))</f>
        <v>0</v>
      </c>
      <c r="AS107" s="17">
        <f>IF(ISNA(VLOOKUP(A107,'Données projet'!$A$61:$I$81,6,0)),0%,VLOOKUP(A107,'Données projet'!$A$61:$I$81,6,0)*VLOOKUP('Données projet'!$B$10,Paramètres!$A$1:$I$88,7,0))</f>
        <v>0</v>
      </c>
      <c r="AT107" s="17">
        <f>IF(ISNA(VLOOKUP(A107,'Données projet'!$A$61:$I$81,7,0)),0%,VLOOKUP(A107,'Données projet'!$A$61:$I$81,7,0))</f>
        <v>0</v>
      </c>
      <c r="AU107" s="23">
        <f>EXP(-LN(2)/35)*AU106+(1-EXP(-LN(2)/35))/(LN(2)/35)*AQ107*AR107*VLOOKUP('Données projet'!$B$10,Paramètres!$A$1:$I$88,3,0)*0.475*44/12</f>
        <v>39.53452702380644</v>
      </c>
      <c r="AV107" s="23">
        <f>EXP(-LN(2)/25)*AV106+(1-EXP(-LN(2)/25))/(LN(2)/25)*Calculateur!AQ107*Calculateur!AS107*VLOOKUP('Données projet'!$B$10,Paramètres!$A$1:$I$88,3,0)*0.475*44/12</f>
        <v>16.522586286956425</v>
      </c>
      <c r="AW107" s="23">
        <f>EXP(-LN(2)/2)*AW106+(1-EXP(-LN(2)/2))/(LN(2)/2)*AQ107*AT107*VLOOKUP('Données projet'!$B$10,Paramètres!$A$1:$I$88,3,0)*0.475*44/12</f>
        <v>0</v>
      </c>
      <c r="AX107" s="23">
        <f t="shared" si="60"/>
        <v>56.057113310762865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68.582274679328549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10.7</v>
      </c>
      <c r="BD107" s="13">
        <f>IF('Données projet'!$A$88&gt;35,BD106+BC107-BL106,IF(A107&lt;'Données projet'!$A$88,$BA$205^A107,IF(A107='Données projet'!$A$88,'Données projet'!$B$88,BD106+BC107-BL106)))</f>
        <v>569.30000000000064</v>
      </c>
      <c r="BE107" s="14">
        <f>BD107*VLOOKUP('Données projet'!$B$11,Paramètres!$A$1:$I$88,3,0)*VLOOKUP('Données projet'!$B$11,Paramètres!$A$1:$I$88,5,0)</f>
        <v>266.43240000000031</v>
      </c>
      <c r="BF107" s="14">
        <f t="shared" si="91"/>
        <v>64.091549395742064</v>
      </c>
      <c r="BG107" s="22">
        <f t="shared" si="61"/>
        <v>575.66254519758456</v>
      </c>
      <c r="BH107" s="62">
        <f t="shared" si="62"/>
        <v>863.79755235512266</v>
      </c>
      <c r="BI107" s="62">
        <f ca="1">AVERAGE(OFFSET($BH$3,0,0,'Données projet'!$E$11+1,1))-AVERAGE(OFFSET($H$3,0,0,'Données projet'!$E$11+1,1))</f>
        <v>364.96458059055169</v>
      </c>
      <c r="BJ107" s="62">
        <f t="shared" si="92"/>
        <v>246.27159120786257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projet'!$B$11,Paramètres!$A$1:$I$88,7,0))</f>
        <v>0</v>
      </c>
      <c r="BN107" s="17">
        <f>IF(ISNA(VLOOKUP(A107,'Données projet'!$A$87:$I$107,6,0)),0%,VLOOKUP(A107,'Données projet'!$A$87:$I$107,6,0)*VLOOKUP('Données projet'!$B$11,Paramètres!$A$1:$I$88,7,0))</f>
        <v>0</v>
      </c>
      <c r="BO107" s="17">
        <f>IF(ISNA(VLOOKUP(A107,'Données projet'!$A$87:$I$107,7,0)),0%,VLOOKUP(A107,'Données projet'!$A$87:$I$107,7,0))</f>
        <v>0</v>
      </c>
      <c r="BP107" s="23">
        <f>EXP(-LN(2)/35)*BP106+(1-EXP(-LN(2)/35))/(LN(2)/35)*BL107*BM107*VLOOKUP('Données projet'!$B$11,Paramètres!$A$1:$I$88,3,0)*0.475*44/12</f>
        <v>78.527879448033204</v>
      </c>
      <c r="BQ107" s="23">
        <f>EXP(-LN(2)/25)*BQ106+(1-EXP(-LN(2)/25))/(LN(2)/25)*Calculateur!BL107*Calculateur!BN107*VLOOKUP('Données projet'!$B$11,Paramètres!$A$1:$I$88,3,0)*0.475*44/12</f>
        <v>29.375614236666269</v>
      </c>
      <c r="BR107" s="23">
        <f>EXP(-LN(2)/2)*BR106+(1-EXP(-LN(2)/2))/(LN(2)/2)*BL107*BO107*VLOOKUP('Données projet'!$B$11,Paramètres!$A$1:$I$88,3,0)*0.475*44/12</f>
        <v>0</v>
      </c>
      <c r="BS107" s="24">
        <f t="shared" si="63"/>
        <v>107.90349368469947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68.582274679328549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-1.1368683772161603E-13</v>
      </c>
      <c r="BZ107" s="14">
        <f>BY107*VLOOKUP('Données projet'!$B$12,Paramètres!$A$1:$I$88,3,0)*VLOOKUP('Données projet'!$B$12,Paramètres!$A$1:$I$88,5,0)</f>
        <v>-1.1527845344971866E-13</v>
      </c>
      <c r="CA107" s="14" t="e">
        <f t="shared" si="93"/>
        <v>#NUM!</v>
      </c>
      <c r="CB107" s="22" t="e">
        <f t="shared" si="64"/>
        <v>#NUM!</v>
      </c>
      <c r="CC107" s="62" t="e">
        <f t="shared" si="65"/>
        <v>#NUM!</v>
      </c>
      <c r="CD107" s="62">
        <f ca="1">AVERAGE(OFFSET($CC$3,0,0,'Données projet'!$E$12+1,1))-AVERAGE(OFFSET($H$3,0,0,'Données projet'!$E$12+1,1))</f>
        <v>310.53598044763282</v>
      </c>
      <c r="CE107" s="62">
        <f t="shared" si="94"/>
        <v>322.01096634040596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projet'!$B$12,Paramètres!$A$1:$I$88,7,0))</f>
        <v>0</v>
      </c>
      <c r="CI107" s="17">
        <f>IF(ISNA(VLOOKUP(A107,'Données projet'!$A$113:$I$133,6,0)),0%,VLOOKUP(A107,'Données projet'!$A$113:$I$133,6,0)*VLOOKUP('Données projet'!$B$12,Paramètres!$A$1:$I$88,7,0))</f>
        <v>0</v>
      </c>
      <c r="CJ107" s="17">
        <f>IF(ISNA(VLOOKUP(A107,'Données projet'!$A$113:$I$133,7,0)),0%,VLOOKUP(A107,'Données projet'!$A$113:$I$133,7,0))</f>
        <v>0</v>
      </c>
      <c r="CK107" s="23">
        <f>EXP(-LN(2)/35)*CK106+(1-EXP(-LN(2)/35))/(LN(2)/35)*CG107*CH107*VLOOKUP('Données projet'!$B$12,Paramètres!$A$1:$I$88,3,0)*0.475*44/12</f>
        <v>30.248725077725194</v>
      </c>
      <c r="CL107" s="23">
        <f>EXP(-LN(2)/25)*CL106+(1-EXP(-LN(2)/25))/(LN(2)/25)*Calculateur!CG107*Calculateur!CI107*VLOOKUP('Données projet'!$B$12,Paramètres!$A$1:$I$88,3,0)*0.475*44/12</f>
        <v>0</v>
      </c>
      <c r="CM107" s="23">
        <f>EXP(-LN(2)/2)*CM106+(1-EXP(-LN(2)/2))/(LN(2)/2)*CG107*CJ107*VLOOKUP('Données projet'!$B$12,Paramètres!$A$1:$I$88,3,0)*0.475*44/12</f>
        <v>0</v>
      </c>
      <c r="CN107" s="24">
        <f t="shared" si="66"/>
        <v>30.248725077725194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68.582274679328549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projet'!$B$13,Paramètres!$A$1:$I$88,3,0)*VLOOKUP('Données projet'!$B$13,Paramètres!$A$1:$I$88,5,0)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projet'!$B$13,Paramètres!$A$1:$I$88,7,0))</f>
        <v>0</v>
      </c>
      <c r="DD107" s="17">
        <f>IF(ISNA(VLOOKUP(A107,'Données projet'!$A$139:$I$159,6,0)),0%,VLOOKUP(A107,'Données projet'!$A$139:$I$159,6,0)*VLOOKUP('Données projet'!$B$13,Paramètres!$A$1:$I$88,7,0))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projet'!$B$13,Paramètres!$A$1:$I$88,3,0)*0.475*44/12</f>
        <v>#N/A</v>
      </c>
      <c r="DG107" s="23" t="e">
        <f>EXP(-LN(2)/25)*DG106+(1-EXP(-LN(2)/25))/(LN(2)/25)*Calculateur!DB107*Calculateur!DD107*VLOOKUP('Données projet'!$B$13,Paramètres!$A$1:$I$88,3,0)*0.475*44/12</f>
        <v>#N/A</v>
      </c>
      <c r="DH107" s="23" t="e">
        <f>EXP(-LN(2)/2)*DH106+(1-EXP(-LN(2)/2))/(LN(2)/2)*DB107*DE107*VLOOKUP('Données projet'!$B$13,Paramètres!$A$1:$I$88,3,0)*0.475*44/12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68.582274679328549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projet'!$B$14,Paramètres!$A$1:$I$88,3,0)*VLOOKUP('Données projet'!$B$14,Paramètres!$A$1:$I$88,5,0)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projet'!$B$14,Paramètres!$A$1:$I$88,7,0))</f>
        <v>0</v>
      </c>
      <c r="DY107" s="17">
        <f>IF(ISNA(VLOOKUP(A107,'Données projet'!$A$165:$I$185,6,0)),0%,VLOOKUP(A107,'Données projet'!$A$165:$I$185,6,0)*VLOOKUP('Données projet'!$B$14,Paramètres!$A$1:$I$88,7,0))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projet'!$B$14,Paramètres!$A$1:$I$88,3,0)*0.475*44/12</f>
        <v>#N/A</v>
      </c>
      <c r="EB107" s="23" t="e">
        <f>EXP(-LN(2)/25)*EB106+(1-EXP(-LN(2)/25))/(LN(2)/25)*Calculateur!DW107*Calculateur!DY107*VLOOKUP('Données projet'!$B$14,Paramètres!$A$1:$I$88,3,0)*0.475*44/12</f>
        <v>#N/A</v>
      </c>
      <c r="EC107" s="23" t="e">
        <f>EXP(-LN(2)/2)*EC106+(1-EXP(-LN(2)/2))/(LN(2)/2)*DW107*DZ107*VLOOKUP('Données projet'!$B$14,Paramètres!$A$1:$I$88,3,0)*0.475*44/12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68.582274679328549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projet'!$B$15,Paramètres!$A$1:$I$88,3,0)*VLOOKUP('Données projet'!$B$15,Paramètres!$A$1:$I$88,5,0)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projet'!$B$15,Paramètres!$A$1:$I$88,7,0))</f>
        <v>0</v>
      </c>
      <c r="ET107" s="17">
        <f>IF(ISNA(VLOOKUP(A107,'Données projet'!$A$191:$I$211,6,0)),0%,VLOOKUP(A107,'Données projet'!$A$191:$I$211,6,0)*VLOOKUP('Données projet'!$B$15,Paramètres!$A$1:$I$88,7,0))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projet'!$B$15,Paramètres!$A$1:$I$88,3,0)*0.475*44/12</f>
        <v>#N/A</v>
      </c>
      <c r="EW107" s="23" t="e">
        <f>EXP(-LN(2)/25)*EW106+(1-EXP(-LN(2)/25))/(LN(2)/25)*Calculateur!ER107*Calculateur!ET107*VLOOKUP('Données projet'!$B$15,Paramètres!$A$1:$I$88,3,0)*0.475*44/12</f>
        <v>#N/A</v>
      </c>
      <c r="EX107" s="23" t="e">
        <f>EXP(-LN(2)/2)*EX106+(1-EXP(-LN(2)/2))/(LN(2)/2)*ER107*EU107*VLOOKUP('Données projet'!$B$15,Paramètres!$A$1:$I$88,3,0)*0.475*44/12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68.582274679328549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projet'!$B$16,Paramètres!$A$1:$I$88,3,0)*VLOOKUP('Données projet'!$B$16,Paramètres!$A$1:$I$88,5,0)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projet'!$B$16,Paramètres!$A$1:$I$88,7,0))</f>
        <v>0</v>
      </c>
      <c r="FO107" s="17">
        <f>IF(ISNA(VLOOKUP(A107,'Données projet'!$A$217:$I$237,6,0)),0%,VLOOKUP(A107,'Données projet'!$A$217:$I$237,6,0)*VLOOKUP('Données projet'!$B$16,Paramètres!$A$1:$I$88,7,0))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projet'!$B$16,Paramètres!$A$1:$I$88,3,0)*0.475*44/12</f>
        <v>#N/A</v>
      </c>
      <c r="FR107" s="23" t="e">
        <f>EXP(-LN(2)/25)*FR106+(1-EXP(-LN(2)/25))/(LN(2)/25)*Calculateur!FM107*Calculateur!FO107*VLOOKUP('Données projet'!$B$16,Paramètres!$A$1:$I$88,3,0)*0.475*44/12</f>
        <v>#N/A</v>
      </c>
      <c r="FS107" s="23" t="e">
        <f>EXP(-LN(2)/2)*FS106+(1-EXP(-LN(2)/2))/(LN(2)/2)*FM107*FP107*VLOOKUP('Données projet'!$B$16,Paramètres!$A$1:$I$88,3,0)*0.475*44/12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68.582274679328549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projet'!$B$17,Paramètres!$A$1:$I$88,3,0)*VLOOKUP('Données projet'!$B$17,Paramètres!$A$1:$I$88,5,0)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projet'!$B$17,Paramètres!$A$1:$I$88,7,0))</f>
        <v>0</v>
      </c>
      <c r="GJ107" s="17">
        <f>IF(ISNA(VLOOKUP(A107,'Données projet'!$A$243:$I$263,6,0)),0%,VLOOKUP(A107,'Données projet'!$A$243:$I$263,6,0)*VLOOKUP('Données projet'!$B$17,Paramètres!$A$1:$I$88,7,0))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projet'!$B$17,Paramètres!$A$1:$I$88,3,0)*0.475*44/12</f>
        <v>#N/A</v>
      </c>
      <c r="GM107" s="23" t="e">
        <f>EXP(-LN(2)/25)*GM106+(1-EXP(-LN(2)/25))/(LN(2)/25)*Calculateur!GH107*Calculateur!GJ107*VLOOKUP('Données projet'!$B$17,Paramètres!$A$1:$I$88,3,0)*0.475*44/12</f>
        <v>#N/A</v>
      </c>
      <c r="GN107" s="23" t="e">
        <f>EXP(-LN(2)/2)*GN106+(1-EXP(-LN(2)/2))/(LN(2)/2)*GH107*GK107*VLOOKUP('Données projet'!$B$17,Paramètres!$A$1:$I$88,3,0)*0.475*44/12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68.582274679328549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projet'!$B$18,Paramètres!$A$1:$I$88,3,0)*VLOOKUP('Données projet'!$B$18,Paramètres!$A$1:$I$88,5,0)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projet'!$B$18,Paramètres!$A$1:$I$88,7,0))</f>
        <v>0</v>
      </c>
      <c r="HE107" s="17">
        <f>IF(ISNA(VLOOKUP(A107,'Données projet'!$A$269:$I$289,6,0)),0%,VLOOKUP(A107,'Données projet'!$A$269:$I$289,6,0)*VLOOKUP('Données projet'!$B$18,Paramètres!$A$1:$I$88,7,0))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projet'!$B$18,Paramètres!$A$1:$I$88,3,0)*0.475*44/12</f>
        <v>#N/A</v>
      </c>
      <c r="HH107" s="23" t="e">
        <f>EXP(-LN(2)/25)*HH106+(1-EXP(-LN(2)/25))/(LN(2)/25)*Calculateur!HC107*Calculateur!HE107*VLOOKUP('Données projet'!$B$18,Paramètres!$A$1:$I$88,3,0)*0.475*44/12</f>
        <v>#N/A</v>
      </c>
      <c r="HI107" s="23" t="e">
        <f>EXP(-LN(2)/2)*HI106+(1-EXP(-LN(2)/2))/(LN(2)/2)*HC107*HF107*VLOOKUP('Données projet'!$B$18,Paramètres!$A$1:$I$88,3,0)*0.475*44/12</f>
        <v>#N/A</v>
      </c>
      <c r="HJ107" s="24" t="e">
        <f t="shared" si="84"/>
        <v>#N/A</v>
      </c>
    </row>
    <row r="108" spans="1:218" s="5" customFormat="1" x14ac:dyDescent="0.35">
      <c r="A108" s="11">
        <f t="shared" si="85"/>
        <v>105</v>
      </c>
      <c r="B108" s="77">
        <f>'Scénario référence'!$B$16*5+'Scénario référence'!$B$17*0+'Scénario référence'!$B$18*5</f>
        <v>1.75</v>
      </c>
      <c r="C108" s="20">
        <f>Calculateur!C107+'Scénario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08" s="12">
        <f t="shared" si="86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6.416666666666667</v>
      </c>
      <c r="H108" s="70">
        <f t="shared" si="56"/>
        <v>231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68.606869044083211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3.4106051316484809E-13</v>
      </c>
      <c r="O108" s="14">
        <f>N108*VLOOKUP('Données projet'!$B$9,Paramètres!$A$1:$I$88,3,0)*VLOOKUP('Données projet'!$B$9,Paramètres!$A$1:$I$88,5,0)</f>
        <v>1.9065282685915009E-13</v>
      </c>
      <c r="P108" s="14">
        <f t="shared" si="87"/>
        <v>2.6568987209435707E-12</v>
      </c>
      <c r="Q108" s="22">
        <f t="shared" si="107"/>
        <v>4.959485612423072E-12</v>
      </c>
      <c r="R108" s="62">
        <f t="shared" si="55"/>
        <v>288.2251864949767</v>
      </c>
      <c r="S108" s="62">
        <f ca="1">AVERAGE(OFFSET($R$3,0,0,'Données projet'!$E$9+1,1))-AVERAGE(OFFSET($H$3,0,0,'Données projet'!$E$9+1,1))</f>
        <v>341.05096821796769</v>
      </c>
      <c r="T108" s="62">
        <f t="shared" si="88"/>
        <v>400.72519822215168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projet'!$B$9,Paramètres!$A$1:$I$88,7,0))</f>
        <v>0</v>
      </c>
      <c r="X108" s="17">
        <f>IF(ISNA(VLOOKUP(A108,'Données projet'!$A$35:$I$55,6,0)),0%,VLOOKUP(A108,'Données projet'!$A$35:$I$55,6,0)*VLOOKUP('Données projet'!$B$9,Paramètres!$A$1:$I$88,7,0))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projet'!$B$9,Paramètres!$A$1:$I$88,3,0)*0.475*44/12</f>
        <v>98.286611227053456</v>
      </c>
      <c r="AA108" s="23">
        <f>EXP(-LN(2)/25)*AA107+(1-EXP(-LN(2)/25))/(LN(2)/25)*Calculateur!V108*Calculateur!X108*VLOOKUP('Données projet'!$B$9,Paramètres!$A$1:$I$88,3,0)*0.475*44/12</f>
        <v>38.057630898185984</v>
      </c>
      <c r="AB108" s="23">
        <f>EXP(-LN(2)/2)*AB107+(1-EXP(-LN(2)/2))/(LN(2)/2)*V108*Y108*VLOOKUP('Données projet'!$B$9,Paramètres!$A$1:$I$88,3,0)*0.475*44/12</f>
        <v>0</v>
      </c>
      <c r="AC108" s="24">
        <f t="shared" si="57"/>
        <v>136.34424212523945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68.606869044083211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5.6843418860808015E-14</v>
      </c>
      <c r="AJ108" s="14">
        <f>AI108*VLOOKUP('Données projet'!$B$10,Paramètres!$A$1:$I$88,3,0)*VLOOKUP('Données projet'!$B$10,Paramètres!$A$1:$I$88,5,0)</f>
        <v>3.3992364478763198E-14</v>
      </c>
      <c r="AK108" s="14">
        <f t="shared" si="89"/>
        <v>5.790027782444094E-13</v>
      </c>
      <c r="AL108" s="22">
        <f t="shared" si="58"/>
        <v>1.0676332069095257E-12</v>
      </c>
      <c r="AM108" s="62">
        <f t="shared" si="59"/>
        <v>288.22518649497283</v>
      </c>
      <c r="AN108" s="62">
        <f ca="1">AVERAGE(OFFSET($AM$3,0,0,'Données projet'!$E$10+1,1))-AVERAGE(OFFSET($H$3,0,0,'Données projet'!$E$10+1,1))</f>
        <v>231.96474801342879</v>
      </c>
      <c r="AO108" s="62">
        <f t="shared" si="90"/>
        <v>237.75726086383668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projet'!$B$10,Paramètres!$A$1:$I$88,7,0))</f>
        <v>0</v>
      </c>
      <c r="AS108" s="17">
        <f>IF(ISNA(VLOOKUP(A108,'Données projet'!$A$61:$I$81,6,0)),0%,VLOOKUP(A108,'Données projet'!$A$61:$I$81,6,0)*VLOOKUP('Données projet'!$B$10,Paramètres!$A$1:$I$88,7,0))</f>
        <v>0</v>
      </c>
      <c r="AT108" s="17">
        <f>IF(ISNA(VLOOKUP(A108,'Données projet'!$A$61:$I$81,7,0)),0%,VLOOKUP(A108,'Données projet'!$A$61:$I$81,7,0))</f>
        <v>0</v>
      </c>
      <c r="AU108" s="23">
        <f>EXP(-LN(2)/35)*AU107+(1-EXP(-LN(2)/35))/(LN(2)/35)*AQ108*AR108*VLOOKUP('Données projet'!$B$10,Paramètres!$A$1:$I$88,3,0)*0.475*44/12</f>
        <v>38.75927906255005</v>
      </c>
      <c r="AV108" s="23">
        <f>EXP(-LN(2)/25)*AV107+(1-EXP(-LN(2)/25))/(LN(2)/25)*Calculateur!AQ108*Calculateur!AS108*VLOOKUP('Données projet'!$B$10,Paramètres!$A$1:$I$88,3,0)*0.475*44/12</f>
        <v>16.070775296054553</v>
      </c>
      <c r="AW108" s="23">
        <f>EXP(-LN(2)/2)*AW107+(1-EXP(-LN(2)/2))/(LN(2)/2)*AQ108*AT108*VLOOKUP('Données projet'!$B$10,Paramètres!$A$1:$I$88,3,0)*0.475*44/12</f>
        <v>0</v>
      </c>
      <c r="AX108" s="23">
        <f t="shared" si="60"/>
        <v>54.830054358604599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68.606869044083211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>
        <f>VLOOKUP(A108,'Données projet'!$A$87:$I$107,2,0)</f>
        <v>580</v>
      </c>
      <c r="BB108" s="13">
        <f>VLOOKUP(A108,'Données projet'!$A$87:$I$107,9,0)</f>
        <v>10.7</v>
      </c>
      <c r="BC108" s="13">
        <f t="array" ref="BC108">INDEX(BB:BB,MIN(IF(ISNUMBER(BB108:BB304),ROW(BB108:BB304),"")))</f>
        <v>10.7</v>
      </c>
      <c r="BD108" s="13">
        <f>IF('Données projet'!$A$88&gt;35,BD107+BC108-BL107,IF(A108&lt;'Données projet'!$A$88,$BA$205^A108,IF(A108='Données projet'!$A$88,'Données projet'!$B$88,BD107+BC108-BL107)))</f>
        <v>580.00000000000068</v>
      </c>
      <c r="BE108" s="14">
        <f>BD108*VLOOKUP('Données projet'!$B$11,Paramètres!$A$1:$I$88,3,0)*VLOOKUP('Données projet'!$B$11,Paramètres!$A$1:$I$88,5,0)</f>
        <v>271.44000000000034</v>
      </c>
      <c r="BF108" s="14">
        <f t="shared" si="91"/>
        <v>65.154778959151301</v>
      </c>
      <c r="BG108" s="22">
        <f t="shared" si="61"/>
        <v>586.23590668718907</v>
      </c>
      <c r="BH108" s="62">
        <f t="shared" si="62"/>
        <v>874.46109318216077</v>
      </c>
      <c r="BI108" s="62">
        <f ca="1">AVERAGE(OFFSET($BH$3,0,0,'Données projet'!$E$11+1,1))-AVERAGE(OFFSET($H$3,0,0,'Données projet'!$E$11+1,1))</f>
        <v>364.96458059055169</v>
      </c>
      <c r="BJ108" s="62">
        <f t="shared" si="92"/>
        <v>246.27159120786257</v>
      </c>
      <c r="BK108" s="16">
        <f>IF(ISNA(VLOOKUP(A108,'Données projet'!$A$87:$I$107,3,0)),0,VLOOKUP(A108,'Données projet'!$A$87:$I$107,3,0))</f>
        <v>7</v>
      </c>
      <c r="BL108" s="16">
        <f>IF(ISNA(VLOOKUP(A108,'Données projet'!$A$87:$I$107,4,0)),0,VLOOKUP(A108,'Données projet'!$A$87:$I$107,4,0))</f>
        <v>580</v>
      </c>
      <c r="BM108" s="17">
        <f>IF(ISNA(VLOOKUP(A108,'Données projet'!$A$87:$I$107,5,0)),0%,VLOOKUP(A108,'Données projet'!$A$87:$I$107,5,0)*VLOOKUP('Données projet'!$B$11,Paramètres!$A$1:$I$88,7,0))</f>
        <v>0.38500000000000001</v>
      </c>
      <c r="BN108" s="17">
        <f>IF(ISNA(VLOOKUP(A108,'Données projet'!$A$87:$I$107,6,0)),0%,VLOOKUP(A108,'Données projet'!$A$87:$I$107,6,0)*VLOOKUP('Données projet'!$B$11,Paramètres!$A$1:$I$88,7,0))</f>
        <v>0.16500000000000001</v>
      </c>
      <c r="BO108" s="17">
        <f>IF(ISNA(VLOOKUP(A108,'Données projet'!$A$87:$I$107,7,0)),0%,VLOOKUP(A108,'Données projet'!$A$87:$I$107,7,0))</f>
        <v>0</v>
      </c>
      <c r="BP108" s="23">
        <f>EXP(-LN(2)/35)*BP107+(1-EXP(-LN(2)/35))/(LN(2)/35)*BL108*BM108*VLOOKUP('Données projet'!$B$11,Paramètres!$A$1:$I$88,3,0)*0.475*44/12</f>
        <v>215.61981810637016</v>
      </c>
      <c r="BQ108" s="23">
        <f>EXP(-LN(2)/25)*BQ107+(1-EXP(-LN(2)/25))/(LN(2)/25)*Calculateur!BL108*Calculateur!BN108*VLOOKUP('Données projet'!$B$11,Paramètres!$A$1:$I$88,3,0)*0.475*44/12</f>
        <v>87.752040593030316</v>
      </c>
      <c r="BR108" s="23">
        <f>EXP(-LN(2)/2)*BR107+(1-EXP(-LN(2)/2))/(LN(2)/2)*BL108*BO108*VLOOKUP('Données projet'!$B$11,Paramètres!$A$1:$I$88,3,0)*0.475*44/12</f>
        <v>0</v>
      </c>
      <c r="BS108" s="24">
        <f t="shared" si="63"/>
        <v>303.37185869940049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68.606869044083211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-1.1368683772161603E-13</v>
      </c>
      <c r="BZ108" s="14">
        <f>BY108*VLOOKUP('Données projet'!$B$12,Paramètres!$A$1:$I$88,3,0)*VLOOKUP('Données projet'!$B$12,Paramètres!$A$1:$I$88,5,0)</f>
        <v>-1.1527845344971866E-13</v>
      </c>
      <c r="CA108" s="14" t="e">
        <f t="shared" si="93"/>
        <v>#NUM!</v>
      </c>
      <c r="CB108" s="22" t="e">
        <f t="shared" si="64"/>
        <v>#NUM!</v>
      </c>
      <c r="CC108" s="62" t="e">
        <f t="shared" si="65"/>
        <v>#NUM!</v>
      </c>
      <c r="CD108" s="62">
        <f ca="1">AVERAGE(OFFSET($CC$3,0,0,'Données projet'!$E$12+1,1))-AVERAGE(OFFSET($H$3,0,0,'Données projet'!$E$12+1,1))</f>
        <v>310.53598044763282</v>
      </c>
      <c r="CE108" s="62">
        <f t="shared" si="94"/>
        <v>322.01096634040596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projet'!$B$12,Paramètres!$A$1:$I$88,7,0))</f>
        <v>0</v>
      </c>
      <c r="CI108" s="17">
        <f>IF(ISNA(VLOOKUP(A108,'Données projet'!$A$113:$I$133,6,0)),0%,VLOOKUP(A108,'Données projet'!$A$113:$I$133,6,0)*VLOOKUP('Données projet'!$B$12,Paramètres!$A$1:$I$88,7,0))</f>
        <v>0</v>
      </c>
      <c r="CJ108" s="17">
        <f>IF(ISNA(VLOOKUP(A108,'Données projet'!$A$113:$I$133,7,0)),0%,VLOOKUP(A108,'Données projet'!$A$113:$I$133,7,0))</f>
        <v>0</v>
      </c>
      <c r="CK108" s="23">
        <f>EXP(-LN(2)/35)*CK107+(1-EXP(-LN(2)/35))/(LN(2)/35)*CG108*CH108*VLOOKUP('Données projet'!$B$12,Paramètres!$A$1:$I$88,3,0)*0.475*44/12</f>
        <v>29.655566028851524</v>
      </c>
      <c r="CL108" s="23">
        <f>EXP(-LN(2)/25)*CL107+(1-EXP(-LN(2)/25))/(LN(2)/25)*Calculateur!CG108*Calculateur!CI108*VLOOKUP('Données projet'!$B$12,Paramètres!$A$1:$I$88,3,0)*0.475*44/12</f>
        <v>0</v>
      </c>
      <c r="CM108" s="23">
        <f>EXP(-LN(2)/2)*CM107+(1-EXP(-LN(2)/2))/(LN(2)/2)*CG108*CJ108*VLOOKUP('Données projet'!$B$12,Paramètres!$A$1:$I$88,3,0)*0.475*44/12</f>
        <v>0</v>
      </c>
      <c r="CN108" s="24">
        <f t="shared" si="66"/>
        <v>29.655566028851524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68.606869044083211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projet'!$B$13,Paramètres!$A$1:$I$88,3,0)*VLOOKUP('Données projet'!$B$13,Paramètres!$A$1:$I$88,5,0)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projet'!$B$13,Paramètres!$A$1:$I$88,7,0))</f>
        <v>0</v>
      </c>
      <c r="DD108" s="17">
        <f>IF(ISNA(VLOOKUP(A108,'Données projet'!$A$139:$I$159,6,0)),0%,VLOOKUP(A108,'Données projet'!$A$139:$I$159,6,0)*VLOOKUP('Données projet'!$B$13,Paramètres!$A$1:$I$88,7,0))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projet'!$B$13,Paramètres!$A$1:$I$88,3,0)*0.475*44/12</f>
        <v>#N/A</v>
      </c>
      <c r="DG108" s="23" t="e">
        <f>EXP(-LN(2)/25)*DG107+(1-EXP(-LN(2)/25))/(LN(2)/25)*Calculateur!DB108*Calculateur!DD108*VLOOKUP('Données projet'!$B$13,Paramètres!$A$1:$I$88,3,0)*0.475*44/12</f>
        <v>#N/A</v>
      </c>
      <c r="DH108" s="23" t="e">
        <f>EXP(-LN(2)/2)*DH107+(1-EXP(-LN(2)/2))/(LN(2)/2)*DB108*DE108*VLOOKUP('Données projet'!$B$13,Paramètres!$A$1:$I$88,3,0)*0.475*44/12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68.606869044083211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projet'!$B$14,Paramètres!$A$1:$I$88,3,0)*VLOOKUP('Données projet'!$B$14,Paramètres!$A$1:$I$88,5,0)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projet'!$B$14,Paramètres!$A$1:$I$88,7,0))</f>
        <v>0</v>
      </c>
      <c r="DY108" s="17">
        <f>IF(ISNA(VLOOKUP(A108,'Données projet'!$A$165:$I$185,6,0)),0%,VLOOKUP(A108,'Données projet'!$A$165:$I$185,6,0)*VLOOKUP('Données projet'!$B$14,Paramètres!$A$1:$I$88,7,0))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projet'!$B$14,Paramètres!$A$1:$I$88,3,0)*0.475*44/12</f>
        <v>#N/A</v>
      </c>
      <c r="EB108" s="23" t="e">
        <f>EXP(-LN(2)/25)*EB107+(1-EXP(-LN(2)/25))/(LN(2)/25)*Calculateur!DW108*Calculateur!DY108*VLOOKUP('Données projet'!$B$14,Paramètres!$A$1:$I$88,3,0)*0.475*44/12</f>
        <v>#N/A</v>
      </c>
      <c r="EC108" s="23" t="e">
        <f>EXP(-LN(2)/2)*EC107+(1-EXP(-LN(2)/2))/(LN(2)/2)*DW108*DZ108*VLOOKUP('Données projet'!$B$14,Paramètres!$A$1:$I$88,3,0)*0.475*44/12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68.606869044083211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projet'!$B$15,Paramètres!$A$1:$I$88,3,0)*VLOOKUP('Données projet'!$B$15,Paramètres!$A$1:$I$88,5,0)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projet'!$B$15,Paramètres!$A$1:$I$88,7,0))</f>
        <v>0</v>
      </c>
      <c r="ET108" s="17">
        <f>IF(ISNA(VLOOKUP(A108,'Données projet'!$A$191:$I$211,6,0)),0%,VLOOKUP(A108,'Données projet'!$A$191:$I$211,6,0)*VLOOKUP('Données projet'!$B$15,Paramètres!$A$1:$I$88,7,0))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projet'!$B$15,Paramètres!$A$1:$I$88,3,0)*0.475*44/12</f>
        <v>#N/A</v>
      </c>
      <c r="EW108" s="23" t="e">
        <f>EXP(-LN(2)/25)*EW107+(1-EXP(-LN(2)/25))/(LN(2)/25)*Calculateur!ER108*Calculateur!ET108*VLOOKUP('Données projet'!$B$15,Paramètres!$A$1:$I$88,3,0)*0.475*44/12</f>
        <v>#N/A</v>
      </c>
      <c r="EX108" s="23" t="e">
        <f>EXP(-LN(2)/2)*EX107+(1-EXP(-LN(2)/2))/(LN(2)/2)*ER108*EU108*VLOOKUP('Données projet'!$B$15,Paramètres!$A$1:$I$88,3,0)*0.475*44/12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68.606869044083211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projet'!$B$16,Paramètres!$A$1:$I$88,3,0)*VLOOKUP('Données projet'!$B$16,Paramètres!$A$1:$I$88,5,0)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projet'!$B$16,Paramètres!$A$1:$I$88,7,0))</f>
        <v>0</v>
      </c>
      <c r="FO108" s="17">
        <f>IF(ISNA(VLOOKUP(A108,'Données projet'!$A$217:$I$237,6,0)),0%,VLOOKUP(A108,'Données projet'!$A$217:$I$237,6,0)*VLOOKUP('Données projet'!$B$16,Paramètres!$A$1:$I$88,7,0))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projet'!$B$16,Paramètres!$A$1:$I$88,3,0)*0.475*44/12</f>
        <v>#N/A</v>
      </c>
      <c r="FR108" s="23" t="e">
        <f>EXP(-LN(2)/25)*FR107+(1-EXP(-LN(2)/25))/(LN(2)/25)*Calculateur!FM108*Calculateur!FO108*VLOOKUP('Données projet'!$B$16,Paramètres!$A$1:$I$88,3,0)*0.475*44/12</f>
        <v>#N/A</v>
      </c>
      <c r="FS108" s="23" t="e">
        <f>EXP(-LN(2)/2)*FS107+(1-EXP(-LN(2)/2))/(LN(2)/2)*FM108*FP108*VLOOKUP('Données projet'!$B$16,Paramètres!$A$1:$I$88,3,0)*0.475*44/12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68.606869044083211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projet'!$B$17,Paramètres!$A$1:$I$88,3,0)*VLOOKUP('Données projet'!$B$17,Paramètres!$A$1:$I$88,5,0)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projet'!$B$17,Paramètres!$A$1:$I$88,7,0))</f>
        <v>0</v>
      </c>
      <c r="GJ108" s="17">
        <f>IF(ISNA(VLOOKUP(A108,'Données projet'!$A$243:$I$263,6,0)),0%,VLOOKUP(A108,'Données projet'!$A$243:$I$263,6,0)*VLOOKUP('Données projet'!$B$17,Paramètres!$A$1:$I$88,7,0))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projet'!$B$17,Paramètres!$A$1:$I$88,3,0)*0.475*44/12</f>
        <v>#N/A</v>
      </c>
      <c r="GM108" s="23" t="e">
        <f>EXP(-LN(2)/25)*GM107+(1-EXP(-LN(2)/25))/(LN(2)/25)*Calculateur!GH108*Calculateur!GJ108*VLOOKUP('Données projet'!$B$17,Paramètres!$A$1:$I$88,3,0)*0.475*44/12</f>
        <v>#N/A</v>
      </c>
      <c r="GN108" s="23" t="e">
        <f>EXP(-LN(2)/2)*GN107+(1-EXP(-LN(2)/2))/(LN(2)/2)*GH108*GK108*VLOOKUP('Données projet'!$B$17,Paramètres!$A$1:$I$88,3,0)*0.475*44/12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68.606869044083211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projet'!$B$18,Paramètres!$A$1:$I$88,3,0)*VLOOKUP('Données projet'!$B$18,Paramètres!$A$1:$I$88,5,0)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projet'!$B$18,Paramètres!$A$1:$I$88,7,0))</f>
        <v>0</v>
      </c>
      <c r="HE108" s="17">
        <f>IF(ISNA(VLOOKUP(A108,'Données projet'!$A$269:$I$289,6,0)),0%,VLOOKUP(A108,'Données projet'!$A$269:$I$289,6,0)*VLOOKUP('Données projet'!$B$18,Paramètres!$A$1:$I$88,7,0))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projet'!$B$18,Paramètres!$A$1:$I$88,3,0)*0.475*44/12</f>
        <v>#N/A</v>
      </c>
      <c r="HH108" s="23" t="e">
        <f>EXP(-LN(2)/25)*HH107+(1-EXP(-LN(2)/25))/(LN(2)/25)*Calculateur!HC108*Calculateur!HE108*VLOOKUP('Données projet'!$B$18,Paramètres!$A$1:$I$88,3,0)*0.475*44/12</f>
        <v>#N/A</v>
      </c>
      <c r="HI108" s="23" t="e">
        <f>EXP(-LN(2)/2)*HI107+(1-EXP(-LN(2)/2))/(LN(2)/2)*HC108*HF108*VLOOKUP('Données projet'!$B$18,Paramètres!$A$1:$I$88,3,0)*0.475*44/12</f>
        <v>#N/A</v>
      </c>
      <c r="HJ108" s="24" t="e">
        <f t="shared" si="84"/>
        <v>#N/A</v>
      </c>
    </row>
    <row r="109" spans="1:218" s="5" customFormat="1" x14ac:dyDescent="0.35">
      <c r="A109" s="11">
        <f t="shared" si="85"/>
        <v>106</v>
      </c>
      <c r="B109" s="77">
        <f>'Scénario référence'!$B$16*5+'Scénario référence'!$B$17*0+'Scénario référence'!$B$18*5</f>
        <v>1.75</v>
      </c>
      <c r="C109" s="20">
        <f>Calculateur!C108+'Scénario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09" s="12">
        <f t="shared" si="86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6.416666666666667</v>
      </c>
      <c r="H109" s="70">
        <f t="shared" si="56"/>
        <v>231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68.631036751594138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3.4106051316484809E-13</v>
      </c>
      <c r="O109" s="14">
        <f>N109*VLOOKUP('Données projet'!$B$9,Paramètres!$A$1:$I$88,3,0)*VLOOKUP('Données projet'!$B$9,Paramètres!$A$1:$I$88,5,0)</f>
        <v>1.9065282685915009E-13</v>
      </c>
      <c r="P109" s="14">
        <f t="shared" si="87"/>
        <v>2.6568987209435707E-12</v>
      </c>
      <c r="Q109" s="22">
        <f t="shared" si="107"/>
        <v>4.959485612423072E-12</v>
      </c>
      <c r="R109" s="62">
        <f t="shared" si="55"/>
        <v>288.3138014225168</v>
      </c>
      <c r="S109" s="62">
        <f ca="1">AVERAGE(OFFSET($R$3,0,0,'Données projet'!$E$9+1,1))-AVERAGE(OFFSET($H$3,0,0,'Données projet'!$E$9+1,1))</f>
        <v>341.05096821796769</v>
      </c>
      <c r="T109" s="62">
        <f t="shared" si="88"/>
        <v>400.72519822215168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projet'!$B$9,Paramètres!$A$1:$I$88,7,0))</f>
        <v>0</v>
      </c>
      <c r="X109" s="17">
        <f>IF(ISNA(VLOOKUP(A109,'Données projet'!$A$35:$I$55,6,0)),0%,VLOOKUP(A109,'Données projet'!$A$35:$I$55,6,0)*VLOOKUP('Données projet'!$B$9,Paramètres!$A$1:$I$88,7,0))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projet'!$B$9,Paramètres!$A$1:$I$88,3,0)*0.475*44/12</f>
        <v>96.359270729804322</v>
      </c>
      <c r="AA109" s="23">
        <f>EXP(-LN(2)/25)*AA108+(1-EXP(-LN(2)/25))/(LN(2)/25)*Calculateur!V109*Calculateur!X109*VLOOKUP('Données projet'!$B$9,Paramètres!$A$1:$I$88,3,0)*0.475*44/12</f>
        <v>37.016942979911263</v>
      </c>
      <c r="AB109" s="23">
        <f>EXP(-LN(2)/2)*AB108+(1-EXP(-LN(2)/2))/(LN(2)/2)*V109*Y109*VLOOKUP('Données projet'!$B$9,Paramètres!$A$1:$I$88,3,0)*0.475*44/12</f>
        <v>0</v>
      </c>
      <c r="AC109" s="24">
        <f t="shared" si="57"/>
        <v>133.37621370971559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68.631036751594138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5.6843418860808015E-14</v>
      </c>
      <c r="AJ109" s="14">
        <f>AI109*VLOOKUP('Données projet'!$B$10,Paramètres!$A$1:$I$88,3,0)*VLOOKUP('Données projet'!$B$10,Paramètres!$A$1:$I$88,5,0)</f>
        <v>3.3992364478763198E-14</v>
      </c>
      <c r="AK109" s="14">
        <f t="shared" si="89"/>
        <v>5.790027782444094E-13</v>
      </c>
      <c r="AL109" s="22">
        <f t="shared" si="58"/>
        <v>1.0676332069095257E-12</v>
      </c>
      <c r="AM109" s="62">
        <f t="shared" si="59"/>
        <v>288.31380142251294</v>
      </c>
      <c r="AN109" s="62">
        <f ca="1">AVERAGE(OFFSET($AM$3,0,0,'Données projet'!$E$10+1,1))-AVERAGE(OFFSET($H$3,0,0,'Données projet'!$E$10+1,1))</f>
        <v>231.96474801342879</v>
      </c>
      <c r="AO109" s="62">
        <f t="shared" si="90"/>
        <v>237.75726086383668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projet'!$B$10,Paramètres!$A$1:$I$88,7,0))</f>
        <v>0</v>
      </c>
      <c r="AS109" s="17">
        <f>IF(ISNA(VLOOKUP(A109,'Données projet'!$A$61:$I$81,6,0)),0%,VLOOKUP(A109,'Données projet'!$A$61:$I$81,6,0)*VLOOKUP('Données projet'!$B$10,Paramètres!$A$1:$I$88,7,0))</f>
        <v>0</v>
      </c>
      <c r="AT109" s="17">
        <f>IF(ISNA(VLOOKUP(A109,'Données projet'!$A$61:$I$81,7,0)),0%,VLOOKUP(A109,'Données projet'!$A$61:$I$81,7,0))</f>
        <v>0</v>
      </c>
      <c r="AU109" s="23">
        <f>EXP(-LN(2)/35)*AU108+(1-EXP(-LN(2)/35))/(LN(2)/35)*AQ109*AR109*VLOOKUP('Données projet'!$B$10,Paramètres!$A$1:$I$88,3,0)*0.475*44/12</f>
        <v>37.999233240959335</v>
      </c>
      <c r="AV109" s="23">
        <f>EXP(-LN(2)/25)*AV108+(1-EXP(-LN(2)/25))/(LN(2)/25)*Calculateur!AQ109*Calculateur!AS109*VLOOKUP('Données projet'!$B$10,Paramètres!$A$1:$I$88,3,0)*0.475*44/12</f>
        <v>15.631319100458599</v>
      </c>
      <c r="AW109" s="23">
        <f>EXP(-LN(2)/2)*AW108+(1-EXP(-LN(2)/2))/(LN(2)/2)*AQ109*AT109*VLOOKUP('Données projet'!$B$10,Paramètres!$A$1:$I$88,3,0)*0.475*44/12</f>
        <v>0</v>
      </c>
      <c r="AX109" s="23">
        <f t="shared" si="60"/>
        <v>53.630552341417932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68.631036751594138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6.8212102632969618E-13</v>
      </c>
      <c r="BE109" s="14">
        <f>BD109*VLOOKUP('Données projet'!$B$11,Paramètres!$A$1:$I$88,3,0)*VLOOKUP('Données projet'!$B$11,Paramètres!$A$1:$I$88,5,0)</f>
        <v>3.1923264032229784E-13</v>
      </c>
      <c r="BF109" s="14">
        <f t="shared" si="91"/>
        <v>4.1896839804541558E-12</v>
      </c>
      <c r="BG109" s="22">
        <f t="shared" si="61"/>
        <v>7.8530297811856558E-12</v>
      </c>
      <c r="BH109" s="62">
        <f t="shared" si="62"/>
        <v>288.3138014225197</v>
      </c>
      <c r="BI109" s="62">
        <f ca="1">AVERAGE(OFFSET($BH$3,0,0,'Données projet'!$E$11+1,1))-AVERAGE(OFFSET($H$3,0,0,'Données projet'!$E$11+1,1))</f>
        <v>364.96458059055169</v>
      </c>
      <c r="BJ109" s="62">
        <f t="shared" si="92"/>
        <v>246.27159120786257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projet'!$B$11,Paramètres!$A$1:$I$88,7,0))</f>
        <v>0</v>
      </c>
      <c r="BN109" s="17">
        <f>IF(ISNA(VLOOKUP(A109,'Données projet'!$A$87:$I$107,6,0)),0%,VLOOKUP(A109,'Données projet'!$A$87:$I$107,6,0)*VLOOKUP('Données projet'!$B$11,Paramètres!$A$1:$I$88,7,0))</f>
        <v>0</v>
      </c>
      <c r="BO109" s="17">
        <f>IF(ISNA(VLOOKUP(A109,'Données projet'!$A$87:$I$107,7,0)),0%,VLOOKUP(A109,'Données projet'!$A$87:$I$107,7,0))</f>
        <v>0</v>
      </c>
      <c r="BP109" s="23">
        <f>EXP(-LN(2)/35)*BP108+(1-EXP(-LN(2)/35))/(LN(2)/35)*BL109*BM109*VLOOKUP('Données projet'!$B$11,Paramètres!$A$1:$I$88,3,0)*0.475*44/12</f>
        <v>211.39164498840725</v>
      </c>
      <c r="BQ109" s="23">
        <f>EXP(-LN(2)/25)*BQ108+(1-EXP(-LN(2)/25))/(LN(2)/25)*Calculateur!BL109*Calculateur!BN109*VLOOKUP('Données projet'!$B$11,Paramètres!$A$1:$I$88,3,0)*0.475*44/12</f>
        <v>85.352456428334648</v>
      </c>
      <c r="BR109" s="23">
        <f>EXP(-LN(2)/2)*BR108+(1-EXP(-LN(2)/2))/(LN(2)/2)*BL109*BO109*VLOOKUP('Données projet'!$B$11,Paramètres!$A$1:$I$88,3,0)*0.475*44/12</f>
        <v>0</v>
      </c>
      <c r="BS109" s="24">
        <f t="shared" si="63"/>
        <v>296.7441014167419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68.631036751594138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-1.1368683772161603E-13</v>
      </c>
      <c r="BZ109" s="14">
        <f>BY109*VLOOKUP('Données projet'!$B$12,Paramètres!$A$1:$I$88,3,0)*VLOOKUP('Données projet'!$B$12,Paramètres!$A$1:$I$88,5,0)</f>
        <v>-1.1527845344971866E-13</v>
      </c>
      <c r="CA109" s="14" t="e">
        <f t="shared" si="93"/>
        <v>#NUM!</v>
      </c>
      <c r="CB109" s="22" t="e">
        <f t="shared" si="64"/>
        <v>#NUM!</v>
      </c>
      <c r="CC109" s="62" t="e">
        <f t="shared" si="65"/>
        <v>#NUM!</v>
      </c>
      <c r="CD109" s="62">
        <f ca="1">AVERAGE(OFFSET($CC$3,0,0,'Données projet'!$E$12+1,1))-AVERAGE(OFFSET($H$3,0,0,'Données projet'!$E$12+1,1))</f>
        <v>310.53598044763282</v>
      </c>
      <c r="CE109" s="62">
        <f t="shared" si="94"/>
        <v>322.01096634040596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projet'!$B$12,Paramètres!$A$1:$I$88,7,0))</f>
        <v>0</v>
      </c>
      <c r="CI109" s="17">
        <f>IF(ISNA(VLOOKUP(A109,'Données projet'!$A$113:$I$133,6,0)),0%,VLOOKUP(A109,'Données projet'!$A$113:$I$133,6,0)*VLOOKUP('Données projet'!$B$12,Paramètres!$A$1:$I$88,7,0))</f>
        <v>0</v>
      </c>
      <c r="CJ109" s="17">
        <f>IF(ISNA(VLOOKUP(A109,'Données projet'!$A$113:$I$133,7,0)),0%,VLOOKUP(A109,'Données projet'!$A$113:$I$133,7,0))</f>
        <v>0</v>
      </c>
      <c r="CK109" s="23">
        <f>EXP(-LN(2)/35)*CK108+(1-EXP(-LN(2)/35))/(LN(2)/35)*CG109*CH109*VLOOKUP('Données projet'!$B$12,Paramètres!$A$1:$I$88,3,0)*0.475*44/12</f>
        <v>29.074038467134972</v>
      </c>
      <c r="CL109" s="23">
        <f>EXP(-LN(2)/25)*CL108+(1-EXP(-LN(2)/25))/(LN(2)/25)*Calculateur!CG109*Calculateur!CI109*VLOOKUP('Données projet'!$B$12,Paramètres!$A$1:$I$88,3,0)*0.475*44/12</f>
        <v>0</v>
      </c>
      <c r="CM109" s="23">
        <f>EXP(-LN(2)/2)*CM108+(1-EXP(-LN(2)/2))/(LN(2)/2)*CG109*CJ109*VLOOKUP('Données projet'!$B$12,Paramètres!$A$1:$I$88,3,0)*0.475*44/12</f>
        <v>0</v>
      </c>
      <c r="CN109" s="24">
        <f t="shared" si="66"/>
        <v>29.074038467134972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68.631036751594138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projet'!$B$13,Paramètres!$A$1:$I$88,3,0)*VLOOKUP('Données projet'!$B$13,Paramètres!$A$1:$I$88,5,0)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projet'!$B$13,Paramètres!$A$1:$I$88,7,0))</f>
        <v>0</v>
      </c>
      <c r="DD109" s="17">
        <f>IF(ISNA(VLOOKUP(A109,'Données projet'!$A$139:$I$159,6,0)),0%,VLOOKUP(A109,'Données projet'!$A$139:$I$159,6,0)*VLOOKUP('Données projet'!$B$13,Paramètres!$A$1:$I$88,7,0))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projet'!$B$13,Paramètres!$A$1:$I$88,3,0)*0.475*44/12</f>
        <v>#N/A</v>
      </c>
      <c r="DG109" s="23" t="e">
        <f>EXP(-LN(2)/25)*DG108+(1-EXP(-LN(2)/25))/(LN(2)/25)*Calculateur!DB109*Calculateur!DD109*VLOOKUP('Données projet'!$B$13,Paramètres!$A$1:$I$88,3,0)*0.475*44/12</f>
        <v>#N/A</v>
      </c>
      <c r="DH109" s="23" t="e">
        <f>EXP(-LN(2)/2)*DH108+(1-EXP(-LN(2)/2))/(LN(2)/2)*DB109*DE109*VLOOKUP('Données projet'!$B$13,Paramètres!$A$1:$I$88,3,0)*0.475*44/12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68.631036751594138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projet'!$B$14,Paramètres!$A$1:$I$88,3,0)*VLOOKUP('Données projet'!$B$14,Paramètres!$A$1:$I$88,5,0)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projet'!$B$14,Paramètres!$A$1:$I$88,7,0))</f>
        <v>0</v>
      </c>
      <c r="DY109" s="17">
        <f>IF(ISNA(VLOOKUP(A109,'Données projet'!$A$165:$I$185,6,0)),0%,VLOOKUP(A109,'Données projet'!$A$165:$I$185,6,0)*VLOOKUP('Données projet'!$B$14,Paramètres!$A$1:$I$88,7,0))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projet'!$B$14,Paramètres!$A$1:$I$88,3,0)*0.475*44/12</f>
        <v>#N/A</v>
      </c>
      <c r="EB109" s="23" t="e">
        <f>EXP(-LN(2)/25)*EB108+(1-EXP(-LN(2)/25))/(LN(2)/25)*Calculateur!DW109*Calculateur!DY109*VLOOKUP('Données projet'!$B$14,Paramètres!$A$1:$I$88,3,0)*0.475*44/12</f>
        <v>#N/A</v>
      </c>
      <c r="EC109" s="23" t="e">
        <f>EXP(-LN(2)/2)*EC108+(1-EXP(-LN(2)/2))/(LN(2)/2)*DW109*DZ109*VLOOKUP('Données projet'!$B$14,Paramètres!$A$1:$I$88,3,0)*0.475*44/12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68.631036751594138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projet'!$B$15,Paramètres!$A$1:$I$88,3,0)*VLOOKUP('Données projet'!$B$15,Paramètres!$A$1:$I$88,5,0)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projet'!$B$15,Paramètres!$A$1:$I$88,7,0))</f>
        <v>0</v>
      </c>
      <c r="ET109" s="17">
        <f>IF(ISNA(VLOOKUP(A109,'Données projet'!$A$191:$I$211,6,0)),0%,VLOOKUP(A109,'Données projet'!$A$191:$I$211,6,0)*VLOOKUP('Données projet'!$B$15,Paramètres!$A$1:$I$88,7,0))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projet'!$B$15,Paramètres!$A$1:$I$88,3,0)*0.475*44/12</f>
        <v>#N/A</v>
      </c>
      <c r="EW109" s="23" t="e">
        <f>EXP(-LN(2)/25)*EW108+(1-EXP(-LN(2)/25))/(LN(2)/25)*Calculateur!ER109*Calculateur!ET109*VLOOKUP('Données projet'!$B$15,Paramètres!$A$1:$I$88,3,0)*0.475*44/12</f>
        <v>#N/A</v>
      </c>
      <c r="EX109" s="23" t="e">
        <f>EXP(-LN(2)/2)*EX108+(1-EXP(-LN(2)/2))/(LN(2)/2)*ER109*EU109*VLOOKUP('Données projet'!$B$15,Paramètres!$A$1:$I$88,3,0)*0.475*44/12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68.631036751594138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projet'!$B$16,Paramètres!$A$1:$I$88,3,0)*VLOOKUP('Données projet'!$B$16,Paramètres!$A$1:$I$88,5,0)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projet'!$B$16,Paramètres!$A$1:$I$88,7,0))</f>
        <v>0</v>
      </c>
      <c r="FO109" s="17">
        <f>IF(ISNA(VLOOKUP(A109,'Données projet'!$A$217:$I$237,6,0)),0%,VLOOKUP(A109,'Données projet'!$A$217:$I$237,6,0)*VLOOKUP('Données projet'!$B$16,Paramètres!$A$1:$I$88,7,0))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projet'!$B$16,Paramètres!$A$1:$I$88,3,0)*0.475*44/12</f>
        <v>#N/A</v>
      </c>
      <c r="FR109" s="23" t="e">
        <f>EXP(-LN(2)/25)*FR108+(1-EXP(-LN(2)/25))/(LN(2)/25)*Calculateur!FM109*Calculateur!FO109*VLOOKUP('Données projet'!$B$16,Paramètres!$A$1:$I$88,3,0)*0.475*44/12</f>
        <v>#N/A</v>
      </c>
      <c r="FS109" s="23" t="e">
        <f>EXP(-LN(2)/2)*FS108+(1-EXP(-LN(2)/2))/(LN(2)/2)*FM109*FP109*VLOOKUP('Données projet'!$B$16,Paramètres!$A$1:$I$88,3,0)*0.475*44/12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68.631036751594138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projet'!$B$17,Paramètres!$A$1:$I$88,3,0)*VLOOKUP('Données projet'!$B$17,Paramètres!$A$1:$I$88,5,0)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projet'!$B$17,Paramètres!$A$1:$I$88,7,0))</f>
        <v>0</v>
      </c>
      <c r="GJ109" s="17">
        <f>IF(ISNA(VLOOKUP(A109,'Données projet'!$A$243:$I$263,6,0)),0%,VLOOKUP(A109,'Données projet'!$A$243:$I$263,6,0)*VLOOKUP('Données projet'!$B$17,Paramètres!$A$1:$I$88,7,0))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projet'!$B$17,Paramètres!$A$1:$I$88,3,0)*0.475*44/12</f>
        <v>#N/A</v>
      </c>
      <c r="GM109" s="23" t="e">
        <f>EXP(-LN(2)/25)*GM108+(1-EXP(-LN(2)/25))/(LN(2)/25)*Calculateur!GH109*Calculateur!GJ109*VLOOKUP('Données projet'!$B$17,Paramètres!$A$1:$I$88,3,0)*0.475*44/12</f>
        <v>#N/A</v>
      </c>
      <c r="GN109" s="23" t="e">
        <f>EXP(-LN(2)/2)*GN108+(1-EXP(-LN(2)/2))/(LN(2)/2)*GH109*GK109*VLOOKUP('Données projet'!$B$17,Paramètres!$A$1:$I$88,3,0)*0.475*44/12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68.631036751594138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projet'!$B$18,Paramètres!$A$1:$I$88,3,0)*VLOOKUP('Données projet'!$B$18,Paramètres!$A$1:$I$88,5,0)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projet'!$B$18,Paramètres!$A$1:$I$88,7,0))</f>
        <v>0</v>
      </c>
      <c r="HE109" s="17">
        <f>IF(ISNA(VLOOKUP(A109,'Données projet'!$A$269:$I$289,6,0)),0%,VLOOKUP(A109,'Données projet'!$A$269:$I$289,6,0)*VLOOKUP('Données projet'!$B$18,Paramètres!$A$1:$I$88,7,0))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projet'!$B$18,Paramètres!$A$1:$I$88,3,0)*0.475*44/12</f>
        <v>#N/A</v>
      </c>
      <c r="HH109" s="23" t="e">
        <f>EXP(-LN(2)/25)*HH108+(1-EXP(-LN(2)/25))/(LN(2)/25)*Calculateur!HC109*Calculateur!HE109*VLOOKUP('Données projet'!$B$18,Paramètres!$A$1:$I$88,3,0)*0.475*44/12</f>
        <v>#N/A</v>
      </c>
      <c r="HI109" s="23" t="e">
        <f>EXP(-LN(2)/2)*HI108+(1-EXP(-LN(2)/2))/(LN(2)/2)*HC109*HF109*VLOOKUP('Données projet'!$B$18,Paramètres!$A$1:$I$88,3,0)*0.475*44/12</f>
        <v>#N/A</v>
      </c>
      <c r="HJ109" s="24" t="e">
        <f t="shared" si="84"/>
        <v>#N/A</v>
      </c>
    </row>
    <row r="110" spans="1:218" s="5" customFormat="1" x14ac:dyDescent="0.35">
      <c r="A110" s="11">
        <f t="shared" si="85"/>
        <v>107</v>
      </c>
      <c r="B110" s="77">
        <f>'Scénario référence'!$B$16*5+'Scénario référence'!$B$17*0+'Scénario référence'!$B$18*5</f>
        <v>1.75</v>
      </c>
      <c r="C110" s="20">
        <f>Calculateur!C109+'Scénario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10" s="12">
        <f t="shared" si="86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6.416666666666667</v>
      </c>
      <c r="H110" s="70">
        <f t="shared" si="56"/>
        <v>231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68.654785203410668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3.4106051316484809E-13</v>
      </c>
      <c r="O110" s="14">
        <f>N110*VLOOKUP('Données projet'!$B$9,Paramètres!$A$1:$I$88,3,0)*VLOOKUP('Données projet'!$B$9,Paramètres!$A$1:$I$88,5,0)</f>
        <v>1.9065282685915009E-13</v>
      </c>
      <c r="P110" s="14">
        <f t="shared" si="87"/>
        <v>2.6568987209435707E-12</v>
      </c>
      <c r="Q110" s="22">
        <f t="shared" si="107"/>
        <v>4.959485612423072E-12</v>
      </c>
      <c r="R110" s="62">
        <f t="shared" si="55"/>
        <v>288.4008790791774</v>
      </c>
      <c r="S110" s="62">
        <f ca="1">AVERAGE(OFFSET($R$3,0,0,'Données projet'!$E$9+1,1))-AVERAGE(OFFSET($H$3,0,0,'Données projet'!$E$9+1,1))</f>
        <v>341.05096821796769</v>
      </c>
      <c r="T110" s="62">
        <f t="shared" si="88"/>
        <v>400.72519822215168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projet'!$B$9,Paramètres!$A$1:$I$88,7,0))</f>
        <v>0</v>
      </c>
      <c r="X110" s="17">
        <f>IF(ISNA(VLOOKUP(A110,'Données projet'!$A$35:$I$55,6,0)),0%,VLOOKUP(A110,'Données projet'!$A$35:$I$55,6,0)*VLOOKUP('Données projet'!$B$9,Paramètres!$A$1:$I$88,7,0))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projet'!$B$9,Paramètres!$A$1:$I$88,3,0)*0.475*44/12</f>
        <v>94.469724204144612</v>
      </c>
      <c r="AA110" s="23">
        <f>EXP(-LN(2)/25)*AA109+(1-EXP(-LN(2)/25))/(LN(2)/25)*Calculateur!V110*Calculateur!X110*VLOOKUP('Données projet'!$B$9,Paramètres!$A$1:$I$88,3,0)*0.475*44/12</f>
        <v>36.004712727489164</v>
      </c>
      <c r="AB110" s="23">
        <f>EXP(-LN(2)/2)*AB109+(1-EXP(-LN(2)/2))/(LN(2)/2)*V110*Y110*VLOOKUP('Données projet'!$B$9,Paramètres!$A$1:$I$88,3,0)*0.475*44/12</f>
        <v>0</v>
      </c>
      <c r="AC110" s="24">
        <f t="shared" si="57"/>
        <v>130.47443693163376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68.654785203410668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5.6843418860808015E-14</v>
      </c>
      <c r="AJ110" s="14">
        <f>AI110*VLOOKUP('Données projet'!$B$10,Paramètres!$A$1:$I$88,3,0)*VLOOKUP('Données projet'!$B$10,Paramètres!$A$1:$I$88,5,0)</f>
        <v>3.3992364478763198E-14</v>
      </c>
      <c r="AK110" s="14">
        <f t="shared" si="89"/>
        <v>5.790027782444094E-13</v>
      </c>
      <c r="AL110" s="22">
        <f t="shared" si="58"/>
        <v>1.0676332069095257E-12</v>
      </c>
      <c r="AM110" s="62">
        <f t="shared" si="59"/>
        <v>288.40087907917354</v>
      </c>
      <c r="AN110" s="62">
        <f ca="1">AVERAGE(OFFSET($AM$3,0,0,'Données projet'!$E$10+1,1))-AVERAGE(OFFSET($H$3,0,0,'Données projet'!$E$10+1,1))</f>
        <v>231.96474801342879</v>
      </c>
      <c r="AO110" s="62">
        <f t="shared" si="90"/>
        <v>237.75726086383668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projet'!$B$10,Paramètres!$A$1:$I$88,7,0))</f>
        <v>0</v>
      </c>
      <c r="AS110" s="17">
        <f>IF(ISNA(VLOOKUP(A110,'Données projet'!$A$61:$I$81,6,0)),0%,VLOOKUP(A110,'Données projet'!$A$61:$I$81,6,0)*VLOOKUP('Données projet'!$B$10,Paramètres!$A$1:$I$88,7,0))</f>
        <v>0</v>
      </c>
      <c r="AT110" s="17">
        <f>IF(ISNA(VLOOKUP(A110,'Données projet'!$A$61:$I$81,7,0)),0%,VLOOKUP(A110,'Données projet'!$A$61:$I$81,7,0))</f>
        <v>0</v>
      </c>
      <c r="AU110" s="23">
        <f>EXP(-LN(2)/35)*AU109+(1-EXP(-LN(2)/35))/(LN(2)/35)*AQ110*AR110*VLOOKUP('Données projet'!$B$10,Paramètres!$A$1:$I$88,3,0)*0.475*44/12</f>
        <v>37.254091454347837</v>
      </c>
      <c r="AV110" s="23">
        <f>EXP(-LN(2)/25)*AV109+(1-EXP(-LN(2)/25))/(LN(2)/25)*Calculateur!AQ110*Calculateur!AS110*VLOOKUP('Données projet'!$B$10,Paramètres!$A$1:$I$88,3,0)*0.475*44/12</f>
        <v>15.203879857641214</v>
      </c>
      <c r="AW110" s="23">
        <f>EXP(-LN(2)/2)*AW109+(1-EXP(-LN(2)/2))/(LN(2)/2)*AQ110*AT110*VLOOKUP('Données projet'!$B$10,Paramètres!$A$1:$I$88,3,0)*0.475*44/12</f>
        <v>0</v>
      </c>
      <c r="AX110" s="23">
        <f t="shared" si="60"/>
        <v>52.457971311989049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68.654785203410668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6.8212102632969618E-13</v>
      </c>
      <c r="BE110" s="14">
        <f>BD110*VLOOKUP('Données projet'!$B$11,Paramètres!$A$1:$I$88,3,0)*VLOOKUP('Données projet'!$B$11,Paramètres!$A$1:$I$88,5,0)</f>
        <v>3.1923264032229784E-13</v>
      </c>
      <c r="BF110" s="14">
        <f t="shared" si="91"/>
        <v>4.1896839804541558E-12</v>
      </c>
      <c r="BG110" s="22">
        <f t="shared" si="61"/>
        <v>7.8530297811856558E-12</v>
      </c>
      <c r="BH110" s="62">
        <f t="shared" si="62"/>
        <v>288.4008790791803</v>
      </c>
      <c r="BI110" s="62">
        <f ca="1">AVERAGE(OFFSET($BH$3,0,0,'Données projet'!$E$11+1,1))-AVERAGE(OFFSET($H$3,0,0,'Données projet'!$E$11+1,1))</f>
        <v>364.96458059055169</v>
      </c>
      <c r="BJ110" s="62">
        <f t="shared" si="92"/>
        <v>246.27159120786257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projet'!$B$11,Paramètres!$A$1:$I$88,7,0))</f>
        <v>0</v>
      </c>
      <c r="BN110" s="17">
        <f>IF(ISNA(VLOOKUP(A110,'Données projet'!$A$87:$I$107,6,0)),0%,VLOOKUP(A110,'Données projet'!$A$87:$I$107,6,0)*VLOOKUP('Données projet'!$B$11,Paramètres!$A$1:$I$88,7,0))</f>
        <v>0</v>
      </c>
      <c r="BO110" s="17">
        <f>IF(ISNA(VLOOKUP(A110,'Données projet'!$A$87:$I$107,7,0)),0%,VLOOKUP(A110,'Données projet'!$A$87:$I$107,7,0))</f>
        <v>0</v>
      </c>
      <c r="BP110" s="23">
        <f>EXP(-LN(2)/35)*BP109+(1-EXP(-LN(2)/35))/(LN(2)/35)*BL110*BM110*VLOOKUP('Données projet'!$B$11,Paramètres!$A$1:$I$88,3,0)*0.475*44/12</f>
        <v>207.24638376635664</v>
      </c>
      <c r="BQ110" s="23">
        <f>EXP(-LN(2)/25)*BQ109+(1-EXP(-LN(2)/25))/(LN(2)/25)*Calculateur!BL110*Calculateur!BN110*VLOOKUP('Données projet'!$B$11,Paramètres!$A$1:$I$88,3,0)*0.475*44/12</f>
        <v>83.018489018811223</v>
      </c>
      <c r="BR110" s="23">
        <f>EXP(-LN(2)/2)*BR109+(1-EXP(-LN(2)/2))/(LN(2)/2)*BL110*BO110*VLOOKUP('Données projet'!$B$11,Paramètres!$A$1:$I$88,3,0)*0.475*44/12</f>
        <v>0</v>
      </c>
      <c r="BS110" s="24">
        <f t="shared" si="63"/>
        <v>290.26487278516788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68.654785203410668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-1.1368683772161603E-13</v>
      </c>
      <c r="BZ110" s="14">
        <f>BY110*VLOOKUP('Données projet'!$B$12,Paramètres!$A$1:$I$88,3,0)*VLOOKUP('Données projet'!$B$12,Paramètres!$A$1:$I$88,5,0)</f>
        <v>-1.1527845344971866E-13</v>
      </c>
      <c r="CA110" s="14" t="e">
        <f t="shared" si="93"/>
        <v>#NUM!</v>
      </c>
      <c r="CB110" s="22" t="e">
        <f t="shared" si="64"/>
        <v>#NUM!</v>
      </c>
      <c r="CC110" s="62" t="e">
        <f t="shared" si="65"/>
        <v>#NUM!</v>
      </c>
      <c r="CD110" s="62">
        <f ca="1">AVERAGE(OFFSET($CC$3,0,0,'Données projet'!$E$12+1,1))-AVERAGE(OFFSET($H$3,0,0,'Données projet'!$E$12+1,1))</f>
        <v>310.53598044763282</v>
      </c>
      <c r="CE110" s="62">
        <f t="shared" si="94"/>
        <v>322.01096634040596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projet'!$B$12,Paramètres!$A$1:$I$88,7,0))</f>
        <v>0</v>
      </c>
      <c r="CI110" s="17">
        <f>IF(ISNA(VLOOKUP(A110,'Données projet'!$A$113:$I$133,6,0)),0%,VLOOKUP(A110,'Données projet'!$A$113:$I$133,6,0)*VLOOKUP('Données projet'!$B$12,Paramètres!$A$1:$I$88,7,0))</f>
        <v>0</v>
      </c>
      <c r="CJ110" s="17">
        <f>IF(ISNA(VLOOKUP(A110,'Données projet'!$A$113:$I$133,7,0)),0%,VLOOKUP(A110,'Données projet'!$A$113:$I$133,7,0))</f>
        <v>0</v>
      </c>
      <c r="CK110" s="23">
        <f>EXP(-LN(2)/35)*CK109+(1-EXP(-LN(2)/35))/(LN(2)/35)*CG110*CH110*VLOOKUP('Données projet'!$B$12,Paramètres!$A$1:$I$88,3,0)*0.475*44/12</f>
        <v>28.503914306206891</v>
      </c>
      <c r="CL110" s="23">
        <f>EXP(-LN(2)/25)*CL109+(1-EXP(-LN(2)/25))/(LN(2)/25)*Calculateur!CG110*Calculateur!CI110*VLOOKUP('Données projet'!$B$12,Paramètres!$A$1:$I$88,3,0)*0.475*44/12</f>
        <v>0</v>
      </c>
      <c r="CM110" s="23">
        <f>EXP(-LN(2)/2)*CM109+(1-EXP(-LN(2)/2))/(LN(2)/2)*CG110*CJ110*VLOOKUP('Données projet'!$B$12,Paramètres!$A$1:$I$88,3,0)*0.475*44/12</f>
        <v>0</v>
      </c>
      <c r="CN110" s="24">
        <f t="shared" si="66"/>
        <v>28.503914306206891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68.654785203410668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projet'!$B$13,Paramètres!$A$1:$I$88,3,0)*VLOOKUP('Données projet'!$B$13,Paramètres!$A$1:$I$88,5,0)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projet'!$B$13,Paramètres!$A$1:$I$88,7,0))</f>
        <v>0</v>
      </c>
      <c r="DD110" s="17">
        <f>IF(ISNA(VLOOKUP(A110,'Données projet'!$A$139:$I$159,6,0)),0%,VLOOKUP(A110,'Données projet'!$A$139:$I$159,6,0)*VLOOKUP('Données projet'!$B$13,Paramètres!$A$1:$I$88,7,0))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projet'!$B$13,Paramètres!$A$1:$I$88,3,0)*0.475*44/12</f>
        <v>#N/A</v>
      </c>
      <c r="DG110" s="23" t="e">
        <f>EXP(-LN(2)/25)*DG109+(1-EXP(-LN(2)/25))/(LN(2)/25)*Calculateur!DB110*Calculateur!DD110*VLOOKUP('Données projet'!$B$13,Paramètres!$A$1:$I$88,3,0)*0.475*44/12</f>
        <v>#N/A</v>
      </c>
      <c r="DH110" s="23" t="e">
        <f>EXP(-LN(2)/2)*DH109+(1-EXP(-LN(2)/2))/(LN(2)/2)*DB110*DE110*VLOOKUP('Données projet'!$B$13,Paramètres!$A$1:$I$88,3,0)*0.475*44/12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68.654785203410668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projet'!$B$14,Paramètres!$A$1:$I$88,3,0)*VLOOKUP('Données projet'!$B$14,Paramètres!$A$1:$I$88,5,0)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projet'!$B$14,Paramètres!$A$1:$I$88,7,0))</f>
        <v>0</v>
      </c>
      <c r="DY110" s="17">
        <f>IF(ISNA(VLOOKUP(A110,'Données projet'!$A$165:$I$185,6,0)),0%,VLOOKUP(A110,'Données projet'!$A$165:$I$185,6,0)*VLOOKUP('Données projet'!$B$14,Paramètres!$A$1:$I$88,7,0))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projet'!$B$14,Paramètres!$A$1:$I$88,3,0)*0.475*44/12</f>
        <v>#N/A</v>
      </c>
      <c r="EB110" s="23" t="e">
        <f>EXP(-LN(2)/25)*EB109+(1-EXP(-LN(2)/25))/(LN(2)/25)*Calculateur!DW110*Calculateur!DY110*VLOOKUP('Données projet'!$B$14,Paramètres!$A$1:$I$88,3,0)*0.475*44/12</f>
        <v>#N/A</v>
      </c>
      <c r="EC110" s="23" t="e">
        <f>EXP(-LN(2)/2)*EC109+(1-EXP(-LN(2)/2))/(LN(2)/2)*DW110*DZ110*VLOOKUP('Données projet'!$B$14,Paramètres!$A$1:$I$88,3,0)*0.475*44/12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68.654785203410668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projet'!$B$15,Paramètres!$A$1:$I$88,3,0)*VLOOKUP('Données projet'!$B$15,Paramètres!$A$1:$I$88,5,0)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projet'!$B$15,Paramètres!$A$1:$I$88,7,0))</f>
        <v>0</v>
      </c>
      <c r="ET110" s="17">
        <f>IF(ISNA(VLOOKUP(A110,'Données projet'!$A$191:$I$211,6,0)),0%,VLOOKUP(A110,'Données projet'!$A$191:$I$211,6,0)*VLOOKUP('Données projet'!$B$15,Paramètres!$A$1:$I$88,7,0))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projet'!$B$15,Paramètres!$A$1:$I$88,3,0)*0.475*44/12</f>
        <v>#N/A</v>
      </c>
      <c r="EW110" s="23" t="e">
        <f>EXP(-LN(2)/25)*EW109+(1-EXP(-LN(2)/25))/(LN(2)/25)*Calculateur!ER110*Calculateur!ET110*VLOOKUP('Données projet'!$B$15,Paramètres!$A$1:$I$88,3,0)*0.475*44/12</f>
        <v>#N/A</v>
      </c>
      <c r="EX110" s="23" t="e">
        <f>EXP(-LN(2)/2)*EX109+(1-EXP(-LN(2)/2))/(LN(2)/2)*ER110*EU110*VLOOKUP('Données projet'!$B$15,Paramètres!$A$1:$I$88,3,0)*0.475*44/12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68.654785203410668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projet'!$B$16,Paramètres!$A$1:$I$88,3,0)*VLOOKUP('Données projet'!$B$16,Paramètres!$A$1:$I$88,5,0)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projet'!$B$16,Paramètres!$A$1:$I$88,7,0))</f>
        <v>0</v>
      </c>
      <c r="FO110" s="17">
        <f>IF(ISNA(VLOOKUP(A110,'Données projet'!$A$217:$I$237,6,0)),0%,VLOOKUP(A110,'Données projet'!$A$217:$I$237,6,0)*VLOOKUP('Données projet'!$B$16,Paramètres!$A$1:$I$88,7,0))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projet'!$B$16,Paramètres!$A$1:$I$88,3,0)*0.475*44/12</f>
        <v>#N/A</v>
      </c>
      <c r="FR110" s="23" t="e">
        <f>EXP(-LN(2)/25)*FR109+(1-EXP(-LN(2)/25))/(LN(2)/25)*Calculateur!FM110*Calculateur!FO110*VLOOKUP('Données projet'!$B$16,Paramètres!$A$1:$I$88,3,0)*0.475*44/12</f>
        <v>#N/A</v>
      </c>
      <c r="FS110" s="23" t="e">
        <f>EXP(-LN(2)/2)*FS109+(1-EXP(-LN(2)/2))/(LN(2)/2)*FM110*FP110*VLOOKUP('Données projet'!$B$16,Paramètres!$A$1:$I$88,3,0)*0.475*44/12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68.654785203410668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projet'!$B$17,Paramètres!$A$1:$I$88,3,0)*VLOOKUP('Données projet'!$B$17,Paramètres!$A$1:$I$88,5,0)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projet'!$B$17,Paramètres!$A$1:$I$88,7,0))</f>
        <v>0</v>
      </c>
      <c r="GJ110" s="17">
        <f>IF(ISNA(VLOOKUP(A110,'Données projet'!$A$243:$I$263,6,0)),0%,VLOOKUP(A110,'Données projet'!$A$243:$I$263,6,0)*VLOOKUP('Données projet'!$B$17,Paramètres!$A$1:$I$88,7,0))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projet'!$B$17,Paramètres!$A$1:$I$88,3,0)*0.475*44/12</f>
        <v>#N/A</v>
      </c>
      <c r="GM110" s="23" t="e">
        <f>EXP(-LN(2)/25)*GM109+(1-EXP(-LN(2)/25))/(LN(2)/25)*Calculateur!GH110*Calculateur!GJ110*VLOOKUP('Données projet'!$B$17,Paramètres!$A$1:$I$88,3,0)*0.475*44/12</f>
        <v>#N/A</v>
      </c>
      <c r="GN110" s="23" t="e">
        <f>EXP(-LN(2)/2)*GN109+(1-EXP(-LN(2)/2))/(LN(2)/2)*GH110*GK110*VLOOKUP('Données projet'!$B$17,Paramètres!$A$1:$I$88,3,0)*0.475*44/12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68.654785203410668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projet'!$B$18,Paramètres!$A$1:$I$88,3,0)*VLOOKUP('Données projet'!$B$18,Paramètres!$A$1:$I$88,5,0)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projet'!$B$18,Paramètres!$A$1:$I$88,7,0))</f>
        <v>0</v>
      </c>
      <c r="HE110" s="17">
        <f>IF(ISNA(VLOOKUP(A110,'Données projet'!$A$269:$I$289,6,0)),0%,VLOOKUP(A110,'Données projet'!$A$269:$I$289,6,0)*VLOOKUP('Données projet'!$B$18,Paramètres!$A$1:$I$88,7,0))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projet'!$B$18,Paramètres!$A$1:$I$88,3,0)*0.475*44/12</f>
        <v>#N/A</v>
      </c>
      <c r="HH110" s="23" t="e">
        <f>EXP(-LN(2)/25)*HH109+(1-EXP(-LN(2)/25))/(LN(2)/25)*Calculateur!HC110*Calculateur!HE110*VLOOKUP('Données projet'!$B$18,Paramètres!$A$1:$I$88,3,0)*0.475*44/12</f>
        <v>#N/A</v>
      </c>
      <c r="HI110" s="23" t="e">
        <f>EXP(-LN(2)/2)*HI109+(1-EXP(-LN(2)/2))/(LN(2)/2)*HC110*HF110*VLOOKUP('Données projet'!$B$18,Paramètres!$A$1:$I$88,3,0)*0.475*44/12</f>
        <v>#N/A</v>
      </c>
      <c r="HJ110" s="24" t="e">
        <f t="shared" si="84"/>
        <v>#N/A</v>
      </c>
    </row>
    <row r="111" spans="1:218" s="5" customFormat="1" x14ac:dyDescent="0.35">
      <c r="A111" s="11">
        <f t="shared" si="85"/>
        <v>108</v>
      </c>
      <c r="B111" s="77">
        <f>'Scénario référence'!$B$16*5+'Scénario référence'!$B$17*0+'Scénario référence'!$B$18*5</f>
        <v>1.75</v>
      </c>
      <c r="C111" s="20">
        <f>Calculateur!C110+'Scénario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11" s="12">
        <f t="shared" si="86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6.416666666666667</v>
      </c>
      <c r="H111" s="70">
        <f t="shared" si="56"/>
        <v>231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68.678121672681755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3.4106051316484809E-13</v>
      </c>
      <c r="O111" s="14">
        <f>N111*VLOOKUP('Données projet'!$B$9,Paramètres!$A$1:$I$88,3,0)*VLOOKUP('Données projet'!$B$9,Paramètres!$A$1:$I$88,5,0)</f>
        <v>1.9065282685915009E-13</v>
      </c>
      <c r="P111" s="14">
        <f t="shared" si="87"/>
        <v>2.6568987209435707E-12</v>
      </c>
      <c r="Q111" s="22">
        <f t="shared" si="107"/>
        <v>4.959485612423072E-12</v>
      </c>
      <c r="R111" s="62">
        <f t="shared" si="55"/>
        <v>288.4864461331714</v>
      </c>
      <c r="S111" s="62">
        <f ca="1">AVERAGE(OFFSET($R$3,0,0,'Données projet'!$E$9+1,1))-AVERAGE(OFFSET($H$3,0,0,'Données projet'!$E$9+1,1))</f>
        <v>341.05096821796769</v>
      </c>
      <c r="T111" s="62">
        <f t="shared" si="88"/>
        <v>400.72519822215168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projet'!$B$9,Paramètres!$A$1:$I$88,7,0))</f>
        <v>0</v>
      </c>
      <c r="X111" s="17">
        <f>IF(ISNA(VLOOKUP(A111,'Données projet'!$A$35:$I$55,6,0)),0%,VLOOKUP(A111,'Données projet'!$A$35:$I$55,6,0)*VLOOKUP('Données projet'!$B$9,Paramètres!$A$1:$I$88,7,0))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projet'!$B$9,Paramètres!$A$1:$I$88,3,0)*0.475*44/12</f>
        <v>92.617230533343516</v>
      </c>
      <c r="AA111" s="23">
        <f>EXP(-LN(2)/25)*AA110+(1-EXP(-LN(2)/25))/(LN(2)/25)*Calculateur!V111*Calculateur!X111*VLOOKUP('Données projet'!$B$9,Paramètres!$A$1:$I$88,3,0)*0.475*44/12</f>
        <v>35.020161964550418</v>
      </c>
      <c r="AB111" s="23">
        <f>EXP(-LN(2)/2)*AB110+(1-EXP(-LN(2)/2))/(LN(2)/2)*V111*Y111*VLOOKUP('Données projet'!$B$9,Paramètres!$A$1:$I$88,3,0)*0.475*44/12</f>
        <v>0</v>
      </c>
      <c r="AC111" s="24">
        <f t="shared" si="57"/>
        <v>127.63739249789393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68.678121672681755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5.6843418860808015E-14</v>
      </c>
      <c r="AJ111" s="14">
        <f>AI111*VLOOKUP('Données projet'!$B$10,Paramètres!$A$1:$I$88,3,0)*VLOOKUP('Données projet'!$B$10,Paramètres!$A$1:$I$88,5,0)</f>
        <v>3.3992364478763198E-14</v>
      </c>
      <c r="AK111" s="14">
        <f t="shared" si="89"/>
        <v>5.790027782444094E-13</v>
      </c>
      <c r="AL111" s="22">
        <f t="shared" si="58"/>
        <v>1.0676332069095257E-12</v>
      </c>
      <c r="AM111" s="62">
        <f t="shared" si="59"/>
        <v>288.48644613316753</v>
      </c>
      <c r="AN111" s="62">
        <f ca="1">AVERAGE(OFFSET($AM$3,0,0,'Données projet'!$E$10+1,1))-AVERAGE(OFFSET($H$3,0,0,'Données projet'!$E$10+1,1))</f>
        <v>231.96474801342879</v>
      </c>
      <c r="AO111" s="62">
        <f t="shared" si="90"/>
        <v>237.75726086383668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projet'!$B$10,Paramètres!$A$1:$I$88,7,0))</f>
        <v>0</v>
      </c>
      <c r="AS111" s="17">
        <f>IF(ISNA(VLOOKUP(A111,'Données projet'!$A$61:$I$81,6,0)),0%,VLOOKUP(A111,'Données projet'!$A$61:$I$81,6,0)*VLOOKUP('Données projet'!$B$10,Paramètres!$A$1:$I$88,7,0))</f>
        <v>0</v>
      </c>
      <c r="AT111" s="17">
        <f>IF(ISNA(VLOOKUP(A111,'Données projet'!$A$61:$I$81,7,0)),0%,VLOOKUP(A111,'Données projet'!$A$61:$I$81,7,0))</f>
        <v>0</v>
      </c>
      <c r="AU111" s="23">
        <f>EXP(-LN(2)/35)*AU110+(1-EXP(-LN(2)/35))/(LN(2)/35)*AQ111*AR111*VLOOKUP('Données projet'!$B$10,Paramètres!$A$1:$I$88,3,0)*0.475*44/12</f>
        <v>36.52356144368018</v>
      </c>
      <c r="AV111" s="23">
        <f>EXP(-LN(2)/25)*AV110+(1-EXP(-LN(2)/25))/(LN(2)/25)*Calculateur!AQ111*Calculateur!AS111*VLOOKUP('Données projet'!$B$10,Paramètres!$A$1:$I$88,3,0)*0.475*44/12</f>
        <v>14.788128963396723</v>
      </c>
      <c r="AW111" s="23">
        <f>EXP(-LN(2)/2)*AW110+(1-EXP(-LN(2)/2))/(LN(2)/2)*AQ111*AT111*VLOOKUP('Données projet'!$B$10,Paramètres!$A$1:$I$88,3,0)*0.475*44/12</f>
        <v>0</v>
      </c>
      <c r="AX111" s="23">
        <f t="shared" si="60"/>
        <v>51.311690407076902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68.678121672681755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6.8212102632969618E-13</v>
      </c>
      <c r="BE111" s="14">
        <f>BD111*VLOOKUP('Données projet'!$B$11,Paramètres!$A$1:$I$88,3,0)*VLOOKUP('Données projet'!$B$11,Paramètres!$A$1:$I$88,5,0)</f>
        <v>3.1923264032229784E-13</v>
      </c>
      <c r="BF111" s="14">
        <f t="shared" si="91"/>
        <v>4.1896839804541558E-12</v>
      </c>
      <c r="BG111" s="22">
        <f t="shared" si="61"/>
        <v>7.8530297811856558E-12</v>
      </c>
      <c r="BH111" s="62">
        <f t="shared" si="62"/>
        <v>288.4864461331743</v>
      </c>
      <c r="BI111" s="62">
        <f ca="1">AVERAGE(OFFSET($BH$3,0,0,'Données projet'!$E$11+1,1))-AVERAGE(OFFSET($H$3,0,0,'Données projet'!$E$11+1,1))</f>
        <v>364.96458059055169</v>
      </c>
      <c r="BJ111" s="62">
        <f t="shared" si="92"/>
        <v>246.27159120786257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projet'!$B$11,Paramètres!$A$1:$I$88,7,0))</f>
        <v>0</v>
      </c>
      <c r="BN111" s="17">
        <f>IF(ISNA(VLOOKUP(A111,'Données projet'!$A$87:$I$107,6,0)),0%,VLOOKUP(A111,'Données projet'!$A$87:$I$107,6,0)*VLOOKUP('Données projet'!$B$11,Paramètres!$A$1:$I$88,7,0))</f>
        <v>0</v>
      </c>
      <c r="BO111" s="17">
        <f>IF(ISNA(VLOOKUP(A111,'Données projet'!$A$87:$I$107,7,0)),0%,VLOOKUP(A111,'Données projet'!$A$87:$I$107,7,0))</f>
        <v>0</v>
      </c>
      <c r="BP111" s="23">
        <f>EXP(-LN(2)/35)*BP110+(1-EXP(-LN(2)/35))/(LN(2)/35)*BL111*BM111*VLOOKUP('Données projet'!$B$11,Paramètres!$A$1:$I$88,3,0)*0.475*44/12</f>
        <v>203.18240858851075</v>
      </c>
      <c r="BQ111" s="23">
        <f>EXP(-LN(2)/25)*BQ110+(1-EXP(-LN(2)/25))/(LN(2)/25)*Calculateur!BL111*Calculateur!BN111*VLOOKUP('Données projet'!$B$11,Paramètres!$A$1:$I$88,3,0)*0.475*44/12</f>
        <v>80.748344070839238</v>
      </c>
      <c r="BR111" s="23">
        <f>EXP(-LN(2)/2)*BR110+(1-EXP(-LN(2)/2))/(LN(2)/2)*BL111*BO111*VLOOKUP('Données projet'!$B$11,Paramètres!$A$1:$I$88,3,0)*0.475*44/12</f>
        <v>0</v>
      </c>
      <c r="BS111" s="24">
        <f t="shared" si="63"/>
        <v>283.93075265934999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68.678121672681755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-1.1368683772161603E-13</v>
      </c>
      <c r="BZ111" s="14">
        <f>BY111*VLOOKUP('Données projet'!$B$12,Paramètres!$A$1:$I$88,3,0)*VLOOKUP('Données projet'!$B$12,Paramètres!$A$1:$I$88,5,0)</f>
        <v>-1.1527845344971866E-13</v>
      </c>
      <c r="CA111" s="14" t="e">
        <f t="shared" si="93"/>
        <v>#NUM!</v>
      </c>
      <c r="CB111" s="22" t="e">
        <f t="shared" si="64"/>
        <v>#NUM!</v>
      </c>
      <c r="CC111" s="62" t="e">
        <f t="shared" si="65"/>
        <v>#NUM!</v>
      </c>
      <c r="CD111" s="62">
        <f ca="1">AVERAGE(OFFSET($CC$3,0,0,'Données projet'!$E$12+1,1))-AVERAGE(OFFSET($H$3,0,0,'Données projet'!$E$12+1,1))</f>
        <v>310.53598044763282</v>
      </c>
      <c r="CE111" s="62">
        <f t="shared" si="94"/>
        <v>322.01096634040596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projet'!$B$12,Paramètres!$A$1:$I$88,7,0))</f>
        <v>0</v>
      </c>
      <c r="CI111" s="17">
        <f>IF(ISNA(VLOOKUP(A111,'Données projet'!$A$113:$I$133,6,0)),0%,VLOOKUP(A111,'Données projet'!$A$113:$I$133,6,0)*VLOOKUP('Données projet'!$B$12,Paramètres!$A$1:$I$88,7,0))</f>
        <v>0</v>
      </c>
      <c r="CJ111" s="17">
        <f>IF(ISNA(VLOOKUP(A111,'Données projet'!$A$113:$I$133,7,0)),0%,VLOOKUP(A111,'Données projet'!$A$113:$I$133,7,0))</f>
        <v>0</v>
      </c>
      <c r="CK111" s="23">
        <f>EXP(-LN(2)/35)*CK110+(1-EXP(-LN(2)/35))/(LN(2)/35)*CG111*CH111*VLOOKUP('Données projet'!$B$12,Paramètres!$A$1:$I$88,3,0)*0.475*44/12</f>
        <v>27.944969932333208</v>
      </c>
      <c r="CL111" s="23">
        <f>EXP(-LN(2)/25)*CL110+(1-EXP(-LN(2)/25))/(LN(2)/25)*Calculateur!CG111*Calculateur!CI111*VLOOKUP('Données projet'!$B$12,Paramètres!$A$1:$I$88,3,0)*0.475*44/12</f>
        <v>0</v>
      </c>
      <c r="CM111" s="23">
        <f>EXP(-LN(2)/2)*CM110+(1-EXP(-LN(2)/2))/(LN(2)/2)*CG111*CJ111*VLOOKUP('Données projet'!$B$12,Paramètres!$A$1:$I$88,3,0)*0.475*44/12</f>
        <v>0</v>
      </c>
      <c r="CN111" s="24">
        <f t="shared" si="66"/>
        <v>27.944969932333208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68.678121672681755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projet'!$B$13,Paramètres!$A$1:$I$88,3,0)*VLOOKUP('Données projet'!$B$13,Paramètres!$A$1:$I$88,5,0)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projet'!$B$13,Paramètres!$A$1:$I$88,7,0))</f>
        <v>0</v>
      </c>
      <c r="DD111" s="17">
        <f>IF(ISNA(VLOOKUP(A111,'Données projet'!$A$139:$I$159,6,0)),0%,VLOOKUP(A111,'Données projet'!$A$139:$I$159,6,0)*VLOOKUP('Données projet'!$B$13,Paramètres!$A$1:$I$88,7,0))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projet'!$B$13,Paramètres!$A$1:$I$88,3,0)*0.475*44/12</f>
        <v>#N/A</v>
      </c>
      <c r="DG111" s="23" t="e">
        <f>EXP(-LN(2)/25)*DG110+(1-EXP(-LN(2)/25))/(LN(2)/25)*Calculateur!DB111*Calculateur!DD111*VLOOKUP('Données projet'!$B$13,Paramètres!$A$1:$I$88,3,0)*0.475*44/12</f>
        <v>#N/A</v>
      </c>
      <c r="DH111" s="23" t="e">
        <f>EXP(-LN(2)/2)*DH110+(1-EXP(-LN(2)/2))/(LN(2)/2)*DB111*DE111*VLOOKUP('Données projet'!$B$13,Paramètres!$A$1:$I$88,3,0)*0.475*44/12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68.678121672681755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projet'!$B$14,Paramètres!$A$1:$I$88,3,0)*VLOOKUP('Données projet'!$B$14,Paramètres!$A$1:$I$88,5,0)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projet'!$B$14,Paramètres!$A$1:$I$88,7,0))</f>
        <v>0</v>
      </c>
      <c r="DY111" s="17">
        <f>IF(ISNA(VLOOKUP(A111,'Données projet'!$A$165:$I$185,6,0)),0%,VLOOKUP(A111,'Données projet'!$A$165:$I$185,6,0)*VLOOKUP('Données projet'!$B$14,Paramètres!$A$1:$I$88,7,0))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projet'!$B$14,Paramètres!$A$1:$I$88,3,0)*0.475*44/12</f>
        <v>#N/A</v>
      </c>
      <c r="EB111" s="23" t="e">
        <f>EXP(-LN(2)/25)*EB110+(1-EXP(-LN(2)/25))/(LN(2)/25)*Calculateur!DW111*Calculateur!DY111*VLOOKUP('Données projet'!$B$14,Paramètres!$A$1:$I$88,3,0)*0.475*44/12</f>
        <v>#N/A</v>
      </c>
      <c r="EC111" s="23" t="e">
        <f>EXP(-LN(2)/2)*EC110+(1-EXP(-LN(2)/2))/(LN(2)/2)*DW111*DZ111*VLOOKUP('Données projet'!$B$14,Paramètres!$A$1:$I$88,3,0)*0.475*44/12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68.678121672681755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projet'!$B$15,Paramètres!$A$1:$I$88,3,0)*VLOOKUP('Données projet'!$B$15,Paramètres!$A$1:$I$88,5,0)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projet'!$B$15,Paramètres!$A$1:$I$88,7,0))</f>
        <v>0</v>
      </c>
      <c r="ET111" s="17">
        <f>IF(ISNA(VLOOKUP(A111,'Données projet'!$A$191:$I$211,6,0)),0%,VLOOKUP(A111,'Données projet'!$A$191:$I$211,6,0)*VLOOKUP('Données projet'!$B$15,Paramètres!$A$1:$I$88,7,0))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projet'!$B$15,Paramètres!$A$1:$I$88,3,0)*0.475*44/12</f>
        <v>#N/A</v>
      </c>
      <c r="EW111" s="23" t="e">
        <f>EXP(-LN(2)/25)*EW110+(1-EXP(-LN(2)/25))/(LN(2)/25)*Calculateur!ER111*Calculateur!ET111*VLOOKUP('Données projet'!$B$15,Paramètres!$A$1:$I$88,3,0)*0.475*44/12</f>
        <v>#N/A</v>
      </c>
      <c r="EX111" s="23" t="e">
        <f>EXP(-LN(2)/2)*EX110+(1-EXP(-LN(2)/2))/(LN(2)/2)*ER111*EU111*VLOOKUP('Données projet'!$B$15,Paramètres!$A$1:$I$88,3,0)*0.475*44/12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68.678121672681755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projet'!$B$16,Paramètres!$A$1:$I$88,3,0)*VLOOKUP('Données projet'!$B$16,Paramètres!$A$1:$I$88,5,0)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projet'!$B$16,Paramètres!$A$1:$I$88,7,0))</f>
        <v>0</v>
      </c>
      <c r="FO111" s="17">
        <f>IF(ISNA(VLOOKUP(A111,'Données projet'!$A$217:$I$237,6,0)),0%,VLOOKUP(A111,'Données projet'!$A$217:$I$237,6,0)*VLOOKUP('Données projet'!$B$16,Paramètres!$A$1:$I$88,7,0))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projet'!$B$16,Paramètres!$A$1:$I$88,3,0)*0.475*44/12</f>
        <v>#N/A</v>
      </c>
      <c r="FR111" s="23" t="e">
        <f>EXP(-LN(2)/25)*FR110+(1-EXP(-LN(2)/25))/(LN(2)/25)*Calculateur!FM111*Calculateur!FO111*VLOOKUP('Données projet'!$B$16,Paramètres!$A$1:$I$88,3,0)*0.475*44/12</f>
        <v>#N/A</v>
      </c>
      <c r="FS111" s="23" t="e">
        <f>EXP(-LN(2)/2)*FS110+(1-EXP(-LN(2)/2))/(LN(2)/2)*FM111*FP111*VLOOKUP('Données projet'!$B$16,Paramètres!$A$1:$I$88,3,0)*0.475*44/12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68.678121672681755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projet'!$B$17,Paramètres!$A$1:$I$88,3,0)*VLOOKUP('Données projet'!$B$17,Paramètres!$A$1:$I$88,5,0)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projet'!$B$17,Paramètres!$A$1:$I$88,7,0))</f>
        <v>0</v>
      </c>
      <c r="GJ111" s="17">
        <f>IF(ISNA(VLOOKUP(A111,'Données projet'!$A$243:$I$263,6,0)),0%,VLOOKUP(A111,'Données projet'!$A$243:$I$263,6,0)*VLOOKUP('Données projet'!$B$17,Paramètres!$A$1:$I$88,7,0))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projet'!$B$17,Paramètres!$A$1:$I$88,3,0)*0.475*44/12</f>
        <v>#N/A</v>
      </c>
      <c r="GM111" s="23" t="e">
        <f>EXP(-LN(2)/25)*GM110+(1-EXP(-LN(2)/25))/(LN(2)/25)*Calculateur!GH111*Calculateur!GJ111*VLOOKUP('Données projet'!$B$17,Paramètres!$A$1:$I$88,3,0)*0.475*44/12</f>
        <v>#N/A</v>
      </c>
      <c r="GN111" s="23" t="e">
        <f>EXP(-LN(2)/2)*GN110+(1-EXP(-LN(2)/2))/(LN(2)/2)*GH111*GK111*VLOOKUP('Données projet'!$B$17,Paramètres!$A$1:$I$88,3,0)*0.475*44/12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68.678121672681755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projet'!$B$18,Paramètres!$A$1:$I$88,3,0)*VLOOKUP('Données projet'!$B$18,Paramètres!$A$1:$I$88,5,0)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projet'!$B$18,Paramètres!$A$1:$I$88,7,0))</f>
        <v>0</v>
      </c>
      <c r="HE111" s="17">
        <f>IF(ISNA(VLOOKUP(A111,'Données projet'!$A$269:$I$289,6,0)),0%,VLOOKUP(A111,'Données projet'!$A$269:$I$289,6,0)*VLOOKUP('Données projet'!$B$18,Paramètres!$A$1:$I$88,7,0))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projet'!$B$18,Paramètres!$A$1:$I$88,3,0)*0.475*44/12</f>
        <v>#N/A</v>
      </c>
      <c r="HH111" s="23" t="e">
        <f>EXP(-LN(2)/25)*HH110+(1-EXP(-LN(2)/25))/(LN(2)/25)*Calculateur!HC111*Calculateur!HE111*VLOOKUP('Données projet'!$B$18,Paramètres!$A$1:$I$88,3,0)*0.475*44/12</f>
        <v>#N/A</v>
      </c>
      <c r="HI111" s="23" t="e">
        <f>EXP(-LN(2)/2)*HI110+(1-EXP(-LN(2)/2))/(LN(2)/2)*HC111*HF111*VLOOKUP('Données projet'!$B$18,Paramètres!$A$1:$I$88,3,0)*0.475*44/12</f>
        <v>#N/A</v>
      </c>
      <c r="HJ111" s="24" t="e">
        <f t="shared" si="84"/>
        <v>#N/A</v>
      </c>
    </row>
    <row r="112" spans="1:218" s="5" customFormat="1" x14ac:dyDescent="0.35">
      <c r="A112" s="11">
        <f t="shared" si="85"/>
        <v>109</v>
      </c>
      <c r="B112" s="77">
        <f>'Scénario référence'!$B$16*5+'Scénario référence'!$B$17*0+'Scénario référence'!$B$18*5</f>
        <v>1.75</v>
      </c>
      <c r="C112" s="20">
        <f>Calculateur!C111+'Scénario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12" s="12">
        <f t="shared" si="86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6.416666666666667</v>
      </c>
      <c r="H112" s="70">
        <f t="shared" si="56"/>
        <v>231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68.701053306383528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3.4106051316484809E-13</v>
      </c>
      <c r="O112" s="14">
        <f>N112*VLOOKUP('Données projet'!$B$9,Paramètres!$A$1:$I$88,3,0)*VLOOKUP('Données projet'!$B$9,Paramètres!$A$1:$I$88,5,0)</f>
        <v>1.9065282685915009E-13</v>
      </c>
      <c r="P112" s="14">
        <f t="shared" si="87"/>
        <v>2.6568987209435707E-12</v>
      </c>
      <c r="Q112" s="22">
        <f t="shared" si="107"/>
        <v>4.959485612423072E-12</v>
      </c>
      <c r="R112" s="62">
        <f t="shared" si="55"/>
        <v>288.5705287900779</v>
      </c>
      <c r="S112" s="62">
        <f ca="1">AVERAGE(OFFSET($R$3,0,0,'Données projet'!$E$9+1,1))-AVERAGE(OFFSET($H$3,0,0,'Données projet'!$E$9+1,1))</f>
        <v>341.05096821796769</v>
      </c>
      <c r="T112" s="62">
        <f t="shared" si="88"/>
        <v>400.72519822215168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projet'!$B$9,Paramètres!$A$1:$I$88,7,0))</f>
        <v>0</v>
      </c>
      <c r="X112" s="17">
        <f>IF(ISNA(VLOOKUP(A112,'Données projet'!$A$35:$I$55,6,0)),0%,VLOOKUP(A112,'Données projet'!$A$35:$I$55,6,0)*VLOOKUP('Données projet'!$B$9,Paramètres!$A$1:$I$88,7,0))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projet'!$B$9,Paramètres!$A$1:$I$88,3,0)*0.475*44/12</f>
        <v>90.80106313351726</v>
      </c>
      <c r="AA112" s="23">
        <f>EXP(-LN(2)/25)*AA111+(1-EXP(-LN(2)/25))/(LN(2)/25)*Calculateur!V112*Calculateur!X112*VLOOKUP('Données projet'!$B$9,Paramètres!$A$1:$I$88,3,0)*0.475*44/12</f>
        <v>34.062533793999506</v>
      </c>
      <c r="AB112" s="23">
        <f>EXP(-LN(2)/2)*AB111+(1-EXP(-LN(2)/2))/(LN(2)/2)*V112*Y112*VLOOKUP('Données projet'!$B$9,Paramètres!$A$1:$I$88,3,0)*0.475*44/12</f>
        <v>0</v>
      </c>
      <c r="AC112" s="24">
        <f t="shared" si="57"/>
        <v>124.86359692751677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68.701053306383528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5.6843418860808015E-14</v>
      </c>
      <c r="AJ112" s="14">
        <f>AI112*VLOOKUP('Données projet'!$B$10,Paramètres!$A$1:$I$88,3,0)*VLOOKUP('Données projet'!$B$10,Paramètres!$A$1:$I$88,5,0)</f>
        <v>3.3992364478763198E-14</v>
      </c>
      <c r="AK112" s="14">
        <f t="shared" si="89"/>
        <v>5.790027782444094E-13</v>
      </c>
      <c r="AL112" s="22">
        <f t="shared" si="58"/>
        <v>1.0676332069095257E-12</v>
      </c>
      <c r="AM112" s="62">
        <f t="shared" si="59"/>
        <v>288.57052879007404</v>
      </c>
      <c r="AN112" s="62">
        <f ca="1">AVERAGE(OFFSET($AM$3,0,0,'Données projet'!$E$10+1,1))-AVERAGE(OFFSET($H$3,0,0,'Données projet'!$E$10+1,1))</f>
        <v>231.96474801342879</v>
      </c>
      <c r="AO112" s="62">
        <f t="shared" si="90"/>
        <v>237.75726086383668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projet'!$B$10,Paramètres!$A$1:$I$88,7,0))</f>
        <v>0</v>
      </c>
      <c r="AS112" s="17">
        <f>IF(ISNA(VLOOKUP(A112,'Données projet'!$A$61:$I$81,6,0)),0%,VLOOKUP(A112,'Données projet'!$A$61:$I$81,6,0)*VLOOKUP('Données projet'!$B$10,Paramètres!$A$1:$I$88,7,0))</f>
        <v>0</v>
      </c>
      <c r="AT112" s="17">
        <f>IF(ISNA(VLOOKUP(A112,'Données projet'!$A$61:$I$81,7,0)),0%,VLOOKUP(A112,'Données projet'!$A$61:$I$81,7,0))</f>
        <v>0</v>
      </c>
      <c r="AU112" s="23">
        <f>EXP(-LN(2)/35)*AU111+(1-EXP(-LN(2)/35))/(LN(2)/35)*AQ112*AR112*VLOOKUP('Données projet'!$B$10,Paramètres!$A$1:$I$88,3,0)*0.475*44/12</f>
        <v>35.807356680942405</v>
      </c>
      <c r="AV112" s="23">
        <f>EXP(-LN(2)/25)*AV111+(1-EXP(-LN(2)/25))/(LN(2)/25)*Calculateur!AQ112*Calculateur!AS112*VLOOKUP('Données projet'!$B$10,Paramètres!$A$1:$I$88,3,0)*0.475*44/12</f>
        <v>14.383746799218736</v>
      </c>
      <c r="AW112" s="23">
        <f>EXP(-LN(2)/2)*AW111+(1-EXP(-LN(2)/2))/(LN(2)/2)*AQ112*AT112*VLOOKUP('Données projet'!$B$10,Paramètres!$A$1:$I$88,3,0)*0.475*44/12</f>
        <v>0</v>
      </c>
      <c r="AX112" s="23">
        <f t="shared" si="60"/>
        <v>50.191103480161139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68.701053306383528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6.8212102632969618E-13</v>
      </c>
      <c r="BE112" s="14">
        <f>BD112*VLOOKUP('Données projet'!$B$11,Paramètres!$A$1:$I$88,3,0)*VLOOKUP('Données projet'!$B$11,Paramètres!$A$1:$I$88,5,0)</f>
        <v>3.1923264032229784E-13</v>
      </c>
      <c r="BF112" s="14">
        <f t="shared" si="91"/>
        <v>4.1896839804541558E-12</v>
      </c>
      <c r="BG112" s="22">
        <f t="shared" si="61"/>
        <v>7.8530297811856558E-12</v>
      </c>
      <c r="BH112" s="62">
        <f t="shared" si="62"/>
        <v>288.5705287900808</v>
      </c>
      <c r="BI112" s="62">
        <f ca="1">AVERAGE(OFFSET($BH$3,0,0,'Données projet'!$E$11+1,1))-AVERAGE(OFFSET($H$3,0,0,'Données projet'!$E$11+1,1))</f>
        <v>364.96458059055169</v>
      </c>
      <c r="BJ112" s="62">
        <f t="shared" si="92"/>
        <v>246.27159120786257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projet'!$B$11,Paramètres!$A$1:$I$88,7,0))</f>
        <v>0</v>
      </c>
      <c r="BN112" s="17">
        <f>IF(ISNA(VLOOKUP(A112,'Données projet'!$A$87:$I$107,6,0)),0%,VLOOKUP(A112,'Données projet'!$A$87:$I$107,6,0)*VLOOKUP('Données projet'!$B$11,Paramètres!$A$1:$I$88,7,0))</f>
        <v>0</v>
      </c>
      <c r="BO112" s="17">
        <f>IF(ISNA(VLOOKUP(A112,'Données projet'!$A$87:$I$107,7,0)),0%,VLOOKUP(A112,'Données projet'!$A$87:$I$107,7,0))</f>
        <v>0</v>
      </c>
      <c r="BP112" s="23">
        <f>EXP(-LN(2)/35)*BP111+(1-EXP(-LN(2)/35))/(LN(2)/35)*BL112*BM112*VLOOKUP('Données projet'!$B$11,Paramètres!$A$1:$I$88,3,0)*0.475*44/12</f>
        <v>199.19812548512232</v>
      </c>
      <c r="BQ112" s="23">
        <f>EXP(-LN(2)/25)*BQ111+(1-EXP(-LN(2)/25))/(LN(2)/25)*Calculateur!BL112*Calculateur!BN112*VLOOKUP('Données projet'!$B$11,Paramètres!$A$1:$I$88,3,0)*0.475*44/12</f>
        <v>78.540276355851276</v>
      </c>
      <c r="BR112" s="23">
        <f>EXP(-LN(2)/2)*BR111+(1-EXP(-LN(2)/2))/(LN(2)/2)*BL112*BO112*VLOOKUP('Données projet'!$B$11,Paramètres!$A$1:$I$88,3,0)*0.475*44/12</f>
        <v>0</v>
      </c>
      <c r="BS112" s="24">
        <f t="shared" si="63"/>
        <v>277.73840184097361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68.701053306383528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-1.1368683772161603E-13</v>
      </c>
      <c r="BZ112" s="14">
        <f>BY112*VLOOKUP('Données projet'!$B$12,Paramètres!$A$1:$I$88,3,0)*VLOOKUP('Données projet'!$B$12,Paramètres!$A$1:$I$88,5,0)</f>
        <v>-1.1527845344971866E-13</v>
      </c>
      <c r="CA112" s="14" t="e">
        <f t="shared" si="93"/>
        <v>#NUM!</v>
      </c>
      <c r="CB112" s="22" t="e">
        <f t="shared" si="64"/>
        <v>#NUM!</v>
      </c>
      <c r="CC112" s="62" t="e">
        <f t="shared" si="65"/>
        <v>#NUM!</v>
      </c>
      <c r="CD112" s="62">
        <f ca="1">AVERAGE(OFFSET($CC$3,0,0,'Données projet'!$E$12+1,1))-AVERAGE(OFFSET($H$3,0,0,'Données projet'!$E$12+1,1))</f>
        <v>310.53598044763282</v>
      </c>
      <c r="CE112" s="62">
        <f t="shared" si="94"/>
        <v>322.01096634040596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projet'!$B$12,Paramètres!$A$1:$I$88,7,0))</f>
        <v>0</v>
      </c>
      <c r="CI112" s="17">
        <f>IF(ISNA(VLOOKUP(A112,'Données projet'!$A$113:$I$133,6,0)),0%,VLOOKUP(A112,'Données projet'!$A$113:$I$133,6,0)*VLOOKUP('Données projet'!$B$12,Paramètres!$A$1:$I$88,7,0))</f>
        <v>0</v>
      </c>
      <c r="CJ112" s="17">
        <f>IF(ISNA(VLOOKUP(A112,'Données projet'!$A$113:$I$133,7,0)),0%,VLOOKUP(A112,'Données projet'!$A$113:$I$133,7,0))</f>
        <v>0</v>
      </c>
      <c r="CK112" s="23">
        <f>EXP(-LN(2)/35)*CK111+(1-EXP(-LN(2)/35))/(LN(2)/35)*CG112*CH112*VLOOKUP('Données projet'!$B$12,Paramètres!$A$1:$I$88,3,0)*0.475*44/12</f>
        <v>27.396986116708785</v>
      </c>
      <c r="CL112" s="23">
        <f>EXP(-LN(2)/25)*CL111+(1-EXP(-LN(2)/25))/(LN(2)/25)*Calculateur!CG112*Calculateur!CI112*VLOOKUP('Données projet'!$B$12,Paramètres!$A$1:$I$88,3,0)*0.475*44/12</f>
        <v>0</v>
      </c>
      <c r="CM112" s="23">
        <f>EXP(-LN(2)/2)*CM111+(1-EXP(-LN(2)/2))/(LN(2)/2)*CG112*CJ112*VLOOKUP('Données projet'!$B$12,Paramètres!$A$1:$I$88,3,0)*0.475*44/12</f>
        <v>0</v>
      </c>
      <c r="CN112" s="24">
        <f t="shared" si="66"/>
        <v>27.396986116708785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68.701053306383528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projet'!$B$13,Paramètres!$A$1:$I$88,3,0)*VLOOKUP('Données projet'!$B$13,Paramètres!$A$1:$I$88,5,0)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projet'!$B$13,Paramètres!$A$1:$I$88,7,0))</f>
        <v>0</v>
      </c>
      <c r="DD112" s="17">
        <f>IF(ISNA(VLOOKUP(A112,'Données projet'!$A$139:$I$159,6,0)),0%,VLOOKUP(A112,'Données projet'!$A$139:$I$159,6,0)*VLOOKUP('Données projet'!$B$13,Paramètres!$A$1:$I$88,7,0))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projet'!$B$13,Paramètres!$A$1:$I$88,3,0)*0.475*44/12</f>
        <v>#N/A</v>
      </c>
      <c r="DG112" s="23" t="e">
        <f>EXP(-LN(2)/25)*DG111+(1-EXP(-LN(2)/25))/(LN(2)/25)*Calculateur!DB112*Calculateur!DD112*VLOOKUP('Données projet'!$B$13,Paramètres!$A$1:$I$88,3,0)*0.475*44/12</f>
        <v>#N/A</v>
      </c>
      <c r="DH112" s="23" t="e">
        <f>EXP(-LN(2)/2)*DH111+(1-EXP(-LN(2)/2))/(LN(2)/2)*DB112*DE112*VLOOKUP('Données projet'!$B$13,Paramètres!$A$1:$I$88,3,0)*0.475*44/12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68.701053306383528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projet'!$B$14,Paramètres!$A$1:$I$88,3,0)*VLOOKUP('Données projet'!$B$14,Paramètres!$A$1:$I$88,5,0)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projet'!$B$14,Paramètres!$A$1:$I$88,7,0))</f>
        <v>0</v>
      </c>
      <c r="DY112" s="17">
        <f>IF(ISNA(VLOOKUP(A112,'Données projet'!$A$165:$I$185,6,0)),0%,VLOOKUP(A112,'Données projet'!$A$165:$I$185,6,0)*VLOOKUP('Données projet'!$B$14,Paramètres!$A$1:$I$88,7,0))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projet'!$B$14,Paramètres!$A$1:$I$88,3,0)*0.475*44/12</f>
        <v>#N/A</v>
      </c>
      <c r="EB112" s="23" t="e">
        <f>EXP(-LN(2)/25)*EB111+(1-EXP(-LN(2)/25))/(LN(2)/25)*Calculateur!DW112*Calculateur!DY112*VLOOKUP('Données projet'!$B$14,Paramètres!$A$1:$I$88,3,0)*0.475*44/12</f>
        <v>#N/A</v>
      </c>
      <c r="EC112" s="23" t="e">
        <f>EXP(-LN(2)/2)*EC111+(1-EXP(-LN(2)/2))/(LN(2)/2)*DW112*DZ112*VLOOKUP('Données projet'!$B$14,Paramètres!$A$1:$I$88,3,0)*0.475*44/12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68.701053306383528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projet'!$B$15,Paramètres!$A$1:$I$88,3,0)*VLOOKUP('Données projet'!$B$15,Paramètres!$A$1:$I$88,5,0)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projet'!$B$15,Paramètres!$A$1:$I$88,7,0))</f>
        <v>0</v>
      </c>
      <c r="ET112" s="17">
        <f>IF(ISNA(VLOOKUP(A112,'Données projet'!$A$191:$I$211,6,0)),0%,VLOOKUP(A112,'Données projet'!$A$191:$I$211,6,0)*VLOOKUP('Données projet'!$B$15,Paramètres!$A$1:$I$88,7,0))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projet'!$B$15,Paramètres!$A$1:$I$88,3,0)*0.475*44/12</f>
        <v>#N/A</v>
      </c>
      <c r="EW112" s="23" t="e">
        <f>EXP(-LN(2)/25)*EW111+(1-EXP(-LN(2)/25))/(LN(2)/25)*Calculateur!ER112*Calculateur!ET112*VLOOKUP('Données projet'!$B$15,Paramètres!$A$1:$I$88,3,0)*0.475*44/12</f>
        <v>#N/A</v>
      </c>
      <c r="EX112" s="23" t="e">
        <f>EXP(-LN(2)/2)*EX111+(1-EXP(-LN(2)/2))/(LN(2)/2)*ER112*EU112*VLOOKUP('Données projet'!$B$15,Paramètres!$A$1:$I$88,3,0)*0.475*44/12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68.701053306383528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projet'!$B$16,Paramètres!$A$1:$I$88,3,0)*VLOOKUP('Données projet'!$B$16,Paramètres!$A$1:$I$88,5,0)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projet'!$B$16,Paramètres!$A$1:$I$88,7,0))</f>
        <v>0</v>
      </c>
      <c r="FO112" s="17">
        <f>IF(ISNA(VLOOKUP(A112,'Données projet'!$A$217:$I$237,6,0)),0%,VLOOKUP(A112,'Données projet'!$A$217:$I$237,6,0)*VLOOKUP('Données projet'!$B$16,Paramètres!$A$1:$I$88,7,0))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projet'!$B$16,Paramètres!$A$1:$I$88,3,0)*0.475*44/12</f>
        <v>#N/A</v>
      </c>
      <c r="FR112" s="23" t="e">
        <f>EXP(-LN(2)/25)*FR111+(1-EXP(-LN(2)/25))/(LN(2)/25)*Calculateur!FM112*Calculateur!FO112*VLOOKUP('Données projet'!$B$16,Paramètres!$A$1:$I$88,3,0)*0.475*44/12</f>
        <v>#N/A</v>
      </c>
      <c r="FS112" s="23" t="e">
        <f>EXP(-LN(2)/2)*FS111+(1-EXP(-LN(2)/2))/(LN(2)/2)*FM112*FP112*VLOOKUP('Données projet'!$B$16,Paramètres!$A$1:$I$88,3,0)*0.475*44/12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68.701053306383528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projet'!$B$17,Paramètres!$A$1:$I$88,3,0)*VLOOKUP('Données projet'!$B$17,Paramètres!$A$1:$I$88,5,0)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projet'!$B$17,Paramètres!$A$1:$I$88,7,0))</f>
        <v>0</v>
      </c>
      <c r="GJ112" s="17">
        <f>IF(ISNA(VLOOKUP(A112,'Données projet'!$A$243:$I$263,6,0)),0%,VLOOKUP(A112,'Données projet'!$A$243:$I$263,6,0)*VLOOKUP('Données projet'!$B$17,Paramètres!$A$1:$I$88,7,0))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projet'!$B$17,Paramètres!$A$1:$I$88,3,0)*0.475*44/12</f>
        <v>#N/A</v>
      </c>
      <c r="GM112" s="23" t="e">
        <f>EXP(-LN(2)/25)*GM111+(1-EXP(-LN(2)/25))/(LN(2)/25)*Calculateur!GH112*Calculateur!GJ112*VLOOKUP('Données projet'!$B$17,Paramètres!$A$1:$I$88,3,0)*0.475*44/12</f>
        <v>#N/A</v>
      </c>
      <c r="GN112" s="23" t="e">
        <f>EXP(-LN(2)/2)*GN111+(1-EXP(-LN(2)/2))/(LN(2)/2)*GH112*GK112*VLOOKUP('Données projet'!$B$17,Paramètres!$A$1:$I$88,3,0)*0.475*44/12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68.701053306383528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projet'!$B$18,Paramètres!$A$1:$I$88,3,0)*VLOOKUP('Données projet'!$B$18,Paramètres!$A$1:$I$88,5,0)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projet'!$B$18,Paramètres!$A$1:$I$88,7,0))</f>
        <v>0</v>
      </c>
      <c r="HE112" s="17">
        <f>IF(ISNA(VLOOKUP(A112,'Données projet'!$A$269:$I$289,6,0)),0%,VLOOKUP(A112,'Données projet'!$A$269:$I$289,6,0)*VLOOKUP('Données projet'!$B$18,Paramètres!$A$1:$I$88,7,0))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projet'!$B$18,Paramètres!$A$1:$I$88,3,0)*0.475*44/12</f>
        <v>#N/A</v>
      </c>
      <c r="HH112" s="23" t="e">
        <f>EXP(-LN(2)/25)*HH111+(1-EXP(-LN(2)/25))/(LN(2)/25)*Calculateur!HC112*Calculateur!HE112*VLOOKUP('Données projet'!$B$18,Paramètres!$A$1:$I$88,3,0)*0.475*44/12</f>
        <v>#N/A</v>
      </c>
      <c r="HI112" s="23" t="e">
        <f>EXP(-LN(2)/2)*HI111+(1-EXP(-LN(2)/2))/(LN(2)/2)*HC112*HF112*VLOOKUP('Données projet'!$B$18,Paramètres!$A$1:$I$88,3,0)*0.475*44/12</f>
        <v>#N/A</v>
      </c>
      <c r="HJ112" s="24" t="e">
        <f t="shared" si="84"/>
        <v>#N/A</v>
      </c>
    </row>
    <row r="113" spans="1:218" s="5" customFormat="1" x14ac:dyDescent="0.35">
      <c r="A113" s="11">
        <f t="shared" si="85"/>
        <v>110</v>
      </c>
      <c r="B113" s="77">
        <f>'Scénario référence'!$B$16*5+'Scénario référence'!$B$17*0+'Scénario référence'!$B$18*5</f>
        <v>1.75</v>
      </c>
      <c r="C113" s="20">
        <f>Calculateur!C112+'Scénario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13" s="12">
        <f t="shared" si="86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6.416666666666667</v>
      </c>
      <c r="H113" s="70">
        <f t="shared" si="56"/>
        <v>231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68.723587127508011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3.4106051316484809E-13</v>
      </c>
      <c r="O113" s="14">
        <f>N113*VLOOKUP('Données projet'!$B$9,Paramètres!$A$1:$I$88,3,0)*VLOOKUP('Données projet'!$B$9,Paramètres!$A$1:$I$88,5,0)</f>
        <v>1.9065282685915009E-13</v>
      </c>
      <c r="P113" s="14">
        <f t="shared" si="87"/>
        <v>2.6568987209435707E-12</v>
      </c>
      <c r="Q113" s="22">
        <f t="shared" si="107"/>
        <v>4.959485612423072E-12</v>
      </c>
      <c r="R113" s="62">
        <f t="shared" si="55"/>
        <v>288.65315280086764</v>
      </c>
      <c r="S113" s="62">
        <f ca="1">AVERAGE(OFFSET($R$3,0,0,'Données projet'!$E$9+1,1))-AVERAGE(OFFSET($H$3,0,0,'Données projet'!$E$9+1,1))</f>
        <v>341.05096821796769</v>
      </c>
      <c r="T113" s="62">
        <f t="shared" si="88"/>
        <v>400.72519822215168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projet'!$B$9,Paramètres!$A$1:$I$88,7,0))</f>
        <v>0</v>
      </c>
      <c r="X113" s="17">
        <f>IF(ISNA(VLOOKUP(A113,'Données projet'!$A$35:$I$55,6,0)),0%,VLOOKUP(A113,'Données projet'!$A$35:$I$55,6,0)*VLOOKUP('Données projet'!$B$9,Paramètres!$A$1:$I$88,7,0))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projet'!$B$9,Paramètres!$A$1:$I$88,3,0)*0.475*44/12</f>
        <v>89.02050966864887</v>
      </c>
      <c r="AA113" s="23">
        <f>EXP(-LN(2)/25)*AA112+(1-EXP(-LN(2)/25))/(LN(2)/25)*Calculateur!V113*Calculateur!X113*VLOOKUP('Données projet'!$B$9,Paramètres!$A$1:$I$88,3,0)*0.475*44/12</f>
        <v>33.131092016131788</v>
      </c>
      <c r="AB113" s="23">
        <f>EXP(-LN(2)/2)*AB112+(1-EXP(-LN(2)/2))/(LN(2)/2)*V113*Y113*VLOOKUP('Données projet'!$B$9,Paramètres!$A$1:$I$88,3,0)*0.475*44/12</f>
        <v>0</v>
      </c>
      <c r="AC113" s="24">
        <f t="shared" si="57"/>
        <v>122.15160168478066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68.723587127508011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5.6843418860808015E-14</v>
      </c>
      <c r="AJ113" s="14">
        <f>AI113*VLOOKUP('Données projet'!$B$10,Paramètres!$A$1:$I$88,3,0)*VLOOKUP('Données projet'!$B$10,Paramètres!$A$1:$I$88,5,0)</f>
        <v>3.3992364478763198E-14</v>
      </c>
      <c r="AK113" s="14">
        <f t="shared" si="89"/>
        <v>5.790027782444094E-13</v>
      </c>
      <c r="AL113" s="22">
        <f t="shared" si="58"/>
        <v>1.0676332069095257E-12</v>
      </c>
      <c r="AM113" s="62">
        <f t="shared" si="59"/>
        <v>288.65315280086378</v>
      </c>
      <c r="AN113" s="62">
        <f ca="1">AVERAGE(OFFSET($AM$3,0,0,'Données projet'!$E$10+1,1))-AVERAGE(OFFSET($H$3,0,0,'Données projet'!$E$10+1,1))</f>
        <v>231.96474801342879</v>
      </c>
      <c r="AO113" s="62">
        <f t="shared" si="90"/>
        <v>237.75726086383668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projet'!$B$10,Paramètres!$A$1:$I$88,7,0))</f>
        <v>0</v>
      </c>
      <c r="AS113" s="17">
        <f>IF(ISNA(VLOOKUP(A113,'Données projet'!$A$61:$I$81,6,0)),0%,VLOOKUP(A113,'Données projet'!$A$61:$I$81,6,0)*VLOOKUP('Données projet'!$B$10,Paramètres!$A$1:$I$88,7,0))</f>
        <v>0</v>
      </c>
      <c r="AT113" s="17">
        <f>IF(ISNA(VLOOKUP(A113,'Données projet'!$A$61:$I$81,7,0)),0%,VLOOKUP(A113,'Données projet'!$A$61:$I$81,7,0))</f>
        <v>0</v>
      </c>
      <c r="AU113" s="23">
        <f>EXP(-LN(2)/35)*AU112+(1-EXP(-LN(2)/35))/(LN(2)/35)*AQ113*AR113*VLOOKUP('Données projet'!$B$10,Paramètres!$A$1:$I$88,3,0)*0.475*44/12</f>
        <v>35.105196256760145</v>
      </c>
      <c r="AV113" s="23">
        <f>EXP(-LN(2)/25)*AV112+(1-EXP(-LN(2)/25))/(LN(2)/25)*Calculateur!AQ113*Calculateur!AS113*VLOOKUP('Données projet'!$B$10,Paramètres!$A$1:$I$88,3,0)*0.475*44/12</f>
        <v>13.990422486585731</v>
      </c>
      <c r="AW113" s="23">
        <f>EXP(-LN(2)/2)*AW112+(1-EXP(-LN(2)/2))/(LN(2)/2)*AQ113*AT113*VLOOKUP('Données projet'!$B$10,Paramètres!$A$1:$I$88,3,0)*0.475*44/12</f>
        <v>0</v>
      </c>
      <c r="AX113" s="23">
        <f t="shared" si="60"/>
        <v>49.095618743345874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68.723587127508011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6.8212102632969618E-13</v>
      </c>
      <c r="BE113" s="14">
        <f>BD113*VLOOKUP('Données projet'!$B$11,Paramètres!$A$1:$I$88,3,0)*VLOOKUP('Données projet'!$B$11,Paramètres!$A$1:$I$88,5,0)</f>
        <v>3.1923264032229784E-13</v>
      </c>
      <c r="BF113" s="14">
        <f t="shared" si="91"/>
        <v>4.1896839804541558E-12</v>
      </c>
      <c r="BG113" s="22">
        <f t="shared" si="61"/>
        <v>7.8530297811856558E-12</v>
      </c>
      <c r="BH113" s="62">
        <f t="shared" si="62"/>
        <v>288.65315280087054</v>
      </c>
      <c r="BI113" s="62">
        <f ca="1">AVERAGE(OFFSET($BH$3,0,0,'Données projet'!$E$11+1,1))-AVERAGE(OFFSET($H$3,0,0,'Données projet'!$E$11+1,1))</f>
        <v>364.96458059055169</v>
      </c>
      <c r="BJ113" s="62">
        <f t="shared" si="92"/>
        <v>246.27159120786257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projet'!$B$11,Paramètres!$A$1:$I$88,7,0))</f>
        <v>0</v>
      </c>
      <c r="BN113" s="17">
        <f>IF(ISNA(VLOOKUP(A113,'Données projet'!$A$87:$I$107,6,0)),0%,VLOOKUP(A113,'Données projet'!$A$87:$I$107,6,0)*VLOOKUP('Données projet'!$B$11,Paramètres!$A$1:$I$88,7,0))</f>
        <v>0</v>
      </c>
      <c r="BO113" s="17">
        <f>IF(ISNA(VLOOKUP(A113,'Données projet'!$A$87:$I$107,7,0)),0%,VLOOKUP(A113,'Données projet'!$A$87:$I$107,7,0))</f>
        <v>0</v>
      </c>
      <c r="BP113" s="23">
        <f>EXP(-LN(2)/35)*BP112+(1-EXP(-LN(2)/35))/(LN(2)/35)*BL113*BM113*VLOOKUP('Données projet'!$B$11,Paramètres!$A$1:$I$88,3,0)*0.475*44/12</f>
        <v>195.2919717432186</v>
      </c>
      <c r="BQ113" s="23">
        <f>EXP(-LN(2)/25)*BQ112+(1-EXP(-LN(2)/25))/(LN(2)/25)*Calculateur!BL113*Calculateur!BN113*VLOOKUP('Données projet'!$B$11,Paramètres!$A$1:$I$88,3,0)*0.475*44/12</f>
        <v>76.392588368646898</v>
      </c>
      <c r="BR113" s="23">
        <f>EXP(-LN(2)/2)*BR112+(1-EXP(-LN(2)/2))/(LN(2)/2)*BL113*BO113*VLOOKUP('Données projet'!$B$11,Paramètres!$A$1:$I$88,3,0)*0.475*44/12</f>
        <v>0</v>
      </c>
      <c r="BS113" s="24">
        <f t="shared" si="63"/>
        <v>271.68456011186549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68.723587127508011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-1.1368683772161603E-13</v>
      </c>
      <c r="BZ113" s="14">
        <f>BY113*VLOOKUP('Données projet'!$B$12,Paramètres!$A$1:$I$88,3,0)*VLOOKUP('Données projet'!$B$12,Paramètres!$A$1:$I$88,5,0)</f>
        <v>-1.1527845344971866E-13</v>
      </c>
      <c r="CA113" s="14" t="e">
        <f t="shared" si="93"/>
        <v>#NUM!</v>
      </c>
      <c r="CB113" s="22" t="e">
        <f t="shared" si="64"/>
        <v>#NUM!</v>
      </c>
      <c r="CC113" s="62" t="e">
        <f t="shared" si="65"/>
        <v>#NUM!</v>
      </c>
      <c r="CD113" s="62">
        <f ca="1">AVERAGE(OFFSET($CC$3,0,0,'Données projet'!$E$12+1,1))-AVERAGE(OFFSET($H$3,0,0,'Données projet'!$E$12+1,1))</f>
        <v>310.53598044763282</v>
      </c>
      <c r="CE113" s="62">
        <f t="shared" si="94"/>
        <v>322.01096634040596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projet'!$B$12,Paramètres!$A$1:$I$88,7,0))</f>
        <v>0</v>
      </c>
      <c r="CI113" s="17">
        <f>IF(ISNA(VLOOKUP(A113,'Données projet'!$A$113:$I$133,6,0)),0%,VLOOKUP(A113,'Données projet'!$A$113:$I$133,6,0)*VLOOKUP('Données projet'!$B$12,Paramètres!$A$1:$I$88,7,0))</f>
        <v>0</v>
      </c>
      <c r="CJ113" s="17">
        <f>IF(ISNA(VLOOKUP(A113,'Données projet'!$A$113:$I$133,7,0)),0%,VLOOKUP(A113,'Données projet'!$A$113:$I$133,7,0))</f>
        <v>0</v>
      </c>
      <c r="CK113" s="23">
        <f>EXP(-LN(2)/35)*CK112+(1-EXP(-LN(2)/35))/(LN(2)/35)*CG113*CH113*VLOOKUP('Données projet'!$B$12,Paramètres!$A$1:$I$88,3,0)*0.475*44/12</f>
        <v>26.859747929471631</v>
      </c>
      <c r="CL113" s="23">
        <f>EXP(-LN(2)/25)*CL112+(1-EXP(-LN(2)/25))/(LN(2)/25)*Calculateur!CG113*Calculateur!CI113*VLOOKUP('Données projet'!$B$12,Paramètres!$A$1:$I$88,3,0)*0.475*44/12</f>
        <v>0</v>
      </c>
      <c r="CM113" s="23">
        <f>EXP(-LN(2)/2)*CM112+(1-EXP(-LN(2)/2))/(LN(2)/2)*CG113*CJ113*VLOOKUP('Données projet'!$B$12,Paramètres!$A$1:$I$88,3,0)*0.475*44/12</f>
        <v>0</v>
      </c>
      <c r="CN113" s="24">
        <f t="shared" si="66"/>
        <v>26.859747929471631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68.723587127508011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projet'!$B$13,Paramètres!$A$1:$I$88,3,0)*VLOOKUP('Données projet'!$B$13,Paramètres!$A$1:$I$88,5,0)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projet'!$B$13,Paramètres!$A$1:$I$88,7,0))</f>
        <v>0</v>
      </c>
      <c r="DD113" s="17">
        <f>IF(ISNA(VLOOKUP(A113,'Données projet'!$A$139:$I$159,6,0)),0%,VLOOKUP(A113,'Données projet'!$A$139:$I$159,6,0)*VLOOKUP('Données projet'!$B$13,Paramètres!$A$1:$I$88,7,0))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projet'!$B$13,Paramètres!$A$1:$I$88,3,0)*0.475*44/12</f>
        <v>#N/A</v>
      </c>
      <c r="DG113" s="23" t="e">
        <f>EXP(-LN(2)/25)*DG112+(1-EXP(-LN(2)/25))/(LN(2)/25)*Calculateur!DB113*Calculateur!DD113*VLOOKUP('Données projet'!$B$13,Paramètres!$A$1:$I$88,3,0)*0.475*44/12</f>
        <v>#N/A</v>
      </c>
      <c r="DH113" s="23" t="e">
        <f>EXP(-LN(2)/2)*DH112+(1-EXP(-LN(2)/2))/(LN(2)/2)*DB113*DE113*VLOOKUP('Données projet'!$B$13,Paramètres!$A$1:$I$88,3,0)*0.475*44/12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68.723587127508011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projet'!$B$14,Paramètres!$A$1:$I$88,3,0)*VLOOKUP('Données projet'!$B$14,Paramètres!$A$1:$I$88,5,0)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projet'!$B$14,Paramètres!$A$1:$I$88,7,0))</f>
        <v>0</v>
      </c>
      <c r="DY113" s="17">
        <f>IF(ISNA(VLOOKUP(A113,'Données projet'!$A$165:$I$185,6,0)),0%,VLOOKUP(A113,'Données projet'!$A$165:$I$185,6,0)*VLOOKUP('Données projet'!$B$14,Paramètres!$A$1:$I$88,7,0))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projet'!$B$14,Paramètres!$A$1:$I$88,3,0)*0.475*44/12</f>
        <v>#N/A</v>
      </c>
      <c r="EB113" s="23" t="e">
        <f>EXP(-LN(2)/25)*EB112+(1-EXP(-LN(2)/25))/(LN(2)/25)*Calculateur!DW113*Calculateur!DY113*VLOOKUP('Données projet'!$B$14,Paramètres!$A$1:$I$88,3,0)*0.475*44/12</f>
        <v>#N/A</v>
      </c>
      <c r="EC113" s="23" t="e">
        <f>EXP(-LN(2)/2)*EC112+(1-EXP(-LN(2)/2))/(LN(2)/2)*DW113*DZ113*VLOOKUP('Données projet'!$B$14,Paramètres!$A$1:$I$88,3,0)*0.475*44/12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68.723587127508011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projet'!$B$15,Paramètres!$A$1:$I$88,3,0)*VLOOKUP('Données projet'!$B$15,Paramètres!$A$1:$I$88,5,0)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projet'!$B$15,Paramètres!$A$1:$I$88,7,0))</f>
        <v>0</v>
      </c>
      <c r="ET113" s="17">
        <f>IF(ISNA(VLOOKUP(A113,'Données projet'!$A$191:$I$211,6,0)),0%,VLOOKUP(A113,'Données projet'!$A$191:$I$211,6,0)*VLOOKUP('Données projet'!$B$15,Paramètres!$A$1:$I$88,7,0))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projet'!$B$15,Paramètres!$A$1:$I$88,3,0)*0.475*44/12</f>
        <v>#N/A</v>
      </c>
      <c r="EW113" s="23" t="e">
        <f>EXP(-LN(2)/25)*EW112+(1-EXP(-LN(2)/25))/(LN(2)/25)*Calculateur!ER113*Calculateur!ET113*VLOOKUP('Données projet'!$B$15,Paramètres!$A$1:$I$88,3,0)*0.475*44/12</f>
        <v>#N/A</v>
      </c>
      <c r="EX113" s="23" t="e">
        <f>EXP(-LN(2)/2)*EX112+(1-EXP(-LN(2)/2))/(LN(2)/2)*ER113*EU113*VLOOKUP('Données projet'!$B$15,Paramètres!$A$1:$I$88,3,0)*0.475*44/12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68.723587127508011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projet'!$B$16,Paramètres!$A$1:$I$88,3,0)*VLOOKUP('Données projet'!$B$16,Paramètres!$A$1:$I$88,5,0)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projet'!$B$16,Paramètres!$A$1:$I$88,7,0))</f>
        <v>0</v>
      </c>
      <c r="FO113" s="17">
        <f>IF(ISNA(VLOOKUP(A113,'Données projet'!$A$217:$I$237,6,0)),0%,VLOOKUP(A113,'Données projet'!$A$217:$I$237,6,0)*VLOOKUP('Données projet'!$B$16,Paramètres!$A$1:$I$88,7,0))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projet'!$B$16,Paramètres!$A$1:$I$88,3,0)*0.475*44/12</f>
        <v>#N/A</v>
      </c>
      <c r="FR113" s="23" t="e">
        <f>EXP(-LN(2)/25)*FR112+(1-EXP(-LN(2)/25))/(LN(2)/25)*Calculateur!FM113*Calculateur!FO113*VLOOKUP('Données projet'!$B$16,Paramètres!$A$1:$I$88,3,0)*0.475*44/12</f>
        <v>#N/A</v>
      </c>
      <c r="FS113" s="23" t="e">
        <f>EXP(-LN(2)/2)*FS112+(1-EXP(-LN(2)/2))/(LN(2)/2)*FM113*FP113*VLOOKUP('Données projet'!$B$16,Paramètres!$A$1:$I$88,3,0)*0.475*44/12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68.723587127508011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projet'!$B$17,Paramètres!$A$1:$I$88,3,0)*VLOOKUP('Données projet'!$B$17,Paramètres!$A$1:$I$88,5,0)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projet'!$B$17,Paramètres!$A$1:$I$88,7,0))</f>
        <v>0</v>
      </c>
      <c r="GJ113" s="17">
        <f>IF(ISNA(VLOOKUP(A113,'Données projet'!$A$243:$I$263,6,0)),0%,VLOOKUP(A113,'Données projet'!$A$243:$I$263,6,0)*VLOOKUP('Données projet'!$B$17,Paramètres!$A$1:$I$88,7,0))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projet'!$B$17,Paramètres!$A$1:$I$88,3,0)*0.475*44/12</f>
        <v>#N/A</v>
      </c>
      <c r="GM113" s="23" t="e">
        <f>EXP(-LN(2)/25)*GM112+(1-EXP(-LN(2)/25))/(LN(2)/25)*Calculateur!GH113*Calculateur!GJ113*VLOOKUP('Données projet'!$B$17,Paramètres!$A$1:$I$88,3,0)*0.475*44/12</f>
        <v>#N/A</v>
      </c>
      <c r="GN113" s="23" t="e">
        <f>EXP(-LN(2)/2)*GN112+(1-EXP(-LN(2)/2))/(LN(2)/2)*GH113*GK113*VLOOKUP('Données projet'!$B$17,Paramètres!$A$1:$I$88,3,0)*0.475*44/12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68.723587127508011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projet'!$B$18,Paramètres!$A$1:$I$88,3,0)*VLOOKUP('Données projet'!$B$18,Paramètres!$A$1:$I$88,5,0)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projet'!$B$18,Paramètres!$A$1:$I$88,7,0))</f>
        <v>0</v>
      </c>
      <c r="HE113" s="17">
        <f>IF(ISNA(VLOOKUP(A113,'Données projet'!$A$269:$I$289,6,0)),0%,VLOOKUP(A113,'Données projet'!$A$269:$I$289,6,0)*VLOOKUP('Données projet'!$B$18,Paramètres!$A$1:$I$88,7,0))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projet'!$B$18,Paramètres!$A$1:$I$88,3,0)*0.475*44/12</f>
        <v>#N/A</v>
      </c>
      <c r="HH113" s="23" t="e">
        <f>EXP(-LN(2)/25)*HH112+(1-EXP(-LN(2)/25))/(LN(2)/25)*Calculateur!HC113*Calculateur!HE113*VLOOKUP('Données projet'!$B$18,Paramètres!$A$1:$I$88,3,0)*0.475*44/12</f>
        <v>#N/A</v>
      </c>
      <c r="HI113" s="23" t="e">
        <f>EXP(-LN(2)/2)*HI112+(1-EXP(-LN(2)/2))/(LN(2)/2)*HC113*HF113*VLOOKUP('Données projet'!$B$18,Paramètres!$A$1:$I$88,3,0)*0.475*44/12</f>
        <v>#N/A</v>
      </c>
      <c r="HJ113" s="24" t="e">
        <f t="shared" si="84"/>
        <v>#N/A</v>
      </c>
    </row>
    <row r="114" spans="1:218" s="5" customFormat="1" x14ac:dyDescent="0.35">
      <c r="A114" s="11">
        <f t="shared" si="85"/>
        <v>111</v>
      </c>
      <c r="B114" s="77">
        <f>'Scénario référence'!$B$16*5+'Scénario référence'!$B$17*0+'Scénario référence'!$B$18*5</f>
        <v>1.75</v>
      </c>
      <c r="C114" s="20">
        <f>Calculateur!C113+'Scénario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14" s="12">
        <f t="shared" si="86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6.416666666666667</v>
      </c>
      <c r="H114" s="70">
        <f t="shared" si="56"/>
        <v>231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68.745730037214059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3.4106051316484809E-13</v>
      </c>
      <c r="O114" s="14">
        <f>N114*VLOOKUP('Données projet'!$B$9,Paramètres!$A$1:$I$88,3,0)*VLOOKUP('Données projet'!$B$9,Paramètres!$A$1:$I$88,5,0)</f>
        <v>1.9065282685915009E-13</v>
      </c>
      <c r="P114" s="14">
        <f t="shared" si="87"/>
        <v>2.6568987209435707E-12</v>
      </c>
      <c r="Q114" s="22">
        <f t="shared" si="107"/>
        <v>4.959485612423072E-12</v>
      </c>
      <c r="R114" s="62">
        <f t="shared" si="55"/>
        <v>288.73434346978979</v>
      </c>
      <c r="S114" s="62">
        <f ca="1">AVERAGE(OFFSET($R$3,0,0,'Données projet'!$E$9+1,1))-AVERAGE(OFFSET($H$3,0,0,'Données projet'!$E$9+1,1))</f>
        <v>341.05096821796769</v>
      </c>
      <c r="T114" s="62">
        <f t="shared" si="88"/>
        <v>400.72519822215168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projet'!$B$9,Paramètres!$A$1:$I$88,7,0))</f>
        <v>0</v>
      </c>
      <c r="X114" s="17">
        <f>IF(ISNA(VLOOKUP(A114,'Données projet'!$A$35:$I$55,6,0)),0%,VLOOKUP(A114,'Données projet'!$A$35:$I$55,6,0)*VLOOKUP('Données projet'!$B$9,Paramètres!$A$1:$I$88,7,0))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projet'!$B$9,Paramètres!$A$1:$I$88,3,0)*0.475*44/12</f>
        <v>87.27487177119616</v>
      </c>
      <c r="AA114" s="23">
        <f>EXP(-LN(2)/25)*AA113+(1-EXP(-LN(2)/25))/(LN(2)/25)*Calculateur!V114*Calculateur!X114*VLOOKUP('Données projet'!$B$9,Paramètres!$A$1:$I$88,3,0)*0.475*44/12</f>
        <v>32.225120562662255</v>
      </c>
      <c r="AB114" s="23">
        <f>EXP(-LN(2)/2)*AB113+(1-EXP(-LN(2)/2))/(LN(2)/2)*V114*Y114*VLOOKUP('Données projet'!$B$9,Paramètres!$A$1:$I$88,3,0)*0.475*44/12</f>
        <v>0</v>
      </c>
      <c r="AC114" s="24">
        <f t="shared" si="57"/>
        <v>119.49999233385842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68.745730037214059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5.6843418860808015E-14</v>
      </c>
      <c r="AJ114" s="14">
        <f>AI114*VLOOKUP('Données projet'!$B$10,Paramètres!$A$1:$I$88,3,0)*VLOOKUP('Données projet'!$B$10,Paramètres!$A$1:$I$88,5,0)</f>
        <v>3.3992364478763198E-14</v>
      </c>
      <c r="AK114" s="14">
        <f t="shared" si="89"/>
        <v>5.790027782444094E-13</v>
      </c>
      <c r="AL114" s="22">
        <f t="shared" si="58"/>
        <v>1.0676332069095257E-12</v>
      </c>
      <c r="AM114" s="62">
        <f t="shared" si="59"/>
        <v>288.73434346978593</v>
      </c>
      <c r="AN114" s="62">
        <f ca="1">AVERAGE(OFFSET($AM$3,0,0,'Données projet'!$E$10+1,1))-AVERAGE(OFFSET($H$3,0,0,'Données projet'!$E$10+1,1))</f>
        <v>231.96474801342879</v>
      </c>
      <c r="AO114" s="62">
        <f t="shared" si="90"/>
        <v>237.75726086383668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projet'!$B$10,Paramètres!$A$1:$I$88,7,0))</f>
        <v>0</v>
      </c>
      <c r="AS114" s="17">
        <f>IF(ISNA(VLOOKUP(A114,'Données projet'!$A$61:$I$81,6,0)),0%,VLOOKUP(A114,'Données projet'!$A$61:$I$81,6,0)*VLOOKUP('Données projet'!$B$10,Paramètres!$A$1:$I$88,7,0))</f>
        <v>0</v>
      </c>
      <c r="AT114" s="17">
        <f>IF(ISNA(VLOOKUP(A114,'Données projet'!$A$61:$I$81,7,0)),0%,VLOOKUP(A114,'Données projet'!$A$61:$I$81,7,0))</f>
        <v>0</v>
      </c>
      <c r="AU114" s="23">
        <f>EXP(-LN(2)/35)*AU113+(1-EXP(-LN(2)/35))/(LN(2)/35)*AQ114*AR114*VLOOKUP('Données projet'!$B$10,Paramètres!$A$1:$I$88,3,0)*0.475*44/12</f>
        <v>34.41680477022053</v>
      </c>
      <c r="AV114" s="23">
        <f>EXP(-LN(2)/25)*AV113+(1-EXP(-LN(2)/25))/(LN(2)/25)*Calculateur!AQ114*Calculateur!AS114*VLOOKUP('Données projet'!$B$10,Paramètres!$A$1:$I$88,3,0)*0.475*44/12</f>
        <v>13.607853647965701</v>
      </c>
      <c r="AW114" s="23">
        <f>EXP(-LN(2)/2)*AW113+(1-EXP(-LN(2)/2))/(LN(2)/2)*AQ114*AT114*VLOOKUP('Données projet'!$B$10,Paramètres!$A$1:$I$88,3,0)*0.475*44/12</f>
        <v>0</v>
      </c>
      <c r="AX114" s="23">
        <f t="shared" si="60"/>
        <v>48.024658418186235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68.745730037214059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6.8212102632969618E-13</v>
      </c>
      <c r="BE114" s="14">
        <f>BD114*VLOOKUP('Données projet'!$B$11,Paramètres!$A$1:$I$88,3,0)*VLOOKUP('Données projet'!$B$11,Paramètres!$A$1:$I$88,5,0)</f>
        <v>3.1923264032229784E-13</v>
      </c>
      <c r="BF114" s="14">
        <f t="shared" si="91"/>
        <v>4.1896839804541558E-12</v>
      </c>
      <c r="BG114" s="22">
        <f t="shared" si="61"/>
        <v>7.8530297811856558E-12</v>
      </c>
      <c r="BH114" s="62">
        <f t="shared" si="62"/>
        <v>288.73434346979269</v>
      </c>
      <c r="BI114" s="62">
        <f ca="1">AVERAGE(OFFSET($BH$3,0,0,'Données projet'!$E$11+1,1))-AVERAGE(OFFSET($H$3,0,0,'Données projet'!$E$11+1,1))</f>
        <v>364.96458059055169</v>
      </c>
      <c r="BJ114" s="62">
        <f t="shared" si="92"/>
        <v>246.27159120786257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projet'!$B$11,Paramètres!$A$1:$I$88,7,0))</f>
        <v>0</v>
      </c>
      <c r="BN114" s="17">
        <f>IF(ISNA(VLOOKUP(A114,'Données projet'!$A$87:$I$107,6,0)),0%,VLOOKUP(A114,'Données projet'!$A$87:$I$107,6,0)*VLOOKUP('Données projet'!$B$11,Paramètres!$A$1:$I$88,7,0))</f>
        <v>0</v>
      </c>
      <c r="BO114" s="17">
        <f>IF(ISNA(VLOOKUP(A114,'Données projet'!$A$87:$I$107,7,0)),0%,VLOOKUP(A114,'Données projet'!$A$87:$I$107,7,0))</f>
        <v>0</v>
      </c>
      <c r="BP114" s="23">
        <f>EXP(-LN(2)/35)*BP113+(1-EXP(-LN(2)/35))/(LN(2)/35)*BL114*BM114*VLOOKUP('Données projet'!$B$11,Paramètres!$A$1:$I$88,3,0)*0.475*44/12</f>
        <v>191.46241529367509</v>
      </c>
      <c r="BQ114" s="23">
        <f>EXP(-LN(2)/25)*BQ113+(1-EXP(-LN(2)/25))/(LN(2)/25)*Calculateur!BL114*Calculateur!BN114*VLOOKUP('Données projet'!$B$11,Paramètres!$A$1:$I$88,3,0)*0.475*44/12</f>
        <v>74.303629022394617</v>
      </c>
      <c r="BR114" s="23">
        <f>EXP(-LN(2)/2)*BR113+(1-EXP(-LN(2)/2))/(LN(2)/2)*BL114*BO114*VLOOKUP('Données projet'!$B$11,Paramètres!$A$1:$I$88,3,0)*0.475*44/12</f>
        <v>0</v>
      </c>
      <c r="BS114" s="24">
        <f t="shared" si="63"/>
        <v>265.76604431606972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68.745730037214059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-1.1368683772161603E-13</v>
      </c>
      <c r="BZ114" s="14">
        <f>BY114*VLOOKUP('Données projet'!$B$12,Paramètres!$A$1:$I$88,3,0)*VLOOKUP('Données projet'!$B$12,Paramètres!$A$1:$I$88,5,0)</f>
        <v>-1.1527845344971866E-13</v>
      </c>
      <c r="CA114" s="14" t="e">
        <f t="shared" si="93"/>
        <v>#NUM!</v>
      </c>
      <c r="CB114" s="22" t="e">
        <f t="shared" si="64"/>
        <v>#NUM!</v>
      </c>
      <c r="CC114" s="62" t="e">
        <f t="shared" si="65"/>
        <v>#NUM!</v>
      </c>
      <c r="CD114" s="62">
        <f ca="1">AVERAGE(OFFSET($CC$3,0,0,'Données projet'!$E$12+1,1))-AVERAGE(OFFSET($H$3,0,0,'Données projet'!$E$12+1,1))</f>
        <v>310.53598044763282</v>
      </c>
      <c r="CE114" s="62">
        <f t="shared" si="94"/>
        <v>322.01096634040596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projet'!$B$12,Paramètres!$A$1:$I$88,7,0))</f>
        <v>0</v>
      </c>
      <c r="CI114" s="17">
        <f>IF(ISNA(VLOOKUP(A114,'Données projet'!$A$113:$I$133,6,0)),0%,VLOOKUP(A114,'Données projet'!$A$113:$I$133,6,0)*VLOOKUP('Données projet'!$B$12,Paramètres!$A$1:$I$88,7,0))</f>
        <v>0</v>
      </c>
      <c r="CJ114" s="17">
        <f>IF(ISNA(VLOOKUP(A114,'Données projet'!$A$113:$I$133,7,0)),0%,VLOOKUP(A114,'Données projet'!$A$113:$I$133,7,0))</f>
        <v>0</v>
      </c>
      <c r="CK114" s="23">
        <f>EXP(-LN(2)/35)*CK113+(1-EXP(-LN(2)/35))/(LN(2)/35)*CG114*CH114*VLOOKUP('Données projet'!$B$12,Paramètres!$A$1:$I$88,3,0)*0.475*44/12</f>
        <v>26.33304465540326</v>
      </c>
      <c r="CL114" s="23">
        <f>EXP(-LN(2)/25)*CL113+(1-EXP(-LN(2)/25))/(LN(2)/25)*Calculateur!CG114*Calculateur!CI114*VLOOKUP('Données projet'!$B$12,Paramètres!$A$1:$I$88,3,0)*0.475*44/12</f>
        <v>0</v>
      </c>
      <c r="CM114" s="23">
        <f>EXP(-LN(2)/2)*CM113+(1-EXP(-LN(2)/2))/(LN(2)/2)*CG114*CJ114*VLOOKUP('Données projet'!$B$12,Paramètres!$A$1:$I$88,3,0)*0.475*44/12</f>
        <v>0</v>
      </c>
      <c r="CN114" s="24">
        <f t="shared" si="66"/>
        <v>26.33304465540326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68.745730037214059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projet'!$B$13,Paramètres!$A$1:$I$88,3,0)*VLOOKUP('Données projet'!$B$13,Paramètres!$A$1:$I$88,5,0)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projet'!$B$13,Paramètres!$A$1:$I$88,7,0))</f>
        <v>0</v>
      </c>
      <c r="DD114" s="17">
        <f>IF(ISNA(VLOOKUP(A114,'Données projet'!$A$139:$I$159,6,0)),0%,VLOOKUP(A114,'Données projet'!$A$139:$I$159,6,0)*VLOOKUP('Données projet'!$B$13,Paramètres!$A$1:$I$88,7,0))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projet'!$B$13,Paramètres!$A$1:$I$88,3,0)*0.475*44/12</f>
        <v>#N/A</v>
      </c>
      <c r="DG114" s="23" t="e">
        <f>EXP(-LN(2)/25)*DG113+(1-EXP(-LN(2)/25))/(LN(2)/25)*Calculateur!DB114*Calculateur!DD114*VLOOKUP('Données projet'!$B$13,Paramètres!$A$1:$I$88,3,0)*0.475*44/12</f>
        <v>#N/A</v>
      </c>
      <c r="DH114" s="23" t="e">
        <f>EXP(-LN(2)/2)*DH113+(1-EXP(-LN(2)/2))/(LN(2)/2)*DB114*DE114*VLOOKUP('Données projet'!$B$13,Paramètres!$A$1:$I$88,3,0)*0.475*44/12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68.745730037214059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projet'!$B$14,Paramètres!$A$1:$I$88,3,0)*VLOOKUP('Données projet'!$B$14,Paramètres!$A$1:$I$88,5,0)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projet'!$B$14,Paramètres!$A$1:$I$88,7,0))</f>
        <v>0</v>
      </c>
      <c r="DY114" s="17">
        <f>IF(ISNA(VLOOKUP(A114,'Données projet'!$A$165:$I$185,6,0)),0%,VLOOKUP(A114,'Données projet'!$A$165:$I$185,6,0)*VLOOKUP('Données projet'!$B$14,Paramètres!$A$1:$I$88,7,0))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projet'!$B$14,Paramètres!$A$1:$I$88,3,0)*0.475*44/12</f>
        <v>#N/A</v>
      </c>
      <c r="EB114" s="23" t="e">
        <f>EXP(-LN(2)/25)*EB113+(1-EXP(-LN(2)/25))/(LN(2)/25)*Calculateur!DW114*Calculateur!DY114*VLOOKUP('Données projet'!$B$14,Paramètres!$A$1:$I$88,3,0)*0.475*44/12</f>
        <v>#N/A</v>
      </c>
      <c r="EC114" s="23" t="e">
        <f>EXP(-LN(2)/2)*EC113+(1-EXP(-LN(2)/2))/(LN(2)/2)*DW114*DZ114*VLOOKUP('Données projet'!$B$14,Paramètres!$A$1:$I$88,3,0)*0.475*44/12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68.745730037214059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projet'!$B$15,Paramètres!$A$1:$I$88,3,0)*VLOOKUP('Données projet'!$B$15,Paramètres!$A$1:$I$88,5,0)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projet'!$B$15,Paramètres!$A$1:$I$88,7,0))</f>
        <v>0</v>
      </c>
      <c r="ET114" s="17">
        <f>IF(ISNA(VLOOKUP(A114,'Données projet'!$A$191:$I$211,6,0)),0%,VLOOKUP(A114,'Données projet'!$A$191:$I$211,6,0)*VLOOKUP('Données projet'!$B$15,Paramètres!$A$1:$I$88,7,0))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projet'!$B$15,Paramètres!$A$1:$I$88,3,0)*0.475*44/12</f>
        <v>#N/A</v>
      </c>
      <c r="EW114" s="23" t="e">
        <f>EXP(-LN(2)/25)*EW113+(1-EXP(-LN(2)/25))/(LN(2)/25)*Calculateur!ER114*Calculateur!ET114*VLOOKUP('Données projet'!$B$15,Paramètres!$A$1:$I$88,3,0)*0.475*44/12</f>
        <v>#N/A</v>
      </c>
      <c r="EX114" s="23" t="e">
        <f>EXP(-LN(2)/2)*EX113+(1-EXP(-LN(2)/2))/(LN(2)/2)*ER114*EU114*VLOOKUP('Données projet'!$B$15,Paramètres!$A$1:$I$88,3,0)*0.475*44/12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68.745730037214059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projet'!$B$16,Paramètres!$A$1:$I$88,3,0)*VLOOKUP('Données projet'!$B$16,Paramètres!$A$1:$I$88,5,0)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projet'!$B$16,Paramètres!$A$1:$I$88,7,0))</f>
        <v>0</v>
      </c>
      <c r="FO114" s="17">
        <f>IF(ISNA(VLOOKUP(A114,'Données projet'!$A$217:$I$237,6,0)),0%,VLOOKUP(A114,'Données projet'!$A$217:$I$237,6,0)*VLOOKUP('Données projet'!$B$16,Paramètres!$A$1:$I$88,7,0))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projet'!$B$16,Paramètres!$A$1:$I$88,3,0)*0.475*44/12</f>
        <v>#N/A</v>
      </c>
      <c r="FR114" s="23" t="e">
        <f>EXP(-LN(2)/25)*FR113+(1-EXP(-LN(2)/25))/(LN(2)/25)*Calculateur!FM114*Calculateur!FO114*VLOOKUP('Données projet'!$B$16,Paramètres!$A$1:$I$88,3,0)*0.475*44/12</f>
        <v>#N/A</v>
      </c>
      <c r="FS114" s="23" t="e">
        <f>EXP(-LN(2)/2)*FS113+(1-EXP(-LN(2)/2))/(LN(2)/2)*FM114*FP114*VLOOKUP('Données projet'!$B$16,Paramètres!$A$1:$I$88,3,0)*0.475*44/12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68.745730037214059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projet'!$B$17,Paramètres!$A$1:$I$88,3,0)*VLOOKUP('Données projet'!$B$17,Paramètres!$A$1:$I$88,5,0)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projet'!$B$17,Paramètres!$A$1:$I$88,7,0))</f>
        <v>0</v>
      </c>
      <c r="GJ114" s="17">
        <f>IF(ISNA(VLOOKUP(A114,'Données projet'!$A$243:$I$263,6,0)),0%,VLOOKUP(A114,'Données projet'!$A$243:$I$263,6,0)*VLOOKUP('Données projet'!$B$17,Paramètres!$A$1:$I$88,7,0))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projet'!$B$17,Paramètres!$A$1:$I$88,3,0)*0.475*44/12</f>
        <v>#N/A</v>
      </c>
      <c r="GM114" s="23" t="e">
        <f>EXP(-LN(2)/25)*GM113+(1-EXP(-LN(2)/25))/(LN(2)/25)*Calculateur!GH114*Calculateur!GJ114*VLOOKUP('Données projet'!$B$17,Paramètres!$A$1:$I$88,3,0)*0.475*44/12</f>
        <v>#N/A</v>
      </c>
      <c r="GN114" s="23" t="e">
        <f>EXP(-LN(2)/2)*GN113+(1-EXP(-LN(2)/2))/(LN(2)/2)*GH114*GK114*VLOOKUP('Données projet'!$B$17,Paramètres!$A$1:$I$88,3,0)*0.475*44/12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68.745730037214059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projet'!$B$18,Paramètres!$A$1:$I$88,3,0)*VLOOKUP('Données projet'!$B$18,Paramètres!$A$1:$I$88,5,0)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projet'!$B$18,Paramètres!$A$1:$I$88,7,0))</f>
        <v>0</v>
      </c>
      <c r="HE114" s="17">
        <f>IF(ISNA(VLOOKUP(A114,'Données projet'!$A$269:$I$289,6,0)),0%,VLOOKUP(A114,'Données projet'!$A$269:$I$289,6,0)*VLOOKUP('Données projet'!$B$18,Paramètres!$A$1:$I$88,7,0))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projet'!$B$18,Paramètres!$A$1:$I$88,3,0)*0.475*44/12</f>
        <v>#N/A</v>
      </c>
      <c r="HH114" s="23" t="e">
        <f>EXP(-LN(2)/25)*HH113+(1-EXP(-LN(2)/25))/(LN(2)/25)*Calculateur!HC114*Calculateur!HE114*VLOOKUP('Données projet'!$B$18,Paramètres!$A$1:$I$88,3,0)*0.475*44/12</f>
        <v>#N/A</v>
      </c>
      <c r="HI114" s="23" t="e">
        <f>EXP(-LN(2)/2)*HI113+(1-EXP(-LN(2)/2))/(LN(2)/2)*HC114*HF114*VLOOKUP('Données projet'!$B$18,Paramètres!$A$1:$I$88,3,0)*0.475*44/12</f>
        <v>#N/A</v>
      </c>
      <c r="HJ114" s="24" t="e">
        <f t="shared" si="84"/>
        <v>#N/A</v>
      </c>
    </row>
    <row r="115" spans="1:218" s="5" customFormat="1" x14ac:dyDescent="0.35">
      <c r="A115" s="11">
        <f t="shared" si="85"/>
        <v>112</v>
      </c>
      <c r="B115" s="77">
        <f>'Scénario référence'!$B$16*5+'Scénario référence'!$B$17*0+'Scénario référence'!$B$18*5</f>
        <v>1.75</v>
      </c>
      <c r="C115" s="20">
        <f>Calculateur!C114+'Scénario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15" s="12">
        <f t="shared" si="86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6.416666666666667</v>
      </c>
      <c r="H115" s="70">
        <f t="shared" si="56"/>
        <v>231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68.767488816940855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3.4106051316484809E-13</v>
      </c>
      <c r="O115" s="14">
        <f>N115*VLOOKUP('Données projet'!$B$9,Paramètres!$A$1:$I$88,3,0)*VLOOKUP('Données projet'!$B$9,Paramètres!$A$1:$I$88,5,0)</f>
        <v>1.9065282685915009E-13</v>
      </c>
      <c r="P115" s="14">
        <f t="shared" si="87"/>
        <v>2.6568987209435707E-12</v>
      </c>
      <c r="Q115" s="22">
        <f t="shared" si="107"/>
        <v>4.959485612423072E-12</v>
      </c>
      <c r="R115" s="62">
        <f t="shared" si="55"/>
        <v>288.8141256621214</v>
      </c>
      <c r="S115" s="62">
        <f ca="1">AVERAGE(OFFSET($R$3,0,0,'Données projet'!$E$9+1,1))-AVERAGE(OFFSET($H$3,0,0,'Données projet'!$E$9+1,1))</f>
        <v>341.05096821796769</v>
      </c>
      <c r="T115" s="62">
        <f t="shared" si="88"/>
        <v>400.72519822215168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projet'!$B$9,Paramètres!$A$1:$I$88,7,0))</f>
        <v>0</v>
      </c>
      <c r="X115" s="17">
        <f>IF(ISNA(VLOOKUP(A115,'Données projet'!$A$35:$I$55,6,0)),0%,VLOOKUP(A115,'Données projet'!$A$35:$I$55,6,0)*VLOOKUP('Données projet'!$B$9,Paramètres!$A$1:$I$88,7,0))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projet'!$B$9,Paramètres!$A$1:$I$88,3,0)*0.475*44/12</f>
        <v>85.56346476817852</v>
      </c>
      <c r="AA115" s="23">
        <f>EXP(-LN(2)/25)*AA114+(1-EXP(-LN(2)/25))/(LN(2)/25)*Calculateur!V115*Calculateur!X115*VLOOKUP('Données projet'!$B$9,Paramètres!$A$1:$I$88,3,0)*0.475*44/12</f>
        <v>31.343922946230816</v>
      </c>
      <c r="AB115" s="23">
        <f>EXP(-LN(2)/2)*AB114+(1-EXP(-LN(2)/2))/(LN(2)/2)*V115*Y115*VLOOKUP('Données projet'!$B$9,Paramètres!$A$1:$I$88,3,0)*0.475*44/12</f>
        <v>0</v>
      </c>
      <c r="AC115" s="24">
        <f t="shared" si="57"/>
        <v>116.90738771440934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68.767488816940855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5.6843418860808015E-14</v>
      </c>
      <c r="AJ115" s="14">
        <f>AI115*VLOOKUP('Données projet'!$B$10,Paramètres!$A$1:$I$88,3,0)*VLOOKUP('Données projet'!$B$10,Paramètres!$A$1:$I$88,5,0)</f>
        <v>3.3992364478763198E-14</v>
      </c>
      <c r="AK115" s="14">
        <f t="shared" si="89"/>
        <v>5.790027782444094E-13</v>
      </c>
      <c r="AL115" s="22">
        <f t="shared" si="58"/>
        <v>1.0676332069095257E-12</v>
      </c>
      <c r="AM115" s="62">
        <f t="shared" si="59"/>
        <v>288.81412566211753</v>
      </c>
      <c r="AN115" s="62">
        <f ca="1">AVERAGE(OFFSET($AM$3,0,0,'Données projet'!$E$10+1,1))-AVERAGE(OFFSET($H$3,0,0,'Données projet'!$E$10+1,1))</f>
        <v>231.96474801342879</v>
      </c>
      <c r="AO115" s="62">
        <f t="shared" si="90"/>
        <v>237.75726086383668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projet'!$B$10,Paramètres!$A$1:$I$88,7,0))</f>
        <v>0</v>
      </c>
      <c r="AS115" s="17">
        <f>IF(ISNA(VLOOKUP(A115,'Données projet'!$A$61:$I$81,6,0)),0%,VLOOKUP(A115,'Données projet'!$A$61:$I$81,6,0)*VLOOKUP('Données projet'!$B$10,Paramètres!$A$1:$I$88,7,0))</f>
        <v>0</v>
      </c>
      <c r="AT115" s="17">
        <f>IF(ISNA(VLOOKUP(A115,'Données projet'!$A$61:$I$81,7,0)),0%,VLOOKUP(A115,'Données projet'!$A$61:$I$81,7,0))</f>
        <v>0</v>
      </c>
      <c r="AU115" s="23">
        <f>EXP(-LN(2)/35)*AU114+(1-EXP(-LN(2)/35))/(LN(2)/35)*AQ115*AR115*VLOOKUP('Données projet'!$B$10,Paramètres!$A$1:$I$88,3,0)*0.475*44/12</f>
        <v>33.741912220854609</v>
      </c>
      <c r="AV115" s="23">
        <f>EXP(-LN(2)/25)*AV114+(1-EXP(-LN(2)/25))/(LN(2)/25)*Calculateur!AQ115*Calculateur!AS115*VLOOKUP('Données projet'!$B$10,Paramètres!$A$1:$I$88,3,0)*0.475*44/12</f>
        <v>13.235746174356157</v>
      </c>
      <c r="AW115" s="23">
        <f>EXP(-LN(2)/2)*AW114+(1-EXP(-LN(2)/2))/(LN(2)/2)*AQ115*AT115*VLOOKUP('Données projet'!$B$10,Paramètres!$A$1:$I$88,3,0)*0.475*44/12</f>
        <v>0</v>
      </c>
      <c r="AX115" s="23">
        <f t="shared" si="60"/>
        <v>46.977658395210767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68.767488816940855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6.8212102632969618E-13</v>
      </c>
      <c r="BE115" s="14">
        <f>BD115*VLOOKUP('Données projet'!$B$11,Paramètres!$A$1:$I$88,3,0)*VLOOKUP('Données projet'!$B$11,Paramètres!$A$1:$I$88,5,0)</f>
        <v>3.1923264032229784E-13</v>
      </c>
      <c r="BF115" s="14">
        <f t="shared" si="91"/>
        <v>4.1896839804541558E-12</v>
      </c>
      <c r="BG115" s="22">
        <f t="shared" si="61"/>
        <v>7.8530297811856558E-12</v>
      </c>
      <c r="BH115" s="62">
        <f t="shared" si="62"/>
        <v>288.8141256621243</v>
      </c>
      <c r="BI115" s="62">
        <f ca="1">AVERAGE(OFFSET($BH$3,0,0,'Données projet'!$E$11+1,1))-AVERAGE(OFFSET($H$3,0,0,'Données projet'!$E$11+1,1))</f>
        <v>364.96458059055169</v>
      </c>
      <c r="BJ115" s="62">
        <f t="shared" si="92"/>
        <v>246.27159120786257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projet'!$B$11,Paramètres!$A$1:$I$88,7,0))</f>
        <v>0</v>
      </c>
      <c r="BN115" s="17">
        <f>IF(ISNA(VLOOKUP(A115,'Données projet'!$A$87:$I$107,6,0)),0%,VLOOKUP(A115,'Données projet'!$A$87:$I$107,6,0)*VLOOKUP('Données projet'!$B$11,Paramètres!$A$1:$I$88,7,0))</f>
        <v>0</v>
      </c>
      <c r="BO115" s="17">
        <f>IF(ISNA(VLOOKUP(A115,'Données projet'!$A$87:$I$107,7,0)),0%,VLOOKUP(A115,'Données projet'!$A$87:$I$107,7,0))</f>
        <v>0</v>
      </c>
      <c r="BP115" s="23">
        <f>EXP(-LN(2)/35)*BP114+(1-EXP(-LN(2)/35))/(LN(2)/35)*BL115*BM115*VLOOKUP('Données projet'!$B$11,Paramètres!$A$1:$I$88,3,0)*0.475*44/12</f>
        <v>187.70795411030832</v>
      </c>
      <c r="BQ115" s="23">
        <f>EXP(-LN(2)/25)*BQ114+(1-EXP(-LN(2)/25))/(LN(2)/25)*Calculateur!BL115*Calculateur!BN115*VLOOKUP('Données projet'!$B$11,Paramètres!$A$1:$I$88,3,0)*0.475*44/12</f>
        <v>72.271792379319209</v>
      </c>
      <c r="BR115" s="23">
        <f>EXP(-LN(2)/2)*BR114+(1-EXP(-LN(2)/2))/(LN(2)/2)*BL115*BO115*VLOOKUP('Données projet'!$B$11,Paramètres!$A$1:$I$88,3,0)*0.475*44/12</f>
        <v>0</v>
      </c>
      <c r="BS115" s="24">
        <f t="shared" si="63"/>
        <v>259.97974648962753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68.767488816940855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-1.1368683772161603E-13</v>
      </c>
      <c r="BZ115" s="14">
        <f>BY115*VLOOKUP('Données projet'!$B$12,Paramètres!$A$1:$I$88,3,0)*VLOOKUP('Données projet'!$B$12,Paramètres!$A$1:$I$88,5,0)</f>
        <v>-1.1527845344971866E-13</v>
      </c>
      <c r="CA115" s="14" t="e">
        <f t="shared" si="93"/>
        <v>#NUM!</v>
      </c>
      <c r="CB115" s="22" t="e">
        <f t="shared" si="64"/>
        <v>#NUM!</v>
      </c>
      <c r="CC115" s="62" t="e">
        <f t="shared" si="65"/>
        <v>#NUM!</v>
      </c>
      <c r="CD115" s="62">
        <f ca="1">AVERAGE(OFFSET($CC$3,0,0,'Données projet'!$E$12+1,1))-AVERAGE(OFFSET($H$3,0,0,'Données projet'!$E$12+1,1))</f>
        <v>310.53598044763282</v>
      </c>
      <c r="CE115" s="62">
        <f t="shared" si="94"/>
        <v>322.01096634040596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projet'!$B$12,Paramètres!$A$1:$I$88,7,0))</f>
        <v>0</v>
      </c>
      <c r="CI115" s="17">
        <f>IF(ISNA(VLOOKUP(A115,'Données projet'!$A$113:$I$133,6,0)),0%,VLOOKUP(A115,'Données projet'!$A$113:$I$133,6,0)*VLOOKUP('Données projet'!$B$12,Paramètres!$A$1:$I$88,7,0))</f>
        <v>0</v>
      </c>
      <c r="CJ115" s="17">
        <f>IF(ISNA(VLOOKUP(A115,'Données projet'!$A$113:$I$133,7,0)),0%,VLOOKUP(A115,'Données projet'!$A$113:$I$133,7,0))</f>
        <v>0</v>
      </c>
      <c r="CK115" s="23">
        <f>EXP(-LN(2)/35)*CK114+(1-EXP(-LN(2)/35))/(LN(2)/35)*CG115*CH115*VLOOKUP('Données projet'!$B$12,Paramètres!$A$1:$I$88,3,0)*0.475*44/12</f>
        <v>25.816669711282092</v>
      </c>
      <c r="CL115" s="23">
        <f>EXP(-LN(2)/25)*CL114+(1-EXP(-LN(2)/25))/(LN(2)/25)*Calculateur!CG115*Calculateur!CI115*VLOOKUP('Données projet'!$B$12,Paramètres!$A$1:$I$88,3,0)*0.475*44/12</f>
        <v>0</v>
      </c>
      <c r="CM115" s="23">
        <f>EXP(-LN(2)/2)*CM114+(1-EXP(-LN(2)/2))/(LN(2)/2)*CG115*CJ115*VLOOKUP('Données projet'!$B$12,Paramètres!$A$1:$I$88,3,0)*0.475*44/12</f>
        <v>0</v>
      </c>
      <c r="CN115" s="24">
        <f t="shared" si="66"/>
        <v>25.816669711282092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68.767488816940855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projet'!$B$13,Paramètres!$A$1:$I$88,3,0)*VLOOKUP('Données projet'!$B$13,Paramètres!$A$1:$I$88,5,0)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projet'!$B$13,Paramètres!$A$1:$I$88,7,0))</f>
        <v>0</v>
      </c>
      <c r="DD115" s="17">
        <f>IF(ISNA(VLOOKUP(A115,'Données projet'!$A$139:$I$159,6,0)),0%,VLOOKUP(A115,'Données projet'!$A$139:$I$159,6,0)*VLOOKUP('Données projet'!$B$13,Paramètres!$A$1:$I$88,7,0))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projet'!$B$13,Paramètres!$A$1:$I$88,3,0)*0.475*44/12</f>
        <v>#N/A</v>
      </c>
      <c r="DG115" s="23" t="e">
        <f>EXP(-LN(2)/25)*DG114+(1-EXP(-LN(2)/25))/(LN(2)/25)*Calculateur!DB115*Calculateur!DD115*VLOOKUP('Données projet'!$B$13,Paramètres!$A$1:$I$88,3,0)*0.475*44/12</f>
        <v>#N/A</v>
      </c>
      <c r="DH115" s="23" t="e">
        <f>EXP(-LN(2)/2)*DH114+(1-EXP(-LN(2)/2))/(LN(2)/2)*DB115*DE115*VLOOKUP('Données projet'!$B$13,Paramètres!$A$1:$I$88,3,0)*0.475*44/12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68.767488816940855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projet'!$B$14,Paramètres!$A$1:$I$88,3,0)*VLOOKUP('Données projet'!$B$14,Paramètres!$A$1:$I$88,5,0)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projet'!$B$14,Paramètres!$A$1:$I$88,7,0))</f>
        <v>0</v>
      </c>
      <c r="DY115" s="17">
        <f>IF(ISNA(VLOOKUP(A115,'Données projet'!$A$165:$I$185,6,0)),0%,VLOOKUP(A115,'Données projet'!$A$165:$I$185,6,0)*VLOOKUP('Données projet'!$B$14,Paramètres!$A$1:$I$88,7,0))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projet'!$B$14,Paramètres!$A$1:$I$88,3,0)*0.475*44/12</f>
        <v>#N/A</v>
      </c>
      <c r="EB115" s="23" t="e">
        <f>EXP(-LN(2)/25)*EB114+(1-EXP(-LN(2)/25))/(LN(2)/25)*Calculateur!DW115*Calculateur!DY115*VLOOKUP('Données projet'!$B$14,Paramètres!$A$1:$I$88,3,0)*0.475*44/12</f>
        <v>#N/A</v>
      </c>
      <c r="EC115" s="23" t="e">
        <f>EXP(-LN(2)/2)*EC114+(1-EXP(-LN(2)/2))/(LN(2)/2)*DW115*DZ115*VLOOKUP('Données projet'!$B$14,Paramètres!$A$1:$I$88,3,0)*0.475*44/12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68.767488816940855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projet'!$B$15,Paramètres!$A$1:$I$88,3,0)*VLOOKUP('Données projet'!$B$15,Paramètres!$A$1:$I$88,5,0)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projet'!$B$15,Paramètres!$A$1:$I$88,7,0))</f>
        <v>0</v>
      </c>
      <c r="ET115" s="17">
        <f>IF(ISNA(VLOOKUP(A115,'Données projet'!$A$191:$I$211,6,0)),0%,VLOOKUP(A115,'Données projet'!$A$191:$I$211,6,0)*VLOOKUP('Données projet'!$B$15,Paramètres!$A$1:$I$88,7,0))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projet'!$B$15,Paramètres!$A$1:$I$88,3,0)*0.475*44/12</f>
        <v>#N/A</v>
      </c>
      <c r="EW115" s="23" t="e">
        <f>EXP(-LN(2)/25)*EW114+(1-EXP(-LN(2)/25))/(LN(2)/25)*Calculateur!ER115*Calculateur!ET115*VLOOKUP('Données projet'!$B$15,Paramètres!$A$1:$I$88,3,0)*0.475*44/12</f>
        <v>#N/A</v>
      </c>
      <c r="EX115" s="23" t="e">
        <f>EXP(-LN(2)/2)*EX114+(1-EXP(-LN(2)/2))/(LN(2)/2)*ER115*EU115*VLOOKUP('Données projet'!$B$15,Paramètres!$A$1:$I$88,3,0)*0.475*44/12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68.767488816940855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projet'!$B$16,Paramètres!$A$1:$I$88,3,0)*VLOOKUP('Données projet'!$B$16,Paramètres!$A$1:$I$88,5,0)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projet'!$B$16,Paramètres!$A$1:$I$88,7,0))</f>
        <v>0</v>
      </c>
      <c r="FO115" s="17">
        <f>IF(ISNA(VLOOKUP(A115,'Données projet'!$A$217:$I$237,6,0)),0%,VLOOKUP(A115,'Données projet'!$A$217:$I$237,6,0)*VLOOKUP('Données projet'!$B$16,Paramètres!$A$1:$I$88,7,0))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projet'!$B$16,Paramètres!$A$1:$I$88,3,0)*0.475*44/12</f>
        <v>#N/A</v>
      </c>
      <c r="FR115" s="23" t="e">
        <f>EXP(-LN(2)/25)*FR114+(1-EXP(-LN(2)/25))/(LN(2)/25)*Calculateur!FM115*Calculateur!FO115*VLOOKUP('Données projet'!$B$16,Paramètres!$A$1:$I$88,3,0)*0.475*44/12</f>
        <v>#N/A</v>
      </c>
      <c r="FS115" s="23" t="e">
        <f>EXP(-LN(2)/2)*FS114+(1-EXP(-LN(2)/2))/(LN(2)/2)*FM115*FP115*VLOOKUP('Données projet'!$B$16,Paramètres!$A$1:$I$88,3,0)*0.475*44/12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68.767488816940855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projet'!$B$17,Paramètres!$A$1:$I$88,3,0)*VLOOKUP('Données projet'!$B$17,Paramètres!$A$1:$I$88,5,0)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projet'!$B$17,Paramètres!$A$1:$I$88,7,0))</f>
        <v>0</v>
      </c>
      <c r="GJ115" s="17">
        <f>IF(ISNA(VLOOKUP(A115,'Données projet'!$A$243:$I$263,6,0)),0%,VLOOKUP(A115,'Données projet'!$A$243:$I$263,6,0)*VLOOKUP('Données projet'!$B$17,Paramètres!$A$1:$I$88,7,0))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projet'!$B$17,Paramètres!$A$1:$I$88,3,0)*0.475*44/12</f>
        <v>#N/A</v>
      </c>
      <c r="GM115" s="23" t="e">
        <f>EXP(-LN(2)/25)*GM114+(1-EXP(-LN(2)/25))/(LN(2)/25)*Calculateur!GH115*Calculateur!GJ115*VLOOKUP('Données projet'!$B$17,Paramètres!$A$1:$I$88,3,0)*0.475*44/12</f>
        <v>#N/A</v>
      </c>
      <c r="GN115" s="23" t="e">
        <f>EXP(-LN(2)/2)*GN114+(1-EXP(-LN(2)/2))/(LN(2)/2)*GH115*GK115*VLOOKUP('Données projet'!$B$17,Paramètres!$A$1:$I$88,3,0)*0.475*44/12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68.767488816940855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projet'!$B$18,Paramètres!$A$1:$I$88,3,0)*VLOOKUP('Données projet'!$B$18,Paramètres!$A$1:$I$88,5,0)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projet'!$B$18,Paramètres!$A$1:$I$88,7,0))</f>
        <v>0</v>
      </c>
      <c r="HE115" s="17">
        <f>IF(ISNA(VLOOKUP(A115,'Données projet'!$A$269:$I$289,6,0)),0%,VLOOKUP(A115,'Données projet'!$A$269:$I$289,6,0)*VLOOKUP('Données projet'!$B$18,Paramètres!$A$1:$I$88,7,0))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projet'!$B$18,Paramètres!$A$1:$I$88,3,0)*0.475*44/12</f>
        <v>#N/A</v>
      </c>
      <c r="HH115" s="23" t="e">
        <f>EXP(-LN(2)/25)*HH114+(1-EXP(-LN(2)/25))/(LN(2)/25)*Calculateur!HC115*Calculateur!HE115*VLOOKUP('Données projet'!$B$18,Paramètres!$A$1:$I$88,3,0)*0.475*44/12</f>
        <v>#N/A</v>
      </c>
      <c r="HI115" s="23" t="e">
        <f>EXP(-LN(2)/2)*HI114+(1-EXP(-LN(2)/2))/(LN(2)/2)*HC115*HF115*VLOOKUP('Données projet'!$B$18,Paramètres!$A$1:$I$88,3,0)*0.475*44/12</f>
        <v>#N/A</v>
      </c>
      <c r="HJ115" s="24" t="e">
        <f t="shared" si="84"/>
        <v>#N/A</v>
      </c>
    </row>
    <row r="116" spans="1:218" s="5" customFormat="1" x14ac:dyDescent="0.35">
      <c r="A116" s="11">
        <f t="shared" si="85"/>
        <v>113</v>
      </c>
      <c r="B116" s="77">
        <f>'Scénario référence'!$B$16*5+'Scénario référence'!$B$17*0+'Scénario référence'!$B$18*5</f>
        <v>1.75</v>
      </c>
      <c r="C116" s="20">
        <f>Calculateur!C115+'Scénario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16" s="12">
        <f t="shared" si="86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6.416666666666667</v>
      </c>
      <c r="H116" s="70">
        <f t="shared" si="56"/>
        <v>231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68.788870130484725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3.4106051316484809E-13</v>
      </c>
      <c r="O116" s="14">
        <f>N116*VLOOKUP('Données projet'!$B$9,Paramètres!$A$1:$I$88,3,0)*VLOOKUP('Données projet'!$B$9,Paramètres!$A$1:$I$88,5,0)</f>
        <v>1.9065282685915009E-13</v>
      </c>
      <c r="P116" s="14">
        <f t="shared" si="87"/>
        <v>2.6568987209435707E-12</v>
      </c>
      <c r="Q116" s="22">
        <f t="shared" si="107"/>
        <v>4.959485612423072E-12</v>
      </c>
      <c r="R116" s="62">
        <f t="shared" si="55"/>
        <v>288.89252381178227</v>
      </c>
      <c r="S116" s="62">
        <f ca="1">AVERAGE(OFFSET($R$3,0,0,'Données projet'!$E$9+1,1))-AVERAGE(OFFSET($H$3,0,0,'Données projet'!$E$9+1,1))</f>
        <v>341.05096821796769</v>
      </c>
      <c r="T116" s="62">
        <f t="shared" si="88"/>
        <v>400.72519822215168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projet'!$B$9,Paramètres!$A$1:$I$88,7,0))</f>
        <v>0</v>
      </c>
      <c r="X116" s="17">
        <f>IF(ISNA(VLOOKUP(A116,'Données projet'!$A$35:$I$55,6,0)),0%,VLOOKUP(A116,'Données projet'!$A$35:$I$55,6,0)*VLOOKUP('Données projet'!$B$9,Paramètres!$A$1:$I$88,7,0))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projet'!$B$9,Paramètres!$A$1:$I$88,3,0)*0.475*44/12</f>
        <v>83.885617412634858</v>
      </c>
      <c r="AA116" s="23">
        <f>EXP(-LN(2)/25)*AA115+(1-EXP(-LN(2)/25))/(LN(2)/25)*Calculateur!V116*Calculateur!X116*VLOOKUP('Données projet'!$B$9,Paramètres!$A$1:$I$88,3,0)*0.475*44/12</f>
        <v>30.486821724960862</v>
      </c>
      <c r="AB116" s="23">
        <f>EXP(-LN(2)/2)*AB115+(1-EXP(-LN(2)/2))/(LN(2)/2)*V116*Y116*VLOOKUP('Données projet'!$B$9,Paramètres!$A$1:$I$88,3,0)*0.475*44/12</f>
        <v>0</v>
      </c>
      <c r="AC116" s="24">
        <f t="shared" si="57"/>
        <v>114.37243913759572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68.788870130484725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5.6843418860808015E-14</v>
      </c>
      <c r="AJ116" s="14">
        <f>AI116*VLOOKUP('Données projet'!$B$10,Paramètres!$A$1:$I$88,3,0)*VLOOKUP('Données projet'!$B$10,Paramètres!$A$1:$I$88,5,0)</f>
        <v>3.3992364478763198E-14</v>
      </c>
      <c r="AK116" s="14">
        <f t="shared" si="89"/>
        <v>5.790027782444094E-13</v>
      </c>
      <c r="AL116" s="22">
        <f t="shared" si="58"/>
        <v>1.0676332069095257E-12</v>
      </c>
      <c r="AM116" s="62">
        <f t="shared" si="59"/>
        <v>288.8925238117784</v>
      </c>
      <c r="AN116" s="62">
        <f ca="1">AVERAGE(OFFSET($AM$3,0,0,'Données projet'!$E$10+1,1))-AVERAGE(OFFSET($H$3,0,0,'Données projet'!$E$10+1,1))</f>
        <v>231.96474801342879</v>
      </c>
      <c r="AO116" s="62">
        <f t="shared" si="90"/>
        <v>237.75726086383668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projet'!$B$10,Paramètres!$A$1:$I$88,7,0))</f>
        <v>0</v>
      </c>
      <c r="AS116" s="17">
        <f>IF(ISNA(VLOOKUP(A116,'Données projet'!$A$61:$I$81,6,0)),0%,VLOOKUP(A116,'Données projet'!$A$61:$I$81,6,0)*VLOOKUP('Données projet'!$B$10,Paramètres!$A$1:$I$88,7,0))</f>
        <v>0</v>
      </c>
      <c r="AT116" s="17">
        <f>IF(ISNA(VLOOKUP(A116,'Données projet'!$A$61:$I$81,7,0)),0%,VLOOKUP(A116,'Données projet'!$A$61:$I$81,7,0))</f>
        <v>0</v>
      </c>
      <c r="AU116" s="23">
        <f>EXP(-LN(2)/35)*AU115+(1-EXP(-LN(2)/35))/(LN(2)/35)*AQ116*AR116*VLOOKUP('Données projet'!$B$10,Paramètres!$A$1:$I$88,3,0)*0.475*44/12</f>
        <v>33.080253902737944</v>
      </c>
      <c r="AV116" s="23">
        <f>EXP(-LN(2)/25)*AV115+(1-EXP(-LN(2)/25))/(LN(2)/25)*Calculateur!AQ116*Calculateur!AS116*VLOOKUP('Données projet'!$B$10,Paramètres!$A$1:$I$88,3,0)*0.475*44/12</f>
        <v>12.873813999180747</v>
      </c>
      <c r="AW116" s="23">
        <f>EXP(-LN(2)/2)*AW115+(1-EXP(-LN(2)/2))/(LN(2)/2)*AQ116*AT116*VLOOKUP('Données projet'!$B$10,Paramètres!$A$1:$I$88,3,0)*0.475*44/12</f>
        <v>0</v>
      </c>
      <c r="AX116" s="23">
        <f t="shared" si="60"/>
        <v>45.954067901918691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68.788870130484725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6.8212102632969618E-13</v>
      </c>
      <c r="BE116" s="14">
        <f>BD116*VLOOKUP('Données projet'!$B$11,Paramètres!$A$1:$I$88,3,0)*VLOOKUP('Données projet'!$B$11,Paramètres!$A$1:$I$88,5,0)</f>
        <v>3.1923264032229784E-13</v>
      </c>
      <c r="BF116" s="14">
        <f t="shared" si="91"/>
        <v>4.1896839804541558E-12</v>
      </c>
      <c r="BG116" s="22">
        <f t="shared" si="61"/>
        <v>7.8530297811856558E-12</v>
      </c>
      <c r="BH116" s="62">
        <f t="shared" si="62"/>
        <v>288.89252381178517</v>
      </c>
      <c r="BI116" s="62">
        <f ca="1">AVERAGE(OFFSET($BH$3,0,0,'Données projet'!$E$11+1,1))-AVERAGE(OFFSET($H$3,0,0,'Données projet'!$E$11+1,1))</f>
        <v>364.96458059055169</v>
      </c>
      <c r="BJ116" s="62">
        <f t="shared" si="92"/>
        <v>246.27159120786257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projet'!$B$11,Paramètres!$A$1:$I$88,7,0))</f>
        <v>0</v>
      </c>
      <c r="BN116" s="17">
        <f>IF(ISNA(VLOOKUP(A116,'Données projet'!$A$87:$I$107,6,0)),0%,VLOOKUP(A116,'Données projet'!$A$87:$I$107,6,0)*VLOOKUP('Données projet'!$B$11,Paramètres!$A$1:$I$88,7,0))</f>
        <v>0</v>
      </c>
      <c r="BO116" s="17">
        <f>IF(ISNA(VLOOKUP(A116,'Données projet'!$A$87:$I$107,7,0)),0%,VLOOKUP(A116,'Données projet'!$A$87:$I$107,7,0))</f>
        <v>0</v>
      </c>
      <c r="BP116" s="23">
        <f>EXP(-LN(2)/35)*BP115+(1-EXP(-LN(2)/35))/(LN(2)/35)*BL116*BM116*VLOOKUP('Données projet'!$B$11,Paramètres!$A$1:$I$88,3,0)*0.475*44/12</f>
        <v>184.02711562075217</v>
      </c>
      <c r="BQ116" s="23">
        <f>EXP(-LN(2)/25)*BQ115+(1-EXP(-LN(2)/25))/(LN(2)/25)*Calculateur!BL116*Calculateur!BN116*VLOOKUP('Données projet'!$B$11,Paramètres!$A$1:$I$88,3,0)*0.475*44/12</f>
        <v>70.295516416098337</v>
      </c>
      <c r="BR116" s="23">
        <f>EXP(-LN(2)/2)*BR115+(1-EXP(-LN(2)/2))/(LN(2)/2)*BL116*BO116*VLOOKUP('Données projet'!$B$11,Paramètres!$A$1:$I$88,3,0)*0.475*44/12</f>
        <v>0</v>
      </c>
      <c r="BS116" s="24">
        <f t="shared" si="63"/>
        <v>254.32263203685051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68.788870130484725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-1.1368683772161603E-13</v>
      </c>
      <c r="BZ116" s="14">
        <f>BY116*VLOOKUP('Données projet'!$B$12,Paramètres!$A$1:$I$88,3,0)*VLOOKUP('Données projet'!$B$12,Paramètres!$A$1:$I$88,5,0)</f>
        <v>-1.1527845344971866E-13</v>
      </c>
      <c r="CA116" s="14" t="e">
        <f t="shared" si="93"/>
        <v>#NUM!</v>
      </c>
      <c r="CB116" s="22" t="e">
        <f t="shared" si="64"/>
        <v>#NUM!</v>
      </c>
      <c r="CC116" s="62" t="e">
        <f t="shared" si="65"/>
        <v>#NUM!</v>
      </c>
      <c r="CD116" s="62">
        <f ca="1">AVERAGE(OFFSET($CC$3,0,0,'Données projet'!$E$12+1,1))-AVERAGE(OFFSET($H$3,0,0,'Données projet'!$E$12+1,1))</f>
        <v>310.53598044763282</v>
      </c>
      <c r="CE116" s="62">
        <f t="shared" si="94"/>
        <v>322.01096634040596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projet'!$B$12,Paramètres!$A$1:$I$88,7,0))</f>
        <v>0</v>
      </c>
      <c r="CI116" s="17">
        <f>IF(ISNA(VLOOKUP(A116,'Données projet'!$A$113:$I$133,6,0)),0%,VLOOKUP(A116,'Données projet'!$A$113:$I$133,6,0)*VLOOKUP('Données projet'!$B$12,Paramètres!$A$1:$I$88,7,0))</f>
        <v>0</v>
      </c>
      <c r="CJ116" s="17">
        <f>IF(ISNA(VLOOKUP(A116,'Données projet'!$A$113:$I$133,7,0)),0%,VLOOKUP(A116,'Données projet'!$A$113:$I$133,7,0))</f>
        <v>0</v>
      </c>
      <c r="CK116" s="23">
        <f>EXP(-LN(2)/35)*CK115+(1-EXP(-LN(2)/35))/(LN(2)/35)*CG116*CH116*VLOOKUP('Données projet'!$B$12,Paramètres!$A$1:$I$88,3,0)*0.475*44/12</f>
        <v>25.310420564857527</v>
      </c>
      <c r="CL116" s="23">
        <f>EXP(-LN(2)/25)*CL115+(1-EXP(-LN(2)/25))/(LN(2)/25)*Calculateur!CG116*Calculateur!CI116*VLOOKUP('Données projet'!$B$12,Paramètres!$A$1:$I$88,3,0)*0.475*44/12</f>
        <v>0</v>
      </c>
      <c r="CM116" s="23">
        <f>EXP(-LN(2)/2)*CM115+(1-EXP(-LN(2)/2))/(LN(2)/2)*CG116*CJ116*VLOOKUP('Données projet'!$B$12,Paramètres!$A$1:$I$88,3,0)*0.475*44/12</f>
        <v>0</v>
      </c>
      <c r="CN116" s="24">
        <f t="shared" si="66"/>
        <v>25.310420564857527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68.788870130484725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projet'!$B$13,Paramètres!$A$1:$I$88,3,0)*VLOOKUP('Données projet'!$B$13,Paramètres!$A$1:$I$88,5,0)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projet'!$B$13,Paramètres!$A$1:$I$88,7,0))</f>
        <v>0</v>
      </c>
      <c r="DD116" s="17">
        <f>IF(ISNA(VLOOKUP(A116,'Données projet'!$A$139:$I$159,6,0)),0%,VLOOKUP(A116,'Données projet'!$A$139:$I$159,6,0)*VLOOKUP('Données projet'!$B$13,Paramètres!$A$1:$I$88,7,0))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projet'!$B$13,Paramètres!$A$1:$I$88,3,0)*0.475*44/12</f>
        <v>#N/A</v>
      </c>
      <c r="DG116" s="23" t="e">
        <f>EXP(-LN(2)/25)*DG115+(1-EXP(-LN(2)/25))/(LN(2)/25)*Calculateur!DB116*Calculateur!DD116*VLOOKUP('Données projet'!$B$13,Paramètres!$A$1:$I$88,3,0)*0.475*44/12</f>
        <v>#N/A</v>
      </c>
      <c r="DH116" s="23" t="e">
        <f>EXP(-LN(2)/2)*DH115+(1-EXP(-LN(2)/2))/(LN(2)/2)*DB116*DE116*VLOOKUP('Données projet'!$B$13,Paramètres!$A$1:$I$88,3,0)*0.475*44/12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68.788870130484725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projet'!$B$14,Paramètres!$A$1:$I$88,3,0)*VLOOKUP('Données projet'!$B$14,Paramètres!$A$1:$I$88,5,0)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projet'!$B$14,Paramètres!$A$1:$I$88,7,0))</f>
        <v>0</v>
      </c>
      <c r="DY116" s="17">
        <f>IF(ISNA(VLOOKUP(A116,'Données projet'!$A$165:$I$185,6,0)),0%,VLOOKUP(A116,'Données projet'!$A$165:$I$185,6,0)*VLOOKUP('Données projet'!$B$14,Paramètres!$A$1:$I$88,7,0))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projet'!$B$14,Paramètres!$A$1:$I$88,3,0)*0.475*44/12</f>
        <v>#N/A</v>
      </c>
      <c r="EB116" s="23" t="e">
        <f>EXP(-LN(2)/25)*EB115+(1-EXP(-LN(2)/25))/(LN(2)/25)*Calculateur!DW116*Calculateur!DY116*VLOOKUP('Données projet'!$B$14,Paramètres!$A$1:$I$88,3,0)*0.475*44/12</f>
        <v>#N/A</v>
      </c>
      <c r="EC116" s="23" t="e">
        <f>EXP(-LN(2)/2)*EC115+(1-EXP(-LN(2)/2))/(LN(2)/2)*DW116*DZ116*VLOOKUP('Données projet'!$B$14,Paramètres!$A$1:$I$88,3,0)*0.475*44/12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68.788870130484725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projet'!$B$15,Paramètres!$A$1:$I$88,3,0)*VLOOKUP('Données projet'!$B$15,Paramètres!$A$1:$I$88,5,0)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projet'!$B$15,Paramètres!$A$1:$I$88,7,0))</f>
        <v>0</v>
      </c>
      <c r="ET116" s="17">
        <f>IF(ISNA(VLOOKUP(A116,'Données projet'!$A$191:$I$211,6,0)),0%,VLOOKUP(A116,'Données projet'!$A$191:$I$211,6,0)*VLOOKUP('Données projet'!$B$15,Paramètres!$A$1:$I$88,7,0))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projet'!$B$15,Paramètres!$A$1:$I$88,3,0)*0.475*44/12</f>
        <v>#N/A</v>
      </c>
      <c r="EW116" s="23" t="e">
        <f>EXP(-LN(2)/25)*EW115+(1-EXP(-LN(2)/25))/(LN(2)/25)*Calculateur!ER116*Calculateur!ET116*VLOOKUP('Données projet'!$B$15,Paramètres!$A$1:$I$88,3,0)*0.475*44/12</f>
        <v>#N/A</v>
      </c>
      <c r="EX116" s="23" t="e">
        <f>EXP(-LN(2)/2)*EX115+(1-EXP(-LN(2)/2))/(LN(2)/2)*ER116*EU116*VLOOKUP('Données projet'!$B$15,Paramètres!$A$1:$I$88,3,0)*0.475*44/12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68.788870130484725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projet'!$B$16,Paramètres!$A$1:$I$88,3,0)*VLOOKUP('Données projet'!$B$16,Paramètres!$A$1:$I$88,5,0)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projet'!$B$16,Paramètres!$A$1:$I$88,7,0))</f>
        <v>0</v>
      </c>
      <c r="FO116" s="17">
        <f>IF(ISNA(VLOOKUP(A116,'Données projet'!$A$217:$I$237,6,0)),0%,VLOOKUP(A116,'Données projet'!$A$217:$I$237,6,0)*VLOOKUP('Données projet'!$B$16,Paramètres!$A$1:$I$88,7,0))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projet'!$B$16,Paramètres!$A$1:$I$88,3,0)*0.475*44/12</f>
        <v>#N/A</v>
      </c>
      <c r="FR116" s="23" t="e">
        <f>EXP(-LN(2)/25)*FR115+(1-EXP(-LN(2)/25))/(LN(2)/25)*Calculateur!FM116*Calculateur!FO116*VLOOKUP('Données projet'!$B$16,Paramètres!$A$1:$I$88,3,0)*0.475*44/12</f>
        <v>#N/A</v>
      </c>
      <c r="FS116" s="23" t="e">
        <f>EXP(-LN(2)/2)*FS115+(1-EXP(-LN(2)/2))/(LN(2)/2)*FM116*FP116*VLOOKUP('Données projet'!$B$16,Paramètres!$A$1:$I$88,3,0)*0.475*44/12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68.788870130484725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projet'!$B$17,Paramètres!$A$1:$I$88,3,0)*VLOOKUP('Données projet'!$B$17,Paramètres!$A$1:$I$88,5,0)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projet'!$B$17,Paramètres!$A$1:$I$88,7,0))</f>
        <v>0</v>
      </c>
      <c r="GJ116" s="17">
        <f>IF(ISNA(VLOOKUP(A116,'Données projet'!$A$243:$I$263,6,0)),0%,VLOOKUP(A116,'Données projet'!$A$243:$I$263,6,0)*VLOOKUP('Données projet'!$B$17,Paramètres!$A$1:$I$88,7,0))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projet'!$B$17,Paramètres!$A$1:$I$88,3,0)*0.475*44/12</f>
        <v>#N/A</v>
      </c>
      <c r="GM116" s="23" t="e">
        <f>EXP(-LN(2)/25)*GM115+(1-EXP(-LN(2)/25))/(LN(2)/25)*Calculateur!GH116*Calculateur!GJ116*VLOOKUP('Données projet'!$B$17,Paramètres!$A$1:$I$88,3,0)*0.475*44/12</f>
        <v>#N/A</v>
      </c>
      <c r="GN116" s="23" t="e">
        <f>EXP(-LN(2)/2)*GN115+(1-EXP(-LN(2)/2))/(LN(2)/2)*GH116*GK116*VLOOKUP('Données projet'!$B$17,Paramètres!$A$1:$I$88,3,0)*0.475*44/12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68.788870130484725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projet'!$B$18,Paramètres!$A$1:$I$88,3,0)*VLOOKUP('Données projet'!$B$18,Paramètres!$A$1:$I$88,5,0)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projet'!$B$18,Paramètres!$A$1:$I$88,7,0))</f>
        <v>0</v>
      </c>
      <c r="HE116" s="17">
        <f>IF(ISNA(VLOOKUP(A116,'Données projet'!$A$269:$I$289,6,0)),0%,VLOOKUP(A116,'Données projet'!$A$269:$I$289,6,0)*VLOOKUP('Données projet'!$B$18,Paramètres!$A$1:$I$88,7,0))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projet'!$B$18,Paramètres!$A$1:$I$88,3,0)*0.475*44/12</f>
        <v>#N/A</v>
      </c>
      <c r="HH116" s="23" t="e">
        <f>EXP(-LN(2)/25)*HH115+(1-EXP(-LN(2)/25))/(LN(2)/25)*Calculateur!HC116*Calculateur!HE116*VLOOKUP('Données projet'!$B$18,Paramètres!$A$1:$I$88,3,0)*0.475*44/12</f>
        <v>#N/A</v>
      </c>
      <c r="HI116" s="23" t="e">
        <f>EXP(-LN(2)/2)*HI115+(1-EXP(-LN(2)/2))/(LN(2)/2)*HC116*HF116*VLOOKUP('Données projet'!$B$18,Paramètres!$A$1:$I$88,3,0)*0.475*44/12</f>
        <v>#N/A</v>
      </c>
      <c r="HJ116" s="24" t="e">
        <f t="shared" si="84"/>
        <v>#N/A</v>
      </c>
    </row>
    <row r="117" spans="1:218" s="5" customFormat="1" x14ac:dyDescent="0.35">
      <c r="A117" s="11">
        <f t="shared" si="85"/>
        <v>114</v>
      </c>
      <c r="B117" s="77">
        <f>'Scénario référence'!$B$16*5+'Scénario référence'!$B$17*0+'Scénario référence'!$B$18*5</f>
        <v>1.75</v>
      </c>
      <c r="C117" s="20">
        <f>Calculateur!C116+'Scénario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17" s="12">
        <f t="shared" si="86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6.416666666666667</v>
      </c>
      <c r="H117" s="70">
        <f t="shared" si="56"/>
        <v>231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68.809880526040075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3.4106051316484809E-13</v>
      </c>
      <c r="O117" s="14">
        <f>N117*VLOOKUP('Données projet'!$B$9,Paramètres!$A$1:$I$88,3,0)*VLOOKUP('Données projet'!$B$9,Paramètres!$A$1:$I$88,5,0)</f>
        <v>1.9065282685915009E-13</v>
      </c>
      <c r="P117" s="14">
        <f t="shared" si="87"/>
        <v>2.6568987209435707E-12</v>
      </c>
      <c r="Q117" s="22">
        <f t="shared" si="107"/>
        <v>4.959485612423072E-12</v>
      </c>
      <c r="R117" s="62">
        <f t="shared" si="55"/>
        <v>288.96956192881856</v>
      </c>
      <c r="S117" s="62">
        <f ca="1">AVERAGE(OFFSET($R$3,0,0,'Données projet'!$E$9+1,1))-AVERAGE(OFFSET($H$3,0,0,'Données projet'!$E$9+1,1))</f>
        <v>341.05096821796769</v>
      </c>
      <c r="T117" s="62">
        <f t="shared" si="88"/>
        <v>400.72519822215168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projet'!$B$9,Paramètres!$A$1:$I$88,7,0))</f>
        <v>0</v>
      </c>
      <c r="X117" s="17">
        <f>IF(ISNA(VLOOKUP(A117,'Données projet'!$A$35:$I$55,6,0)),0%,VLOOKUP(A117,'Données projet'!$A$35:$I$55,6,0)*VLOOKUP('Données projet'!$B$9,Paramètres!$A$1:$I$88,7,0))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projet'!$B$9,Paramètres!$A$1:$I$88,3,0)*0.475*44/12</f>
        <v>82.24067162034757</v>
      </c>
      <c r="AA117" s="23">
        <f>EXP(-LN(2)/25)*AA116+(1-EXP(-LN(2)/25))/(LN(2)/25)*Calculateur!V117*Calculateur!X117*VLOOKUP('Données projet'!$B$9,Paramètres!$A$1:$I$88,3,0)*0.475*44/12</f>
        <v>29.653157981659533</v>
      </c>
      <c r="AB117" s="23">
        <f>EXP(-LN(2)/2)*AB116+(1-EXP(-LN(2)/2))/(LN(2)/2)*V117*Y117*VLOOKUP('Données projet'!$B$9,Paramètres!$A$1:$I$88,3,0)*0.475*44/12</f>
        <v>0</v>
      </c>
      <c r="AC117" s="24">
        <f t="shared" si="57"/>
        <v>111.8938296020071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68.809880526040075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5.6843418860808015E-14</v>
      </c>
      <c r="AJ117" s="14">
        <f>AI117*VLOOKUP('Données projet'!$B$10,Paramètres!$A$1:$I$88,3,0)*VLOOKUP('Données projet'!$B$10,Paramètres!$A$1:$I$88,5,0)</f>
        <v>3.3992364478763198E-14</v>
      </c>
      <c r="AK117" s="14">
        <f t="shared" si="89"/>
        <v>5.790027782444094E-13</v>
      </c>
      <c r="AL117" s="22">
        <f t="shared" si="58"/>
        <v>1.0676332069095257E-12</v>
      </c>
      <c r="AM117" s="62">
        <f t="shared" si="59"/>
        <v>288.9695619288147</v>
      </c>
      <c r="AN117" s="62">
        <f ca="1">AVERAGE(OFFSET($AM$3,0,0,'Données projet'!$E$10+1,1))-AVERAGE(OFFSET($H$3,0,0,'Données projet'!$E$10+1,1))</f>
        <v>231.96474801342879</v>
      </c>
      <c r="AO117" s="62">
        <f t="shared" si="90"/>
        <v>237.75726086383668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projet'!$B$10,Paramètres!$A$1:$I$88,7,0))</f>
        <v>0</v>
      </c>
      <c r="AS117" s="17">
        <f>IF(ISNA(VLOOKUP(A117,'Données projet'!$A$61:$I$81,6,0)),0%,VLOOKUP(A117,'Données projet'!$A$61:$I$81,6,0)*VLOOKUP('Données projet'!$B$10,Paramètres!$A$1:$I$88,7,0))</f>
        <v>0</v>
      </c>
      <c r="AT117" s="17">
        <f>IF(ISNA(VLOOKUP(A117,'Données projet'!$A$61:$I$81,7,0)),0%,VLOOKUP(A117,'Données projet'!$A$61:$I$81,7,0))</f>
        <v>0</v>
      </c>
      <c r="AU117" s="23">
        <f>EXP(-LN(2)/35)*AU116+(1-EXP(-LN(2)/35))/(LN(2)/35)*AQ117*AR117*VLOOKUP('Données projet'!$B$10,Paramètres!$A$1:$I$88,3,0)*0.475*44/12</f>
        <v>32.431570300667822</v>
      </c>
      <c r="AV117" s="23">
        <f>EXP(-LN(2)/25)*AV116+(1-EXP(-LN(2)/25))/(LN(2)/25)*Calculateur!AQ117*Calculateur!AS117*VLOOKUP('Données projet'!$B$10,Paramètres!$A$1:$I$88,3,0)*0.475*44/12</f>
        <v>12.521778878368695</v>
      </c>
      <c r="AW117" s="23">
        <f>EXP(-LN(2)/2)*AW116+(1-EXP(-LN(2)/2))/(LN(2)/2)*AQ117*AT117*VLOOKUP('Données projet'!$B$10,Paramètres!$A$1:$I$88,3,0)*0.475*44/12</f>
        <v>0</v>
      </c>
      <c r="AX117" s="23">
        <f t="shared" si="60"/>
        <v>44.953349179036515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68.809880526040075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6.8212102632969618E-13</v>
      </c>
      <c r="BE117" s="14">
        <f>BD117*VLOOKUP('Données projet'!$B$11,Paramètres!$A$1:$I$88,3,0)*VLOOKUP('Données projet'!$B$11,Paramètres!$A$1:$I$88,5,0)</f>
        <v>3.1923264032229784E-13</v>
      </c>
      <c r="BF117" s="14">
        <f t="shared" si="91"/>
        <v>4.1896839804541558E-12</v>
      </c>
      <c r="BG117" s="22">
        <f t="shared" si="61"/>
        <v>7.8530297811856558E-12</v>
      </c>
      <c r="BH117" s="62">
        <f t="shared" si="62"/>
        <v>288.96956192882146</v>
      </c>
      <c r="BI117" s="62">
        <f ca="1">AVERAGE(OFFSET($BH$3,0,0,'Données projet'!$E$11+1,1))-AVERAGE(OFFSET($H$3,0,0,'Données projet'!$E$11+1,1))</f>
        <v>364.96458059055169</v>
      </c>
      <c r="BJ117" s="62">
        <f t="shared" si="92"/>
        <v>246.27159120786257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projet'!$B$11,Paramètres!$A$1:$I$88,7,0))</f>
        <v>0</v>
      </c>
      <c r="BN117" s="17">
        <f>IF(ISNA(VLOOKUP(A117,'Données projet'!$A$87:$I$107,6,0)),0%,VLOOKUP(A117,'Données projet'!$A$87:$I$107,6,0)*VLOOKUP('Données projet'!$B$11,Paramètres!$A$1:$I$88,7,0))</f>
        <v>0</v>
      </c>
      <c r="BO117" s="17">
        <f>IF(ISNA(VLOOKUP(A117,'Données projet'!$A$87:$I$107,7,0)),0%,VLOOKUP(A117,'Données projet'!$A$87:$I$107,7,0))</f>
        <v>0</v>
      </c>
      <c r="BP117" s="23">
        <f>EXP(-LN(2)/35)*BP116+(1-EXP(-LN(2)/35))/(LN(2)/35)*BL117*BM117*VLOOKUP('Données projet'!$B$11,Paramètres!$A$1:$I$88,3,0)*0.475*44/12</f>
        <v>180.41845612888642</v>
      </c>
      <c r="BQ117" s="23">
        <f>EXP(-LN(2)/25)*BQ116+(1-EXP(-LN(2)/25))/(LN(2)/25)*Calculateur!BL117*Calculateur!BN117*VLOOKUP('Données projet'!$B$11,Paramètres!$A$1:$I$88,3,0)*0.475*44/12</f>
        <v>68.373281823019582</v>
      </c>
      <c r="BR117" s="23">
        <f>EXP(-LN(2)/2)*BR116+(1-EXP(-LN(2)/2))/(LN(2)/2)*BL117*BO117*VLOOKUP('Données projet'!$B$11,Paramètres!$A$1:$I$88,3,0)*0.475*44/12</f>
        <v>0</v>
      </c>
      <c r="BS117" s="24">
        <f t="shared" si="63"/>
        <v>248.79173795190599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68.809880526040075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-1.1368683772161603E-13</v>
      </c>
      <c r="BZ117" s="14">
        <f>BY117*VLOOKUP('Données projet'!$B$12,Paramètres!$A$1:$I$88,3,0)*VLOOKUP('Données projet'!$B$12,Paramètres!$A$1:$I$88,5,0)</f>
        <v>-1.1527845344971866E-13</v>
      </c>
      <c r="CA117" s="14" t="e">
        <f t="shared" si="93"/>
        <v>#NUM!</v>
      </c>
      <c r="CB117" s="22" t="e">
        <f t="shared" si="64"/>
        <v>#NUM!</v>
      </c>
      <c r="CC117" s="62" t="e">
        <f t="shared" si="65"/>
        <v>#NUM!</v>
      </c>
      <c r="CD117" s="62">
        <f ca="1">AVERAGE(OFFSET($CC$3,0,0,'Données projet'!$E$12+1,1))-AVERAGE(OFFSET($H$3,0,0,'Données projet'!$E$12+1,1))</f>
        <v>310.53598044763282</v>
      </c>
      <c r="CE117" s="62">
        <f t="shared" si="94"/>
        <v>322.01096634040596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projet'!$B$12,Paramètres!$A$1:$I$88,7,0))</f>
        <v>0</v>
      </c>
      <c r="CI117" s="17">
        <f>IF(ISNA(VLOOKUP(A117,'Données projet'!$A$113:$I$133,6,0)),0%,VLOOKUP(A117,'Données projet'!$A$113:$I$133,6,0)*VLOOKUP('Données projet'!$B$12,Paramètres!$A$1:$I$88,7,0))</f>
        <v>0</v>
      </c>
      <c r="CJ117" s="17">
        <f>IF(ISNA(VLOOKUP(A117,'Données projet'!$A$113:$I$133,7,0)),0%,VLOOKUP(A117,'Données projet'!$A$113:$I$133,7,0))</f>
        <v>0</v>
      </c>
      <c r="CK117" s="23">
        <f>EXP(-LN(2)/35)*CK116+(1-EXP(-LN(2)/35))/(LN(2)/35)*CG117*CH117*VLOOKUP('Données projet'!$B$12,Paramètres!$A$1:$I$88,3,0)*0.475*44/12</f>
        <v>24.814098655412856</v>
      </c>
      <c r="CL117" s="23">
        <f>EXP(-LN(2)/25)*CL116+(1-EXP(-LN(2)/25))/(LN(2)/25)*Calculateur!CG117*Calculateur!CI117*VLOOKUP('Données projet'!$B$12,Paramètres!$A$1:$I$88,3,0)*0.475*44/12</f>
        <v>0</v>
      </c>
      <c r="CM117" s="23">
        <f>EXP(-LN(2)/2)*CM116+(1-EXP(-LN(2)/2))/(LN(2)/2)*CG117*CJ117*VLOOKUP('Données projet'!$B$12,Paramètres!$A$1:$I$88,3,0)*0.475*44/12</f>
        <v>0</v>
      </c>
      <c r="CN117" s="24">
        <f t="shared" si="66"/>
        <v>24.814098655412856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68.809880526040075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projet'!$B$13,Paramètres!$A$1:$I$88,3,0)*VLOOKUP('Données projet'!$B$13,Paramètres!$A$1:$I$88,5,0)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projet'!$B$13,Paramètres!$A$1:$I$88,7,0))</f>
        <v>0</v>
      </c>
      <c r="DD117" s="17">
        <f>IF(ISNA(VLOOKUP(A117,'Données projet'!$A$139:$I$159,6,0)),0%,VLOOKUP(A117,'Données projet'!$A$139:$I$159,6,0)*VLOOKUP('Données projet'!$B$13,Paramètres!$A$1:$I$88,7,0))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projet'!$B$13,Paramètres!$A$1:$I$88,3,0)*0.475*44/12</f>
        <v>#N/A</v>
      </c>
      <c r="DG117" s="23" t="e">
        <f>EXP(-LN(2)/25)*DG116+(1-EXP(-LN(2)/25))/(LN(2)/25)*Calculateur!DB117*Calculateur!DD117*VLOOKUP('Données projet'!$B$13,Paramètres!$A$1:$I$88,3,0)*0.475*44/12</f>
        <v>#N/A</v>
      </c>
      <c r="DH117" s="23" t="e">
        <f>EXP(-LN(2)/2)*DH116+(1-EXP(-LN(2)/2))/(LN(2)/2)*DB117*DE117*VLOOKUP('Données projet'!$B$13,Paramètres!$A$1:$I$88,3,0)*0.475*44/12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68.809880526040075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projet'!$B$14,Paramètres!$A$1:$I$88,3,0)*VLOOKUP('Données projet'!$B$14,Paramètres!$A$1:$I$88,5,0)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projet'!$B$14,Paramètres!$A$1:$I$88,7,0))</f>
        <v>0</v>
      </c>
      <c r="DY117" s="17">
        <f>IF(ISNA(VLOOKUP(A117,'Données projet'!$A$165:$I$185,6,0)),0%,VLOOKUP(A117,'Données projet'!$A$165:$I$185,6,0)*VLOOKUP('Données projet'!$B$14,Paramètres!$A$1:$I$88,7,0))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projet'!$B$14,Paramètres!$A$1:$I$88,3,0)*0.475*44/12</f>
        <v>#N/A</v>
      </c>
      <c r="EB117" s="23" t="e">
        <f>EXP(-LN(2)/25)*EB116+(1-EXP(-LN(2)/25))/(LN(2)/25)*Calculateur!DW117*Calculateur!DY117*VLOOKUP('Données projet'!$B$14,Paramètres!$A$1:$I$88,3,0)*0.475*44/12</f>
        <v>#N/A</v>
      </c>
      <c r="EC117" s="23" t="e">
        <f>EXP(-LN(2)/2)*EC116+(1-EXP(-LN(2)/2))/(LN(2)/2)*DW117*DZ117*VLOOKUP('Données projet'!$B$14,Paramètres!$A$1:$I$88,3,0)*0.475*44/12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68.809880526040075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projet'!$B$15,Paramètres!$A$1:$I$88,3,0)*VLOOKUP('Données projet'!$B$15,Paramètres!$A$1:$I$88,5,0)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projet'!$B$15,Paramètres!$A$1:$I$88,7,0))</f>
        <v>0</v>
      </c>
      <c r="ET117" s="17">
        <f>IF(ISNA(VLOOKUP(A117,'Données projet'!$A$191:$I$211,6,0)),0%,VLOOKUP(A117,'Données projet'!$A$191:$I$211,6,0)*VLOOKUP('Données projet'!$B$15,Paramètres!$A$1:$I$88,7,0))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projet'!$B$15,Paramètres!$A$1:$I$88,3,0)*0.475*44/12</f>
        <v>#N/A</v>
      </c>
      <c r="EW117" s="23" t="e">
        <f>EXP(-LN(2)/25)*EW116+(1-EXP(-LN(2)/25))/(LN(2)/25)*Calculateur!ER117*Calculateur!ET117*VLOOKUP('Données projet'!$B$15,Paramètres!$A$1:$I$88,3,0)*0.475*44/12</f>
        <v>#N/A</v>
      </c>
      <c r="EX117" s="23" t="e">
        <f>EXP(-LN(2)/2)*EX116+(1-EXP(-LN(2)/2))/(LN(2)/2)*ER117*EU117*VLOOKUP('Données projet'!$B$15,Paramètres!$A$1:$I$88,3,0)*0.475*44/12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68.809880526040075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projet'!$B$16,Paramètres!$A$1:$I$88,3,0)*VLOOKUP('Données projet'!$B$16,Paramètres!$A$1:$I$88,5,0)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projet'!$B$16,Paramètres!$A$1:$I$88,7,0))</f>
        <v>0</v>
      </c>
      <c r="FO117" s="17">
        <f>IF(ISNA(VLOOKUP(A117,'Données projet'!$A$217:$I$237,6,0)),0%,VLOOKUP(A117,'Données projet'!$A$217:$I$237,6,0)*VLOOKUP('Données projet'!$B$16,Paramètres!$A$1:$I$88,7,0))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projet'!$B$16,Paramètres!$A$1:$I$88,3,0)*0.475*44/12</f>
        <v>#N/A</v>
      </c>
      <c r="FR117" s="23" t="e">
        <f>EXP(-LN(2)/25)*FR116+(1-EXP(-LN(2)/25))/(LN(2)/25)*Calculateur!FM117*Calculateur!FO117*VLOOKUP('Données projet'!$B$16,Paramètres!$A$1:$I$88,3,0)*0.475*44/12</f>
        <v>#N/A</v>
      </c>
      <c r="FS117" s="23" t="e">
        <f>EXP(-LN(2)/2)*FS116+(1-EXP(-LN(2)/2))/(LN(2)/2)*FM117*FP117*VLOOKUP('Données projet'!$B$16,Paramètres!$A$1:$I$88,3,0)*0.475*44/12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68.809880526040075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projet'!$B$17,Paramètres!$A$1:$I$88,3,0)*VLOOKUP('Données projet'!$B$17,Paramètres!$A$1:$I$88,5,0)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projet'!$B$17,Paramètres!$A$1:$I$88,7,0))</f>
        <v>0</v>
      </c>
      <c r="GJ117" s="17">
        <f>IF(ISNA(VLOOKUP(A117,'Données projet'!$A$243:$I$263,6,0)),0%,VLOOKUP(A117,'Données projet'!$A$243:$I$263,6,0)*VLOOKUP('Données projet'!$B$17,Paramètres!$A$1:$I$88,7,0))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projet'!$B$17,Paramètres!$A$1:$I$88,3,0)*0.475*44/12</f>
        <v>#N/A</v>
      </c>
      <c r="GM117" s="23" t="e">
        <f>EXP(-LN(2)/25)*GM116+(1-EXP(-LN(2)/25))/(LN(2)/25)*Calculateur!GH117*Calculateur!GJ117*VLOOKUP('Données projet'!$B$17,Paramètres!$A$1:$I$88,3,0)*0.475*44/12</f>
        <v>#N/A</v>
      </c>
      <c r="GN117" s="23" t="e">
        <f>EXP(-LN(2)/2)*GN116+(1-EXP(-LN(2)/2))/(LN(2)/2)*GH117*GK117*VLOOKUP('Données projet'!$B$17,Paramètres!$A$1:$I$88,3,0)*0.475*44/12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68.809880526040075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projet'!$B$18,Paramètres!$A$1:$I$88,3,0)*VLOOKUP('Données projet'!$B$18,Paramètres!$A$1:$I$88,5,0)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projet'!$B$18,Paramètres!$A$1:$I$88,7,0))</f>
        <v>0</v>
      </c>
      <c r="HE117" s="17">
        <f>IF(ISNA(VLOOKUP(A117,'Données projet'!$A$269:$I$289,6,0)),0%,VLOOKUP(A117,'Données projet'!$A$269:$I$289,6,0)*VLOOKUP('Données projet'!$B$18,Paramètres!$A$1:$I$88,7,0))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projet'!$B$18,Paramètres!$A$1:$I$88,3,0)*0.475*44/12</f>
        <v>#N/A</v>
      </c>
      <c r="HH117" s="23" t="e">
        <f>EXP(-LN(2)/25)*HH116+(1-EXP(-LN(2)/25))/(LN(2)/25)*Calculateur!HC117*Calculateur!HE117*VLOOKUP('Données projet'!$B$18,Paramètres!$A$1:$I$88,3,0)*0.475*44/12</f>
        <v>#N/A</v>
      </c>
      <c r="HI117" s="23" t="e">
        <f>EXP(-LN(2)/2)*HI116+(1-EXP(-LN(2)/2))/(LN(2)/2)*HC117*HF117*VLOOKUP('Données projet'!$B$18,Paramètres!$A$1:$I$88,3,0)*0.475*44/12</f>
        <v>#N/A</v>
      </c>
      <c r="HJ117" s="24" t="e">
        <f t="shared" si="84"/>
        <v>#N/A</v>
      </c>
    </row>
    <row r="118" spans="1:218" s="5" customFormat="1" x14ac:dyDescent="0.35">
      <c r="A118" s="11">
        <f t="shared" si="85"/>
        <v>115</v>
      </c>
      <c r="B118" s="77">
        <f>'Scénario référence'!$B$16*5+'Scénario référence'!$B$17*0+'Scénario référence'!$B$18*5</f>
        <v>1.75</v>
      </c>
      <c r="C118" s="20">
        <f>Calculateur!C117+'Scénario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18" s="12">
        <f t="shared" si="86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6.416666666666667</v>
      </c>
      <c r="H118" s="70">
        <f t="shared" si="56"/>
        <v>231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68.830526438204743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3.4106051316484809E-13</v>
      </c>
      <c r="O118" s="14">
        <f>N118*VLOOKUP('Données projet'!$B$9,Paramètres!$A$1:$I$88,3,0)*VLOOKUP('Données projet'!$B$9,Paramètres!$A$1:$I$88,5,0)</f>
        <v>1.9065282685915009E-13</v>
      </c>
      <c r="P118" s="14">
        <f t="shared" si="87"/>
        <v>2.6568987209435707E-12</v>
      </c>
      <c r="Q118" s="22">
        <f t="shared" si="107"/>
        <v>4.959485612423072E-12</v>
      </c>
      <c r="R118" s="62">
        <f t="shared" si="55"/>
        <v>289.04526360675567</v>
      </c>
      <c r="S118" s="62">
        <f ca="1">AVERAGE(OFFSET($R$3,0,0,'Données projet'!$E$9+1,1))-AVERAGE(OFFSET($H$3,0,0,'Données projet'!$E$9+1,1))</f>
        <v>341.05096821796769</v>
      </c>
      <c r="T118" s="62">
        <f t="shared" si="88"/>
        <v>400.72519822215168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projet'!$B$9,Paramètres!$A$1:$I$88,7,0))</f>
        <v>0</v>
      </c>
      <c r="X118" s="17">
        <f>IF(ISNA(VLOOKUP(A118,'Données projet'!$A$35:$I$55,6,0)),0%,VLOOKUP(A118,'Données projet'!$A$35:$I$55,6,0)*VLOOKUP('Données projet'!$B$9,Paramètres!$A$1:$I$88,7,0))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projet'!$B$9,Paramètres!$A$1:$I$88,3,0)*0.475*44/12</f>
        <v>80.627982211729176</v>
      </c>
      <c r="AA118" s="23">
        <f>EXP(-LN(2)/25)*AA117+(1-EXP(-LN(2)/25))/(LN(2)/25)*Calculateur!V118*Calculateur!X118*VLOOKUP('Données projet'!$B$9,Paramètres!$A$1:$I$88,3,0)*0.475*44/12</f>
        <v>28.842290817259247</v>
      </c>
      <c r="AB118" s="23">
        <f>EXP(-LN(2)/2)*AB117+(1-EXP(-LN(2)/2))/(LN(2)/2)*V118*Y118*VLOOKUP('Données projet'!$B$9,Paramètres!$A$1:$I$88,3,0)*0.475*44/12</f>
        <v>0</v>
      </c>
      <c r="AC118" s="24">
        <f t="shared" si="57"/>
        <v>109.47027302898843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68.830526438204743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5.6843418860808015E-14</v>
      </c>
      <c r="AJ118" s="14">
        <f>AI118*VLOOKUP('Données projet'!$B$10,Paramètres!$A$1:$I$88,3,0)*VLOOKUP('Données projet'!$B$10,Paramètres!$A$1:$I$88,5,0)</f>
        <v>3.3992364478763198E-14</v>
      </c>
      <c r="AK118" s="14">
        <f t="shared" si="89"/>
        <v>5.790027782444094E-13</v>
      </c>
      <c r="AL118" s="22">
        <f t="shared" si="58"/>
        <v>1.0676332069095257E-12</v>
      </c>
      <c r="AM118" s="62">
        <f t="shared" si="59"/>
        <v>289.0452636067518</v>
      </c>
      <c r="AN118" s="62">
        <f ca="1">AVERAGE(OFFSET($AM$3,0,0,'Données projet'!$E$10+1,1))-AVERAGE(OFFSET($H$3,0,0,'Données projet'!$E$10+1,1))</f>
        <v>231.96474801342879</v>
      </c>
      <c r="AO118" s="62">
        <f t="shared" si="90"/>
        <v>237.75726086383668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projet'!$B$10,Paramètres!$A$1:$I$88,7,0))</f>
        <v>0</v>
      </c>
      <c r="AS118" s="17">
        <f>IF(ISNA(VLOOKUP(A118,'Données projet'!$A$61:$I$81,6,0)),0%,VLOOKUP(A118,'Données projet'!$A$61:$I$81,6,0)*VLOOKUP('Données projet'!$B$10,Paramètres!$A$1:$I$88,7,0))</f>
        <v>0</v>
      </c>
      <c r="AT118" s="17">
        <f>IF(ISNA(VLOOKUP(A118,'Données projet'!$A$61:$I$81,7,0)),0%,VLOOKUP(A118,'Données projet'!$A$61:$I$81,7,0))</f>
        <v>0</v>
      </c>
      <c r="AU118" s="23">
        <f>EXP(-LN(2)/35)*AU117+(1-EXP(-LN(2)/35))/(LN(2)/35)*AQ118*AR118*VLOOKUP('Données projet'!$B$10,Paramètres!$A$1:$I$88,3,0)*0.475*44/12</f>
        <v>31.795606988376367</v>
      </c>
      <c r="AV118" s="23">
        <f>EXP(-LN(2)/25)*AV117+(1-EXP(-LN(2)/25))/(LN(2)/25)*Calculateur!AQ118*Calculateur!AS118*VLOOKUP('Données projet'!$B$10,Paramètres!$A$1:$I$88,3,0)*0.475*44/12</f>
        <v>12.17937017644797</v>
      </c>
      <c r="AW118" s="23">
        <f>EXP(-LN(2)/2)*AW117+(1-EXP(-LN(2)/2))/(LN(2)/2)*AQ118*AT118*VLOOKUP('Données projet'!$B$10,Paramètres!$A$1:$I$88,3,0)*0.475*44/12</f>
        <v>0</v>
      </c>
      <c r="AX118" s="23">
        <f t="shared" si="60"/>
        <v>43.974977164824338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68.830526438204743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6.8212102632969618E-13</v>
      </c>
      <c r="BE118" s="14">
        <f>BD118*VLOOKUP('Données projet'!$B$11,Paramètres!$A$1:$I$88,3,0)*VLOOKUP('Données projet'!$B$11,Paramètres!$A$1:$I$88,5,0)</f>
        <v>3.1923264032229784E-13</v>
      </c>
      <c r="BF118" s="14">
        <f t="shared" si="91"/>
        <v>4.1896839804541558E-12</v>
      </c>
      <c r="BG118" s="22">
        <f t="shared" si="61"/>
        <v>7.8530297811856558E-12</v>
      </c>
      <c r="BH118" s="62">
        <f t="shared" si="62"/>
        <v>289.04526360675857</v>
      </c>
      <c r="BI118" s="62">
        <f ca="1">AVERAGE(OFFSET($BH$3,0,0,'Données projet'!$E$11+1,1))-AVERAGE(OFFSET($H$3,0,0,'Données projet'!$E$11+1,1))</f>
        <v>364.96458059055169</v>
      </c>
      <c r="BJ118" s="62">
        <f t="shared" si="92"/>
        <v>246.27159120786257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projet'!$B$11,Paramètres!$A$1:$I$88,7,0))</f>
        <v>0</v>
      </c>
      <c r="BN118" s="17">
        <f>IF(ISNA(VLOOKUP(A118,'Données projet'!$A$87:$I$107,6,0)),0%,VLOOKUP(A118,'Données projet'!$A$87:$I$107,6,0)*VLOOKUP('Données projet'!$B$11,Paramètres!$A$1:$I$88,7,0))</f>
        <v>0</v>
      </c>
      <c r="BO118" s="17">
        <f>IF(ISNA(VLOOKUP(A118,'Données projet'!$A$87:$I$107,7,0)),0%,VLOOKUP(A118,'Données projet'!$A$87:$I$107,7,0))</f>
        <v>0</v>
      </c>
      <c r="BP118" s="23">
        <f>EXP(-LN(2)/35)*BP117+(1-EXP(-LN(2)/35))/(LN(2)/35)*BL118*BM118*VLOOKUP('Données projet'!$B$11,Paramètres!$A$1:$I$88,3,0)*0.475*44/12</f>
        <v>176.88056024859122</v>
      </c>
      <c r="BQ118" s="23">
        <f>EXP(-LN(2)/25)*BQ117+(1-EXP(-LN(2)/25))/(LN(2)/25)*Calculateur!BL118*Calculateur!BN118*VLOOKUP('Données projet'!$B$11,Paramètres!$A$1:$I$88,3,0)*0.475*44/12</f>
        <v>66.503610835974484</v>
      </c>
      <c r="BR118" s="23">
        <f>EXP(-LN(2)/2)*BR117+(1-EXP(-LN(2)/2))/(LN(2)/2)*BL118*BO118*VLOOKUP('Données projet'!$B$11,Paramètres!$A$1:$I$88,3,0)*0.475*44/12</f>
        <v>0</v>
      </c>
      <c r="BS118" s="24">
        <f t="shared" si="63"/>
        <v>243.38417108456571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68.830526438204743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-1.1368683772161603E-13</v>
      </c>
      <c r="BZ118" s="14">
        <f>BY118*VLOOKUP('Données projet'!$B$12,Paramètres!$A$1:$I$88,3,0)*VLOOKUP('Données projet'!$B$12,Paramètres!$A$1:$I$88,5,0)</f>
        <v>-1.1527845344971866E-13</v>
      </c>
      <c r="CA118" s="14" t="e">
        <f t="shared" si="93"/>
        <v>#NUM!</v>
      </c>
      <c r="CB118" s="22" t="e">
        <f t="shared" si="64"/>
        <v>#NUM!</v>
      </c>
      <c r="CC118" s="62" t="e">
        <f t="shared" si="65"/>
        <v>#NUM!</v>
      </c>
      <c r="CD118" s="62">
        <f ca="1">AVERAGE(OFFSET($CC$3,0,0,'Données projet'!$E$12+1,1))-AVERAGE(OFFSET($H$3,0,0,'Données projet'!$E$12+1,1))</f>
        <v>310.53598044763282</v>
      </c>
      <c r="CE118" s="62">
        <f t="shared" si="94"/>
        <v>322.01096634040596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projet'!$B$12,Paramètres!$A$1:$I$88,7,0))</f>
        <v>0</v>
      </c>
      <c r="CI118" s="17">
        <f>IF(ISNA(VLOOKUP(A118,'Données projet'!$A$113:$I$133,6,0)),0%,VLOOKUP(A118,'Données projet'!$A$113:$I$133,6,0)*VLOOKUP('Données projet'!$B$12,Paramètres!$A$1:$I$88,7,0))</f>
        <v>0</v>
      </c>
      <c r="CJ118" s="17">
        <f>IF(ISNA(VLOOKUP(A118,'Données projet'!$A$113:$I$133,7,0)),0%,VLOOKUP(A118,'Données projet'!$A$113:$I$133,7,0))</f>
        <v>0</v>
      </c>
      <c r="CK118" s="23">
        <f>EXP(-LN(2)/35)*CK117+(1-EXP(-LN(2)/35))/(LN(2)/35)*CG118*CH118*VLOOKUP('Données projet'!$B$12,Paramètres!$A$1:$I$88,3,0)*0.475*44/12</f>
        <v>24.327509315885923</v>
      </c>
      <c r="CL118" s="23">
        <f>EXP(-LN(2)/25)*CL117+(1-EXP(-LN(2)/25))/(LN(2)/25)*Calculateur!CG118*Calculateur!CI118*VLOOKUP('Données projet'!$B$12,Paramètres!$A$1:$I$88,3,0)*0.475*44/12</f>
        <v>0</v>
      </c>
      <c r="CM118" s="23">
        <f>EXP(-LN(2)/2)*CM117+(1-EXP(-LN(2)/2))/(LN(2)/2)*CG118*CJ118*VLOOKUP('Données projet'!$B$12,Paramètres!$A$1:$I$88,3,0)*0.475*44/12</f>
        <v>0</v>
      </c>
      <c r="CN118" s="24">
        <f t="shared" si="66"/>
        <v>24.327509315885923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68.830526438204743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projet'!$B$13,Paramètres!$A$1:$I$88,3,0)*VLOOKUP('Données projet'!$B$13,Paramètres!$A$1:$I$88,5,0)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projet'!$B$13,Paramètres!$A$1:$I$88,7,0))</f>
        <v>0</v>
      </c>
      <c r="DD118" s="17">
        <f>IF(ISNA(VLOOKUP(A118,'Données projet'!$A$139:$I$159,6,0)),0%,VLOOKUP(A118,'Données projet'!$A$139:$I$159,6,0)*VLOOKUP('Données projet'!$B$13,Paramètres!$A$1:$I$88,7,0))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projet'!$B$13,Paramètres!$A$1:$I$88,3,0)*0.475*44/12</f>
        <v>#N/A</v>
      </c>
      <c r="DG118" s="23" t="e">
        <f>EXP(-LN(2)/25)*DG117+(1-EXP(-LN(2)/25))/(LN(2)/25)*Calculateur!DB118*Calculateur!DD118*VLOOKUP('Données projet'!$B$13,Paramètres!$A$1:$I$88,3,0)*0.475*44/12</f>
        <v>#N/A</v>
      </c>
      <c r="DH118" s="23" t="e">
        <f>EXP(-LN(2)/2)*DH117+(1-EXP(-LN(2)/2))/(LN(2)/2)*DB118*DE118*VLOOKUP('Données projet'!$B$13,Paramètres!$A$1:$I$88,3,0)*0.475*44/12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68.830526438204743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projet'!$B$14,Paramètres!$A$1:$I$88,3,0)*VLOOKUP('Données projet'!$B$14,Paramètres!$A$1:$I$88,5,0)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projet'!$B$14,Paramètres!$A$1:$I$88,7,0))</f>
        <v>0</v>
      </c>
      <c r="DY118" s="17">
        <f>IF(ISNA(VLOOKUP(A118,'Données projet'!$A$165:$I$185,6,0)),0%,VLOOKUP(A118,'Données projet'!$A$165:$I$185,6,0)*VLOOKUP('Données projet'!$B$14,Paramètres!$A$1:$I$88,7,0))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projet'!$B$14,Paramètres!$A$1:$I$88,3,0)*0.475*44/12</f>
        <v>#N/A</v>
      </c>
      <c r="EB118" s="23" t="e">
        <f>EXP(-LN(2)/25)*EB117+(1-EXP(-LN(2)/25))/(LN(2)/25)*Calculateur!DW118*Calculateur!DY118*VLOOKUP('Données projet'!$B$14,Paramètres!$A$1:$I$88,3,0)*0.475*44/12</f>
        <v>#N/A</v>
      </c>
      <c r="EC118" s="23" t="e">
        <f>EXP(-LN(2)/2)*EC117+(1-EXP(-LN(2)/2))/(LN(2)/2)*DW118*DZ118*VLOOKUP('Données projet'!$B$14,Paramètres!$A$1:$I$88,3,0)*0.475*44/12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68.830526438204743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projet'!$B$15,Paramètres!$A$1:$I$88,3,0)*VLOOKUP('Données projet'!$B$15,Paramètres!$A$1:$I$88,5,0)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projet'!$B$15,Paramètres!$A$1:$I$88,7,0))</f>
        <v>0</v>
      </c>
      <c r="ET118" s="17">
        <f>IF(ISNA(VLOOKUP(A118,'Données projet'!$A$191:$I$211,6,0)),0%,VLOOKUP(A118,'Données projet'!$A$191:$I$211,6,0)*VLOOKUP('Données projet'!$B$15,Paramètres!$A$1:$I$88,7,0))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projet'!$B$15,Paramètres!$A$1:$I$88,3,0)*0.475*44/12</f>
        <v>#N/A</v>
      </c>
      <c r="EW118" s="23" t="e">
        <f>EXP(-LN(2)/25)*EW117+(1-EXP(-LN(2)/25))/(LN(2)/25)*Calculateur!ER118*Calculateur!ET118*VLOOKUP('Données projet'!$B$15,Paramètres!$A$1:$I$88,3,0)*0.475*44/12</f>
        <v>#N/A</v>
      </c>
      <c r="EX118" s="23" t="e">
        <f>EXP(-LN(2)/2)*EX117+(1-EXP(-LN(2)/2))/(LN(2)/2)*ER118*EU118*VLOOKUP('Données projet'!$B$15,Paramètres!$A$1:$I$88,3,0)*0.475*44/12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68.830526438204743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projet'!$B$16,Paramètres!$A$1:$I$88,3,0)*VLOOKUP('Données projet'!$B$16,Paramètres!$A$1:$I$88,5,0)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projet'!$B$16,Paramètres!$A$1:$I$88,7,0))</f>
        <v>0</v>
      </c>
      <c r="FO118" s="17">
        <f>IF(ISNA(VLOOKUP(A118,'Données projet'!$A$217:$I$237,6,0)),0%,VLOOKUP(A118,'Données projet'!$A$217:$I$237,6,0)*VLOOKUP('Données projet'!$B$16,Paramètres!$A$1:$I$88,7,0))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projet'!$B$16,Paramètres!$A$1:$I$88,3,0)*0.475*44/12</f>
        <v>#N/A</v>
      </c>
      <c r="FR118" s="23" t="e">
        <f>EXP(-LN(2)/25)*FR117+(1-EXP(-LN(2)/25))/(LN(2)/25)*Calculateur!FM118*Calculateur!FO118*VLOOKUP('Données projet'!$B$16,Paramètres!$A$1:$I$88,3,0)*0.475*44/12</f>
        <v>#N/A</v>
      </c>
      <c r="FS118" s="23" t="e">
        <f>EXP(-LN(2)/2)*FS117+(1-EXP(-LN(2)/2))/(LN(2)/2)*FM118*FP118*VLOOKUP('Données projet'!$B$16,Paramètres!$A$1:$I$88,3,0)*0.475*44/12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68.830526438204743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projet'!$B$17,Paramètres!$A$1:$I$88,3,0)*VLOOKUP('Données projet'!$B$17,Paramètres!$A$1:$I$88,5,0)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projet'!$B$17,Paramètres!$A$1:$I$88,7,0))</f>
        <v>0</v>
      </c>
      <c r="GJ118" s="17">
        <f>IF(ISNA(VLOOKUP(A118,'Données projet'!$A$243:$I$263,6,0)),0%,VLOOKUP(A118,'Données projet'!$A$243:$I$263,6,0)*VLOOKUP('Données projet'!$B$17,Paramètres!$A$1:$I$88,7,0))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projet'!$B$17,Paramètres!$A$1:$I$88,3,0)*0.475*44/12</f>
        <v>#N/A</v>
      </c>
      <c r="GM118" s="23" t="e">
        <f>EXP(-LN(2)/25)*GM117+(1-EXP(-LN(2)/25))/(LN(2)/25)*Calculateur!GH118*Calculateur!GJ118*VLOOKUP('Données projet'!$B$17,Paramètres!$A$1:$I$88,3,0)*0.475*44/12</f>
        <v>#N/A</v>
      </c>
      <c r="GN118" s="23" t="e">
        <f>EXP(-LN(2)/2)*GN117+(1-EXP(-LN(2)/2))/(LN(2)/2)*GH118*GK118*VLOOKUP('Données projet'!$B$17,Paramètres!$A$1:$I$88,3,0)*0.475*44/12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68.830526438204743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projet'!$B$18,Paramètres!$A$1:$I$88,3,0)*VLOOKUP('Données projet'!$B$18,Paramètres!$A$1:$I$88,5,0)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projet'!$B$18,Paramètres!$A$1:$I$88,7,0))</f>
        <v>0</v>
      </c>
      <c r="HE118" s="17">
        <f>IF(ISNA(VLOOKUP(A118,'Données projet'!$A$269:$I$289,6,0)),0%,VLOOKUP(A118,'Données projet'!$A$269:$I$289,6,0)*VLOOKUP('Données projet'!$B$18,Paramètres!$A$1:$I$88,7,0))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projet'!$B$18,Paramètres!$A$1:$I$88,3,0)*0.475*44/12</f>
        <v>#N/A</v>
      </c>
      <c r="HH118" s="23" t="e">
        <f>EXP(-LN(2)/25)*HH117+(1-EXP(-LN(2)/25))/(LN(2)/25)*Calculateur!HC118*Calculateur!HE118*VLOOKUP('Données projet'!$B$18,Paramètres!$A$1:$I$88,3,0)*0.475*44/12</f>
        <v>#N/A</v>
      </c>
      <c r="HI118" s="23" t="e">
        <f>EXP(-LN(2)/2)*HI117+(1-EXP(-LN(2)/2))/(LN(2)/2)*HC118*HF118*VLOOKUP('Données projet'!$B$18,Paramètres!$A$1:$I$88,3,0)*0.475*44/12</f>
        <v>#N/A</v>
      </c>
      <c r="HJ118" s="24" t="e">
        <f t="shared" si="84"/>
        <v>#N/A</v>
      </c>
    </row>
    <row r="119" spans="1:218" s="5" customFormat="1" x14ac:dyDescent="0.35">
      <c r="A119" s="11">
        <f t="shared" si="85"/>
        <v>116</v>
      </c>
      <c r="B119" s="77">
        <f>'Scénario référence'!$B$16*5+'Scénario référence'!$B$17*0+'Scénario référence'!$B$18*5</f>
        <v>1.75</v>
      </c>
      <c r="C119" s="20">
        <f>Calculateur!C118+'Scénario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19" s="12">
        <f t="shared" si="86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6.416666666666667</v>
      </c>
      <c r="H119" s="70">
        <f t="shared" si="56"/>
        <v>231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68.850814189950682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3.4106051316484809E-13</v>
      </c>
      <c r="O119" s="14">
        <f>N119*VLOOKUP('Données projet'!$B$9,Paramètres!$A$1:$I$88,3,0)*VLOOKUP('Données projet'!$B$9,Paramètres!$A$1:$I$88,5,0)</f>
        <v>1.9065282685915009E-13</v>
      </c>
      <c r="P119" s="14">
        <f t="shared" si="87"/>
        <v>2.6568987209435707E-12</v>
      </c>
      <c r="Q119" s="22">
        <f t="shared" si="107"/>
        <v>4.959485612423072E-12</v>
      </c>
      <c r="R119" s="62">
        <f t="shared" si="55"/>
        <v>289.11965202982412</v>
      </c>
      <c r="S119" s="62">
        <f ca="1">AVERAGE(OFFSET($R$3,0,0,'Données projet'!$E$9+1,1))-AVERAGE(OFFSET($H$3,0,0,'Données projet'!$E$9+1,1))</f>
        <v>341.05096821796769</v>
      </c>
      <c r="T119" s="62">
        <f t="shared" si="88"/>
        <v>400.72519822215168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projet'!$B$9,Paramètres!$A$1:$I$88,7,0))</f>
        <v>0</v>
      </c>
      <c r="X119" s="17">
        <f>IF(ISNA(VLOOKUP(A119,'Données projet'!$A$35:$I$55,6,0)),0%,VLOOKUP(A119,'Données projet'!$A$35:$I$55,6,0)*VLOOKUP('Données projet'!$B$9,Paramètres!$A$1:$I$88,7,0))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projet'!$B$9,Paramètres!$A$1:$I$88,3,0)*0.475*44/12</f>
        <v>79.046916658770371</v>
      </c>
      <c r="AA119" s="23">
        <f>EXP(-LN(2)/25)*AA118+(1-EXP(-LN(2)/25))/(LN(2)/25)*Calculateur!V119*Calculateur!X119*VLOOKUP('Données projet'!$B$9,Paramètres!$A$1:$I$88,3,0)*0.475*44/12</f>
        <v>28.053596858111138</v>
      </c>
      <c r="AB119" s="23">
        <f>EXP(-LN(2)/2)*AB118+(1-EXP(-LN(2)/2))/(LN(2)/2)*V119*Y119*VLOOKUP('Données projet'!$B$9,Paramètres!$A$1:$I$88,3,0)*0.475*44/12</f>
        <v>0</v>
      </c>
      <c r="AC119" s="24">
        <f t="shared" si="57"/>
        <v>107.10051351688151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68.850814189950682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5.6843418860808015E-14</v>
      </c>
      <c r="AJ119" s="14">
        <f>AI119*VLOOKUP('Données projet'!$B$10,Paramètres!$A$1:$I$88,3,0)*VLOOKUP('Données projet'!$B$10,Paramètres!$A$1:$I$88,5,0)</f>
        <v>3.3992364478763198E-14</v>
      </c>
      <c r="AK119" s="14">
        <f t="shared" si="89"/>
        <v>5.790027782444094E-13</v>
      </c>
      <c r="AL119" s="22">
        <f t="shared" si="58"/>
        <v>1.0676332069095257E-12</v>
      </c>
      <c r="AM119" s="62">
        <f t="shared" si="59"/>
        <v>289.11965202982026</v>
      </c>
      <c r="AN119" s="62">
        <f ca="1">AVERAGE(OFFSET($AM$3,0,0,'Données projet'!$E$10+1,1))-AVERAGE(OFFSET($H$3,0,0,'Données projet'!$E$10+1,1))</f>
        <v>231.96474801342879</v>
      </c>
      <c r="AO119" s="62">
        <f t="shared" si="90"/>
        <v>237.75726086383668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projet'!$B$10,Paramètres!$A$1:$I$88,7,0))</f>
        <v>0</v>
      </c>
      <c r="AS119" s="17">
        <f>IF(ISNA(VLOOKUP(A119,'Données projet'!$A$61:$I$81,6,0)),0%,VLOOKUP(A119,'Données projet'!$A$61:$I$81,6,0)*VLOOKUP('Données projet'!$B$10,Paramètres!$A$1:$I$88,7,0))</f>
        <v>0</v>
      </c>
      <c r="AT119" s="17">
        <f>IF(ISNA(VLOOKUP(A119,'Données projet'!$A$61:$I$81,7,0)),0%,VLOOKUP(A119,'Données projet'!$A$61:$I$81,7,0))</f>
        <v>0</v>
      </c>
      <c r="AU119" s="23">
        <f>EXP(-LN(2)/35)*AU118+(1-EXP(-LN(2)/35))/(LN(2)/35)*AQ119*AR119*VLOOKUP('Données projet'!$B$10,Paramètres!$A$1:$I$88,3,0)*0.475*44/12</f>
        <v>31.17211452873963</v>
      </c>
      <c r="AV119" s="23">
        <f>EXP(-LN(2)/25)*AV118+(1-EXP(-LN(2)/25))/(LN(2)/25)*Calculateur!AQ119*Calculateur!AS119*VLOOKUP('Données projet'!$B$10,Paramètres!$A$1:$I$88,3,0)*0.475*44/12</f>
        <v>11.846324658487758</v>
      </c>
      <c r="AW119" s="23">
        <f>EXP(-LN(2)/2)*AW118+(1-EXP(-LN(2)/2))/(LN(2)/2)*AQ119*AT119*VLOOKUP('Données projet'!$B$10,Paramètres!$A$1:$I$88,3,0)*0.475*44/12</f>
        <v>0</v>
      </c>
      <c r="AX119" s="23">
        <f t="shared" si="60"/>
        <v>43.018439187227386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68.850814189950682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6.8212102632969618E-13</v>
      </c>
      <c r="BE119" s="14">
        <f>BD119*VLOOKUP('Données projet'!$B$11,Paramètres!$A$1:$I$88,3,0)*VLOOKUP('Données projet'!$B$11,Paramètres!$A$1:$I$88,5,0)</f>
        <v>3.1923264032229784E-13</v>
      </c>
      <c r="BF119" s="14">
        <f t="shared" si="91"/>
        <v>4.1896839804541558E-12</v>
      </c>
      <c r="BG119" s="22">
        <f t="shared" si="61"/>
        <v>7.8530297811856558E-12</v>
      </c>
      <c r="BH119" s="62">
        <f t="shared" si="62"/>
        <v>289.11965202982702</v>
      </c>
      <c r="BI119" s="62">
        <f ca="1">AVERAGE(OFFSET($BH$3,0,0,'Données projet'!$E$11+1,1))-AVERAGE(OFFSET($H$3,0,0,'Données projet'!$E$11+1,1))</f>
        <v>364.96458059055169</v>
      </c>
      <c r="BJ119" s="62">
        <f t="shared" si="92"/>
        <v>246.27159120786257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projet'!$B$11,Paramètres!$A$1:$I$88,7,0))</f>
        <v>0</v>
      </c>
      <c r="BN119" s="17">
        <f>IF(ISNA(VLOOKUP(A119,'Données projet'!$A$87:$I$107,6,0)),0%,VLOOKUP(A119,'Données projet'!$A$87:$I$107,6,0)*VLOOKUP('Données projet'!$B$11,Paramètres!$A$1:$I$88,7,0))</f>
        <v>0</v>
      </c>
      <c r="BO119" s="17">
        <f>IF(ISNA(VLOOKUP(A119,'Données projet'!$A$87:$I$107,7,0)),0%,VLOOKUP(A119,'Données projet'!$A$87:$I$107,7,0))</f>
        <v>0</v>
      </c>
      <c r="BP119" s="23">
        <f>EXP(-LN(2)/35)*BP118+(1-EXP(-LN(2)/35))/(LN(2)/35)*BL119*BM119*VLOOKUP('Données projet'!$B$11,Paramètres!$A$1:$I$88,3,0)*0.475*44/12</f>
        <v>173.41204034860519</v>
      </c>
      <c r="BQ119" s="23">
        <f>EXP(-LN(2)/25)*BQ118+(1-EXP(-LN(2)/25))/(LN(2)/25)*Calculateur!BL119*Calculateur!BN119*VLOOKUP('Données projet'!$B$11,Paramètres!$A$1:$I$88,3,0)*0.475*44/12</f>
        <v>64.685066100391865</v>
      </c>
      <c r="BR119" s="23">
        <f>EXP(-LN(2)/2)*BR118+(1-EXP(-LN(2)/2))/(LN(2)/2)*BL119*BO119*VLOOKUP('Données projet'!$B$11,Paramètres!$A$1:$I$88,3,0)*0.475*44/12</f>
        <v>0</v>
      </c>
      <c r="BS119" s="24">
        <f t="shared" si="63"/>
        <v>238.09710644899707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68.850814189950682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-1.1368683772161603E-13</v>
      </c>
      <c r="BZ119" s="14">
        <f>BY119*VLOOKUP('Données projet'!$B$12,Paramètres!$A$1:$I$88,3,0)*VLOOKUP('Données projet'!$B$12,Paramètres!$A$1:$I$88,5,0)</f>
        <v>-1.1527845344971866E-13</v>
      </c>
      <c r="CA119" s="14" t="e">
        <f t="shared" si="93"/>
        <v>#NUM!</v>
      </c>
      <c r="CB119" s="22" t="e">
        <f t="shared" si="64"/>
        <v>#NUM!</v>
      </c>
      <c r="CC119" s="62" t="e">
        <f t="shared" si="65"/>
        <v>#NUM!</v>
      </c>
      <c r="CD119" s="62">
        <f ca="1">AVERAGE(OFFSET($CC$3,0,0,'Données projet'!$E$12+1,1))-AVERAGE(OFFSET($H$3,0,0,'Données projet'!$E$12+1,1))</f>
        <v>310.53598044763282</v>
      </c>
      <c r="CE119" s="62">
        <f t="shared" si="94"/>
        <v>322.01096634040596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projet'!$B$12,Paramètres!$A$1:$I$88,7,0))</f>
        <v>0</v>
      </c>
      <c r="CI119" s="17">
        <f>IF(ISNA(VLOOKUP(A119,'Données projet'!$A$113:$I$133,6,0)),0%,VLOOKUP(A119,'Données projet'!$A$113:$I$133,6,0)*VLOOKUP('Données projet'!$B$12,Paramètres!$A$1:$I$88,7,0))</f>
        <v>0</v>
      </c>
      <c r="CJ119" s="17">
        <f>IF(ISNA(VLOOKUP(A119,'Données projet'!$A$113:$I$133,7,0)),0%,VLOOKUP(A119,'Données projet'!$A$113:$I$133,7,0))</f>
        <v>0</v>
      </c>
      <c r="CK119" s="23">
        <f>EXP(-LN(2)/35)*CK118+(1-EXP(-LN(2)/35))/(LN(2)/35)*CG119*CH119*VLOOKUP('Données projet'!$B$12,Paramètres!$A$1:$I$88,3,0)*0.475*44/12</f>
        <v>23.85046169651692</v>
      </c>
      <c r="CL119" s="23">
        <f>EXP(-LN(2)/25)*CL118+(1-EXP(-LN(2)/25))/(LN(2)/25)*Calculateur!CG119*Calculateur!CI119*VLOOKUP('Données projet'!$B$12,Paramètres!$A$1:$I$88,3,0)*0.475*44/12</f>
        <v>0</v>
      </c>
      <c r="CM119" s="23">
        <f>EXP(-LN(2)/2)*CM118+(1-EXP(-LN(2)/2))/(LN(2)/2)*CG119*CJ119*VLOOKUP('Données projet'!$B$12,Paramètres!$A$1:$I$88,3,0)*0.475*44/12</f>
        <v>0</v>
      </c>
      <c r="CN119" s="24">
        <f t="shared" si="66"/>
        <v>23.85046169651692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68.850814189950682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projet'!$B$13,Paramètres!$A$1:$I$88,3,0)*VLOOKUP('Données projet'!$B$13,Paramètres!$A$1:$I$88,5,0)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projet'!$B$13,Paramètres!$A$1:$I$88,7,0))</f>
        <v>0</v>
      </c>
      <c r="DD119" s="17">
        <f>IF(ISNA(VLOOKUP(A119,'Données projet'!$A$139:$I$159,6,0)),0%,VLOOKUP(A119,'Données projet'!$A$139:$I$159,6,0)*VLOOKUP('Données projet'!$B$13,Paramètres!$A$1:$I$88,7,0))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projet'!$B$13,Paramètres!$A$1:$I$88,3,0)*0.475*44/12</f>
        <v>#N/A</v>
      </c>
      <c r="DG119" s="23" t="e">
        <f>EXP(-LN(2)/25)*DG118+(1-EXP(-LN(2)/25))/(LN(2)/25)*Calculateur!DB119*Calculateur!DD119*VLOOKUP('Données projet'!$B$13,Paramètres!$A$1:$I$88,3,0)*0.475*44/12</f>
        <v>#N/A</v>
      </c>
      <c r="DH119" s="23" t="e">
        <f>EXP(-LN(2)/2)*DH118+(1-EXP(-LN(2)/2))/(LN(2)/2)*DB119*DE119*VLOOKUP('Données projet'!$B$13,Paramètres!$A$1:$I$88,3,0)*0.475*44/12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68.850814189950682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projet'!$B$14,Paramètres!$A$1:$I$88,3,0)*VLOOKUP('Données projet'!$B$14,Paramètres!$A$1:$I$88,5,0)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projet'!$B$14,Paramètres!$A$1:$I$88,7,0))</f>
        <v>0</v>
      </c>
      <c r="DY119" s="17">
        <f>IF(ISNA(VLOOKUP(A119,'Données projet'!$A$165:$I$185,6,0)),0%,VLOOKUP(A119,'Données projet'!$A$165:$I$185,6,0)*VLOOKUP('Données projet'!$B$14,Paramètres!$A$1:$I$88,7,0))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projet'!$B$14,Paramètres!$A$1:$I$88,3,0)*0.475*44/12</f>
        <v>#N/A</v>
      </c>
      <c r="EB119" s="23" t="e">
        <f>EXP(-LN(2)/25)*EB118+(1-EXP(-LN(2)/25))/(LN(2)/25)*Calculateur!DW119*Calculateur!DY119*VLOOKUP('Données projet'!$B$14,Paramètres!$A$1:$I$88,3,0)*0.475*44/12</f>
        <v>#N/A</v>
      </c>
      <c r="EC119" s="23" t="e">
        <f>EXP(-LN(2)/2)*EC118+(1-EXP(-LN(2)/2))/(LN(2)/2)*DW119*DZ119*VLOOKUP('Données projet'!$B$14,Paramètres!$A$1:$I$88,3,0)*0.475*44/12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68.850814189950682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projet'!$B$15,Paramètres!$A$1:$I$88,3,0)*VLOOKUP('Données projet'!$B$15,Paramètres!$A$1:$I$88,5,0)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projet'!$B$15,Paramètres!$A$1:$I$88,7,0))</f>
        <v>0</v>
      </c>
      <c r="ET119" s="17">
        <f>IF(ISNA(VLOOKUP(A119,'Données projet'!$A$191:$I$211,6,0)),0%,VLOOKUP(A119,'Données projet'!$A$191:$I$211,6,0)*VLOOKUP('Données projet'!$B$15,Paramètres!$A$1:$I$88,7,0))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projet'!$B$15,Paramètres!$A$1:$I$88,3,0)*0.475*44/12</f>
        <v>#N/A</v>
      </c>
      <c r="EW119" s="23" t="e">
        <f>EXP(-LN(2)/25)*EW118+(1-EXP(-LN(2)/25))/(LN(2)/25)*Calculateur!ER119*Calculateur!ET119*VLOOKUP('Données projet'!$B$15,Paramètres!$A$1:$I$88,3,0)*0.475*44/12</f>
        <v>#N/A</v>
      </c>
      <c r="EX119" s="23" t="e">
        <f>EXP(-LN(2)/2)*EX118+(1-EXP(-LN(2)/2))/(LN(2)/2)*ER119*EU119*VLOOKUP('Données projet'!$B$15,Paramètres!$A$1:$I$88,3,0)*0.475*44/12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68.850814189950682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projet'!$B$16,Paramètres!$A$1:$I$88,3,0)*VLOOKUP('Données projet'!$B$16,Paramètres!$A$1:$I$88,5,0)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projet'!$B$16,Paramètres!$A$1:$I$88,7,0))</f>
        <v>0</v>
      </c>
      <c r="FO119" s="17">
        <f>IF(ISNA(VLOOKUP(A119,'Données projet'!$A$217:$I$237,6,0)),0%,VLOOKUP(A119,'Données projet'!$A$217:$I$237,6,0)*VLOOKUP('Données projet'!$B$16,Paramètres!$A$1:$I$88,7,0))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projet'!$B$16,Paramètres!$A$1:$I$88,3,0)*0.475*44/12</f>
        <v>#N/A</v>
      </c>
      <c r="FR119" s="23" t="e">
        <f>EXP(-LN(2)/25)*FR118+(1-EXP(-LN(2)/25))/(LN(2)/25)*Calculateur!FM119*Calculateur!FO119*VLOOKUP('Données projet'!$B$16,Paramètres!$A$1:$I$88,3,0)*0.475*44/12</f>
        <v>#N/A</v>
      </c>
      <c r="FS119" s="23" t="e">
        <f>EXP(-LN(2)/2)*FS118+(1-EXP(-LN(2)/2))/(LN(2)/2)*FM119*FP119*VLOOKUP('Données projet'!$B$16,Paramètres!$A$1:$I$88,3,0)*0.475*44/12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68.850814189950682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projet'!$B$17,Paramètres!$A$1:$I$88,3,0)*VLOOKUP('Données projet'!$B$17,Paramètres!$A$1:$I$88,5,0)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projet'!$B$17,Paramètres!$A$1:$I$88,7,0))</f>
        <v>0</v>
      </c>
      <c r="GJ119" s="17">
        <f>IF(ISNA(VLOOKUP(A119,'Données projet'!$A$243:$I$263,6,0)),0%,VLOOKUP(A119,'Données projet'!$A$243:$I$263,6,0)*VLOOKUP('Données projet'!$B$17,Paramètres!$A$1:$I$88,7,0))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projet'!$B$17,Paramètres!$A$1:$I$88,3,0)*0.475*44/12</f>
        <v>#N/A</v>
      </c>
      <c r="GM119" s="23" t="e">
        <f>EXP(-LN(2)/25)*GM118+(1-EXP(-LN(2)/25))/(LN(2)/25)*Calculateur!GH119*Calculateur!GJ119*VLOOKUP('Données projet'!$B$17,Paramètres!$A$1:$I$88,3,0)*0.475*44/12</f>
        <v>#N/A</v>
      </c>
      <c r="GN119" s="23" t="e">
        <f>EXP(-LN(2)/2)*GN118+(1-EXP(-LN(2)/2))/(LN(2)/2)*GH119*GK119*VLOOKUP('Données projet'!$B$17,Paramètres!$A$1:$I$88,3,0)*0.475*44/12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68.850814189950682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projet'!$B$18,Paramètres!$A$1:$I$88,3,0)*VLOOKUP('Données projet'!$B$18,Paramètres!$A$1:$I$88,5,0)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projet'!$B$18,Paramètres!$A$1:$I$88,7,0))</f>
        <v>0</v>
      </c>
      <c r="HE119" s="17">
        <f>IF(ISNA(VLOOKUP(A119,'Données projet'!$A$269:$I$289,6,0)),0%,VLOOKUP(A119,'Données projet'!$A$269:$I$289,6,0)*VLOOKUP('Données projet'!$B$18,Paramètres!$A$1:$I$88,7,0))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projet'!$B$18,Paramètres!$A$1:$I$88,3,0)*0.475*44/12</f>
        <v>#N/A</v>
      </c>
      <c r="HH119" s="23" t="e">
        <f>EXP(-LN(2)/25)*HH118+(1-EXP(-LN(2)/25))/(LN(2)/25)*Calculateur!HC119*Calculateur!HE119*VLOOKUP('Données projet'!$B$18,Paramètres!$A$1:$I$88,3,0)*0.475*44/12</f>
        <v>#N/A</v>
      </c>
      <c r="HI119" s="23" t="e">
        <f>EXP(-LN(2)/2)*HI118+(1-EXP(-LN(2)/2))/(LN(2)/2)*HC119*HF119*VLOOKUP('Données projet'!$B$18,Paramètres!$A$1:$I$88,3,0)*0.475*44/12</f>
        <v>#N/A</v>
      </c>
      <c r="HJ119" s="24" t="e">
        <f t="shared" si="84"/>
        <v>#N/A</v>
      </c>
    </row>
    <row r="120" spans="1:218" s="5" customFormat="1" x14ac:dyDescent="0.35">
      <c r="A120" s="11">
        <f t="shared" si="85"/>
        <v>117</v>
      </c>
      <c r="B120" s="77">
        <f>'Scénario référence'!$B$16*5+'Scénario référence'!$B$17*0+'Scénario référence'!$B$18*5</f>
        <v>1.75</v>
      </c>
      <c r="C120" s="20">
        <f>Calculateur!C119+'Scénario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20" s="12">
        <f t="shared" si="86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6.416666666666667</v>
      </c>
      <c r="H120" s="70">
        <f t="shared" si="56"/>
        <v>231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68.87074999456047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3.4106051316484809E-13</v>
      </c>
      <c r="O120" s="14">
        <f>N120*VLOOKUP('Données projet'!$B$9,Paramètres!$A$1:$I$88,3,0)*VLOOKUP('Données projet'!$B$9,Paramètres!$A$1:$I$88,5,0)</f>
        <v>1.9065282685915009E-13</v>
      </c>
      <c r="P120" s="14">
        <f t="shared" si="87"/>
        <v>2.6568987209435707E-12</v>
      </c>
      <c r="Q120" s="22">
        <f t="shared" si="107"/>
        <v>4.959485612423072E-12</v>
      </c>
      <c r="R120" s="62">
        <f t="shared" si="55"/>
        <v>289.19274998006</v>
      </c>
      <c r="S120" s="62">
        <f ca="1">AVERAGE(OFFSET($R$3,0,0,'Données projet'!$E$9+1,1))-AVERAGE(OFFSET($H$3,0,0,'Données projet'!$E$9+1,1))</f>
        <v>341.05096821796769</v>
      </c>
      <c r="T120" s="62">
        <f t="shared" si="88"/>
        <v>400.72519822215168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projet'!$B$9,Paramètres!$A$1:$I$88,7,0))</f>
        <v>0</v>
      </c>
      <c r="X120" s="17">
        <f>IF(ISNA(VLOOKUP(A120,'Données projet'!$A$35:$I$55,6,0)),0%,VLOOKUP(A120,'Données projet'!$A$35:$I$55,6,0)*VLOOKUP('Données projet'!$B$9,Paramètres!$A$1:$I$88,7,0))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projet'!$B$9,Paramètres!$A$1:$I$88,3,0)*0.475*44/12</f>
        <v>77.49685483695032</v>
      </c>
      <c r="AA120" s="23">
        <f>EXP(-LN(2)/25)*AA119+(1-EXP(-LN(2)/25))/(LN(2)/25)*Calculateur!V120*Calculateur!X120*VLOOKUP('Données projet'!$B$9,Paramètres!$A$1:$I$88,3,0)*0.475*44/12</f>
        <v>27.286469776751549</v>
      </c>
      <c r="AB120" s="23">
        <f>EXP(-LN(2)/2)*AB119+(1-EXP(-LN(2)/2))/(LN(2)/2)*V120*Y120*VLOOKUP('Données projet'!$B$9,Paramètres!$A$1:$I$88,3,0)*0.475*44/12</f>
        <v>0</v>
      </c>
      <c r="AC120" s="24">
        <f t="shared" si="57"/>
        <v>104.78332461370186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68.87074999456047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5.6843418860808015E-14</v>
      </c>
      <c r="AJ120" s="14">
        <f>AI120*VLOOKUP('Données projet'!$B$10,Paramètres!$A$1:$I$88,3,0)*VLOOKUP('Données projet'!$B$10,Paramètres!$A$1:$I$88,5,0)</f>
        <v>3.3992364478763198E-14</v>
      </c>
      <c r="AK120" s="14">
        <f t="shared" si="89"/>
        <v>5.790027782444094E-13</v>
      </c>
      <c r="AL120" s="22">
        <f t="shared" si="58"/>
        <v>1.0676332069095257E-12</v>
      </c>
      <c r="AM120" s="62">
        <f t="shared" si="59"/>
        <v>289.19274998005613</v>
      </c>
      <c r="AN120" s="62">
        <f ca="1">AVERAGE(OFFSET($AM$3,0,0,'Données projet'!$E$10+1,1))-AVERAGE(OFFSET($H$3,0,0,'Données projet'!$E$10+1,1))</f>
        <v>231.96474801342879</v>
      </c>
      <c r="AO120" s="62">
        <f t="shared" si="90"/>
        <v>237.75726086383668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projet'!$B$10,Paramètres!$A$1:$I$88,7,0))</f>
        <v>0</v>
      </c>
      <c r="AS120" s="17">
        <f>IF(ISNA(VLOOKUP(A120,'Données projet'!$A$61:$I$81,6,0)),0%,VLOOKUP(A120,'Données projet'!$A$61:$I$81,6,0)*VLOOKUP('Données projet'!$B$10,Paramètres!$A$1:$I$88,7,0))</f>
        <v>0</v>
      </c>
      <c r="AT120" s="17">
        <f>IF(ISNA(VLOOKUP(A120,'Données projet'!$A$61:$I$81,7,0)),0%,VLOOKUP(A120,'Données projet'!$A$61:$I$81,7,0))</f>
        <v>0</v>
      </c>
      <c r="AU120" s="23">
        <f>EXP(-LN(2)/35)*AU119+(1-EXP(-LN(2)/35))/(LN(2)/35)*AQ120*AR120*VLOOKUP('Données projet'!$B$10,Paramètres!$A$1:$I$88,3,0)*0.475*44/12</f>
        <v>30.560848375943518</v>
      </c>
      <c r="AV120" s="23">
        <f>EXP(-LN(2)/25)*AV119+(1-EXP(-LN(2)/25))/(LN(2)/25)*Calculateur!AQ120*Calculateur!AS120*VLOOKUP('Données projet'!$B$10,Paramètres!$A$1:$I$88,3,0)*0.475*44/12</f>
        <v>11.522386287730271</v>
      </c>
      <c r="AW120" s="23">
        <f>EXP(-LN(2)/2)*AW119+(1-EXP(-LN(2)/2))/(LN(2)/2)*AQ120*AT120*VLOOKUP('Données projet'!$B$10,Paramètres!$A$1:$I$88,3,0)*0.475*44/12</f>
        <v>0</v>
      </c>
      <c r="AX120" s="23">
        <f t="shared" si="60"/>
        <v>42.083234663673792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68.87074999456047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6.8212102632969618E-13</v>
      </c>
      <c r="BE120" s="14">
        <f>BD120*VLOOKUP('Données projet'!$B$11,Paramètres!$A$1:$I$88,3,0)*VLOOKUP('Données projet'!$B$11,Paramètres!$A$1:$I$88,5,0)</f>
        <v>3.1923264032229784E-13</v>
      </c>
      <c r="BF120" s="14">
        <f t="shared" si="91"/>
        <v>4.1896839804541558E-12</v>
      </c>
      <c r="BG120" s="22">
        <f t="shared" si="61"/>
        <v>7.8530297811856558E-12</v>
      </c>
      <c r="BH120" s="62">
        <f t="shared" si="62"/>
        <v>289.1927499800629</v>
      </c>
      <c r="BI120" s="62">
        <f ca="1">AVERAGE(OFFSET($BH$3,0,0,'Données projet'!$E$11+1,1))-AVERAGE(OFFSET($H$3,0,0,'Données projet'!$E$11+1,1))</f>
        <v>364.96458059055169</v>
      </c>
      <c r="BJ120" s="62">
        <f t="shared" si="92"/>
        <v>246.27159120786257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projet'!$B$11,Paramètres!$A$1:$I$88,7,0))</f>
        <v>0</v>
      </c>
      <c r="BN120" s="17">
        <f>IF(ISNA(VLOOKUP(A120,'Données projet'!$A$87:$I$107,6,0)),0%,VLOOKUP(A120,'Données projet'!$A$87:$I$107,6,0)*VLOOKUP('Données projet'!$B$11,Paramètres!$A$1:$I$88,7,0))</f>
        <v>0</v>
      </c>
      <c r="BO120" s="17">
        <f>IF(ISNA(VLOOKUP(A120,'Données projet'!$A$87:$I$107,7,0)),0%,VLOOKUP(A120,'Données projet'!$A$87:$I$107,7,0))</f>
        <v>0</v>
      </c>
      <c r="BP120" s="23">
        <f>EXP(-LN(2)/35)*BP119+(1-EXP(-LN(2)/35))/(LN(2)/35)*BL120*BM120*VLOOKUP('Données projet'!$B$11,Paramètres!$A$1:$I$88,3,0)*0.475*44/12</f>
        <v>170.01153600826964</v>
      </c>
      <c r="BQ120" s="23">
        <f>EXP(-LN(2)/25)*BQ119+(1-EXP(-LN(2)/25))/(LN(2)/25)*Calculateur!BL120*Calculateur!BN120*VLOOKUP('Données projet'!$B$11,Paramètres!$A$1:$I$88,3,0)*0.475*44/12</f>
        <v>62.916249566236864</v>
      </c>
      <c r="BR120" s="23">
        <f>EXP(-LN(2)/2)*BR119+(1-EXP(-LN(2)/2))/(LN(2)/2)*BL120*BO120*VLOOKUP('Données projet'!$B$11,Paramètres!$A$1:$I$88,3,0)*0.475*44/12</f>
        <v>0</v>
      </c>
      <c r="BS120" s="24">
        <f t="shared" si="63"/>
        <v>232.92778557450652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68.87074999456047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-1.1368683772161603E-13</v>
      </c>
      <c r="BZ120" s="14">
        <f>BY120*VLOOKUP('Données projet'!$B$12,Paramètres!$A$1:$I$88,3,0)*VLOOKUP('Données projet'!$B$12,Paramètres!$A$1:$I$88,5,0)</f>
        <v>-1.1527845344971866E-13</v>
      </c>
      <c r="CA120" s="14" t="e">
        <f t="shared" si="93"/>
        <v>#NUM!</v>
      </c>
      <c r="CB120" s="22" t="e">
        <f t="shared" si="64"/>
        <v>#NUM!</v>
      </c>
      <c r="CC120" s="62" t="e">
        <f t="shared" si="65"/>
        <v>#NUM!</v>
      </c>
      <c r="CD120" s="62">
        <f ca="1">AVERAGE(OFFSET($CC$3,0,0,'Données projet'!$E$12+1,1))-AVERAGE(OFFSET($H$3,0,0,'Données projet'!$E$12+1,1))</f>
        <v>310.53598044763282</v>
      </c>
      <c r="CE120" s="62">
        <f t="shared" si="94"/>
        <v>322.01096634040596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projet'!$B$12,Paramètres!$A$1:$I$88,7,0))</f>
        <v>0</v>
      </c>
      <c r="CI120" s="17">
        <f>IF(ISNA(VLOOKUP(A120,'Données projet'!$A$113:$I$133,6,0)),0%,VLOOKUP(A120,'Données projet'!$A$113:$I$133,6,0)*VLOOKUP('Données projet'!$B$12,Paramètres!$A$1:$I$88,7,0))</f>
        <v>0</v>
      </c>
      <c r="CJ120" s="17">
        <f>IF(ISNA(VLOOKUP(A120,'Données projet'!$A$113:$I$133,7,0)),0%,VLOOKUP(A120,'Données projet'!$A$113:$I$133,7,0))</f>
        <v>0</v>
      </c>
      <c r="CK120" s="23">
        <f>EXP(-LN(2)/35)*CK119+(1-EXP(-LN(2)/35))/(LN(2)/35)*CG120*CH120*VLOOKUP('Données projet'!$B$12,Paramètres!$A$1:$I$88,3,0)*0.475*44/12</f>
        <v>23.382768689993426</v>
      </c>
      <c r="CL120" s="23">
        <f>EXP(-LN(2)/25)*CL119+(1-EXP(-LN(2)/25))/(LN(2)/25)*Calculateur!CG120*Calculateur!CI120*VLOOKUP('Données projet'!$B$12,Paramètres!$A$1:$I$88,3,0)*0.475*44/12</f>
        <v>0</v>
      </c>
      <c r="CM120" s="23">
        <f>EXP(-LN(2)/2)*CM119+(1-EXP(-LN(2)/2))/(LN(2)/2)*CG120*CJ120*VLOOKUP('Données projet'!$B$12,Paramètres!$A$1:$I$88,3,0)*0.475*44/12</f>
        <v>0</v>
      </c>
      <c r="CN120" s="24">
        <f t="shared" si="66"/>
        <v>23.382768689993426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68.87074999456047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projet'!$B$13,Paramètres!$A$1:$I$88,3,0)*VLOOKUP('Données projet'!$B$13,Paramètres!$A$1:$I$88,5,0)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projet'!$B$13,Paramètres!$A$1:$I$88,7,0))</f>
        <v>0</v>
      </c>
      <c r="DD120" s="17">
        <f>IF(ISNA(VLOOKUP(A120,'Données projet'!$A$139:$I$159,6,0)),0%,VLOOKUP(A120,'Données projet'!$A$139:$I$159,6,0)*VLOOKUP('Données projet'!$B$13,Paramètres!$A$1:$I$88,7,0))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projet'!$B$13,Paramètres!$A$1:$I$88,3,0)*0.475*44/12</f>
        <v>#N/A</v>
      </c>
      <c r="DG120" s="23" t="e">
        <f>EXP(-LN(2)/25)*DG119+(1-EXP(-LN(2)/25))/(LN(2)/25)*Calculateur!DB120*Calculateur!DD120*VLOOKUP('Données projet'!$B$13,Paramètres!$A$1:$I$88,3,0)*0.475*44/12</f>
        <v>#N/A</v>
      </c>
      <c r="DH120" s="23" t="e">
        <f>EXP(-LN(2)/2)*DH119+(1-EXP(-LN(2)/2))/(LN(2)/2)*DB120*DE120*VLOOKUP('Données projet'!$B$13,Paramètres!$A$1:$I$88,3,0)*0.475*44/12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68.87074999456047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projet'!$B$14,Paramètres!$A$1:$I$88,3,0)*VLOOKUP('Données projet'!$B$14,Paramètres!$A$1:$I$88,5,0)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projet'!$B$14,Paramètres!$A$1:$I$88,7,0))</f>
        <v>0</v>
      </c>
      <c r="DY120" s="17">
        <f>IF(ISNA(VLOOKUP(A120,'Données projet'!$A$165:$I$185,6,0)),0%,VLOOKUP(A120,'Données projet'!$A$165:$I$185,6,0)*VLOOKUP('Données projet'!$B$14,Paramètres!$A$1:$I$88,7,0))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projet'!$B$14,Paramètres!$A$1:$I$88,3,0)*0.475*44/12</f>
        <v>#N/A</v>
      </c>
      <c r="EB120" s="23" t="e">
        <f>EXP(-LN(2)/25)*EB119+(1-EXP(-LN(2)/25))/(LN(2)/25)*Calculateur!DW120*Calculateur!DY120*VLOOKUP('Données projet'!$B$14,Paramètres!$A$1:$I$88,3,0)*0.475*44/12</f>
        <v>#N/A</v>
      </c>
      <c r="EC120" s="23" t="e">
        <f>EXP(-LN(2)/2)*EC119+(1-EXP(-LN(2)/2))/(LN(2)/2)*DW120*DZ120*VLOOKUP('Données projet'!$B$14,Paramètres!$A$1:$I$88,3,0)*0.475*44/12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68.87074999456047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projet'!$B$15,Paramètres!$A$1:$I$88,3,0)*VLOOKUP('Données projet'!$B$15,Paramètres!$A$1:$I$88,5,0)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projet'!$B$15,Paramètres!$A$1:$I$88,7,0))</f>
        <v>0</v>
      </c>
      <c r="ET120" s="17">
        <f>IF(ISNA(VLOOKUP(A120,'Données projet'!$A$191:$I$211,6,0)),0%,VLOOKUP(A120,'Données projet'!$A$191:$I$211,6,0)*VLOOKUP('Données projet'!$B$15,Paramètres!$A$1:$I$88,7,0))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projet'!$B$15,Paramètres!$A$1:$I$88,3,0)*0.475*44/12</f>
        <v>#N/A</v>
      </c>
      <c r="EW120" s="23" t="e">
        <f>EXP(-LN(2)/25)*EW119+(1-EXP(-LN(2)/25))/(LN(2)/25)*Calculateur!ER120*Calculateur!ET120*VLOOKUP('Données projet'!$B$15,Paramètres!$A$1:$I$88,3,0)*0.475*44/12</f>
        <v>#N/A</v>
      </c>
      <c r="EX120" s="23" t="e">
        <f>EXP(-LN(2)/2)*EX119+(1-EXP(-LN(2)/2))/(LN(2)/2)*ER120*EU120*VLOOKUP('Données projet'!$B$15,Paramètres!$A$1:$I$88,3,0)*0.475*44/12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68.87074999456047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projet'!$B$16,Paramètres!$A$1:$I$88,3,0)*VLOOKUP('Données projet'!$B$16,Paramètres!$A$1:$I$88,5,0)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projet'!$B$16,Paramètres!$A$1:$I$88,7,0))</f>
        <v>0</v>
      </c>
      <c r="FO120" s="17">
        <f>IF(ISNA(VLOOKUP(A120,'Données projet'!$A$217:$I$237,6,0)),0%,VLOOKUP(A120,'Données projet'!$A$217:$I$237,6,0)*VLOOKUP('Données projet'!$B$16,Paramètres!$A$1:$I$88,7,0))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projet'!$B$16,Paramètres!$A$1:$I$88,3,0)*0.475*44/12</f>
        <v>#N/A</v>
      </c>
      <c r="FR120" s="23" t="e">
        <f>EXP(-LN(2)/25)*FR119+(1-EXP(-LN(2)/25))/(LN(2)/25)*Calculateur!FM120*Calculateur!FO120*VLOOKUP('Données projet'!$B$16,Paramètres!$A$1:$I$88,3,0)*0.475*44/12</f>
        <v>#N/A</v>
      </c>
      <c r="FS120" s="23" t="e">
        <f>EXP(-LN(2)/2)*FS119+(1-EXP(-LN(2)/2))/(LN(2)/2)*FM120*FP120*VLOOKUP('Données projet'!$B$16,Paramètres!$A$1:$I$88,3,0)*0.475*44/12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68.87074999456047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projet'!$B$17,Paramètres!$A$1:$I$88,3,0)*VLOOKUP('Données projet'!$B$17,Paramètres!$A$1:$I$88,5,0)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projet'!$B$17,Paramètres!$A$1:$I$88,7,0))</f>
        <v>0</v>
      </c>
      <c r="GJ120" s="17">
        <f>IF(ISNA(VLOOKUP(A120,'Données projet'!$A$243:$I$263,6,0)),0%,VLOOKUP(A120,'Données projet'!$A$243:$I$263,6,0)*VLOOKUP('Données projet'!$B$17,Paramètres!$A$1:$I$88,7,0))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projet'!$B$17,Paramètres!$A$1:$I$88,3,0)*0.475*44/12</f>
        <v>#N/A</v>
      </c>
      <c r="GM120" s="23" t="e">
        <f>EXP(-LN(2)/25)*GM119+(1-EXP(-LN(2)/25))/(LN(2)/25)*Calculateur!GH120*Calculateur!GJ120*VLOOKUP('Données projet'!$B$17,Paramètres!$A$1:$I$88,3,0)*0.475*44/12</f>
        <v>#N/A</v>
      </c>
      <c r="GN120" s="23" t="e">
        <f>EXP(-LN(2)/2)*GN119+(1-EXP(-LN(2)/2))/(LN(2)/2)*GH120*GK120*VLOOKUP('Données projet'!$B$17,Paramètres!$A$1:$I$88,3,0)*0.475*44/12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68.87074999456047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projet'!$B$18,Paramètres!$A$1:$I$88,3,0)*VLOOKUP('Données projet'!$B$18,Paramètres!$A$1:$I$88,5,0)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projet'!$B$18,Paramètres!$A$1:$I$88,7,0))</f>
        <v>0</v>
      </c>
      <c r="HE120" s="17">
        <f>IF(ISNA(VLOOKUP(A120,'Données projet'!$A$269:$I$289,6,0)),0%,VLOOKUP(A120,'Données projet'!$A$269:$I$289,6,0)*VLOOKUP('Données projet'!$B$18,Paramètres!$A$1:$I$88,7,0))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projet'!$B$18,Paramètres!$A$1:$I$88,3,0)*0.475*44/12</f>
        <v>#N/A</v>
      </c>
      <c r="HH120" s="23" t="e">
        <f>EXP(-LN(2)/25)*HH119+(1-EXP(-LN(2)/25))/(LN(2)/25)*Calculateur!HC120*Calculateur!HE120*VLOOKUP('Données projet'!$B$18,Paramètres!$A$1:$I$88,3,0)*0.475*44/12</f>
        <v>#N/A</v>
      </c>
      <c r="HI120" s="23" t="e">
        <f>EXP(-LN(2)/2)*HI119+(1-EXP(-LN(2)/2))/(LN(2)/2)*HC120*HF120*VLOOKUP('Données projet'!$B$18,Paramètres!$A$1:$I$88,3,0)*0.475*44/12</f>
        <v>#N/A</v>
      </c>
      <c r="HJ120" s="24" t="e">
        <f t="shared" si="84"/>
        <v>#N/A</v>
      </c>
    </row>
    <row r="121" spans="1:218" s="5" customFormat="1" x14ac:dyDescent="0.35">
      <c r="A121" s="11">
        <f t="shared" si="85"/>
        <v>118</v>
      </c>
      <c r="B121" s="77">
        <f>'Scénario référence'!$B$16*5+'Scénario référence'!$B$17*0+'Scénario référence'!$B$18*5</f>
        <v>1.75</v>
      </c>
      <c r="C121" s="20">
        <f>Calculateur!C120+'Scénario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21" s="12">
        <f t="shared" si="86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6.416666666666667</v>
      </c>
      <c r="H121" s="70">
        <f t="shared" si="56"/>
        <v>231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68.890339957530045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3.4106051316484809E-13</v>
      </c>
      <c r="O121" s="14">
        <f>N121*VLOOKUP('Données projet'!$B$9,Paramètres!$A$1:$I$88,3,0)*VLOOKUP('Données projet'!$B$9,Paramètres!$A$1:$I$88,5,0)</f>
        <v>1.9065282685915009E-13</v>
      </c>
      <c r="P121" s="14">
        <f t="shared" si="87"/>
        <v>2.6568987209435707E-12</v>
      </c>
      <c r="Q121" s="22">
        <f t="shared" si="107"/>
        <v>4.959485612423072E-12</v>
      </c>
      <c r="R121" s="62">
        <f t="shared" si="55"/>
        <v>289.2645798442818</v>
      </c>
      <c r="S121" s="62">
        <f ca="1">AVERAGE(OFFSET($R$3,0,0,'Données projet'!$E$9+1,1))-AVERAGE(OFFSET($H$3,0,0,'Données projet'!$E$9+1,1))</f>
        <v>341.05096821796769</v>
      </c>
      <c r="T121" s="62">
        <f t="shared" si="88"/>
        <v>400.72519822215168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projet'!$B$9,Paramètres!$A$1:$I$88,7,0))</f>
        <v>0</v>
      </c>
      <c r="X121" s="17">
        <f>IF(ISNA(VLOOKUP(A121,'Données projet'!$A$35:$I$55,6,0)),0%,VLOOKUP(A121,'Données projet'!$A$35:$I$55,6,0)*VLOOKUP('Données projet'!$B$9,Paramètres!$A$1:$I$88,7,0))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projet'!$B$9,Paramètres!$A$1:$I$88,3,0)*0.475*44/12</f>
        <v>75.977188782011808</v>
      </c>
      <c r="AA121" s="23">
        <f>EXP(-LN(2)/25)*AA120+(1-EXP(-LN(2)/25))/(LN(2)/25)*Calculateur!V121*Calculateur!X121*VLOOKUP('Données projet'!$B$9,Paramètres!$A$1:$I$88,3,0)*0.475*44/12</f>
        <v>26.540319825773196</v>
      </c>
      <c r="AB121" s="23">
        <f>EXP(-LN(2)/2)*AB120+(1-EXP(-LN(2)/2))/(LN(2)/2)*V121*Y121*VLOOKUP('Données projet'!$B$9,Paramètres!$A$1:$I$88,3,0)*0.475*44/12</f>
        <v>0</v>
      </c>
      <c r="AC121" s="24">
        <f t="shared" si="57"/>
        <v>102.517508607785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68.890339957530045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5.6843418860808015E-14</v>
      </c>
      <c r="AJ121" s="14">
        <f>AI121*VLOOKUP('Données projet'!$B$10,Paramètres!$A$1:$I$88,3,0)*VLOOKUP('Données projet'!$B$10,Paramètres!$A$1:$I$88,5,0)</f>
        <v>3.3992364478763198E-14</v>
      </c>
      <c r="AK121" s="14">
        <f t="shared" si="89"/>
        <v>5.790027782444094E-13</v>
      </c>
      <c r="AL121" s="22">
        <f t="shared" si="58"/>
        <v>1.0676332069095257E-12</v>
      </c>
      <c r="AM121" s="62">
        <f t="shared" si="59"/>
        <v>289.26457984427793</v>
      </c>
      <c r="AN121" s="62">
        <f ca="1">AVERAGE(OFFSET($AM$3,0,0,'Données projet'!$E$10+1,1))-AVERAGE(OFFSET($H$3,0,0,'Données projet'!$E$10+1,1))</f>
        <v>231.96474801342879</v>
      </c>
      <c r="AO121" s="62">
        <f t="shared" si="90"/>
        <v>237.75726086383668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projet'!$B$10,Paramètres!$A$1:$I$88,7,0))</f>
        <v>0</v>
      </c>
      <c r="AS121" s="17">
        <f>IF(ISNA(VLOOKUP(A121,'Données projet'!$A$61:$I$81,6,0)),0%,VLOOKUP(A121,'Données projet'!$A$61:$I$81,6,0)*VLOOKUP('Données projet'!$B$10,Paramètres!$A$1:$I$88,7,0))</f>
        <v>0</v>
      </c>
      <c r="AT121" s="17">
        <f>IF(ISNA(VLOOKUP(A121,'Données projet'!$A$61:$I$81,7,0)),0%,VLOOKUP(A121,'Données projet'!$A$61:$I$81,7,0))</f>
        <v>0</v>
      </c>
      <c r="AU121" s="23">
        <f>EXP(-LN(2)/35)*AU120+(1-EXP(-LN(2)/35))/(LN(2)/35)*AQ121*AR121*VLOOKUP('Données projet'!$B$10,Paramètres!$A$1:$I$88,3,0)*0.475*44/12</f>
        <v>29.9615687795682</v>
      </c>
      <c r="AV121" s="23">
        <f>EXP(-LN(2)/25)*AV120+(1-EXP(-LN(2)/25))/(LN(2)/25)*Calculateur!AQ121*Calculateur!AS121*VLOOKUP('Données projet'!$B$10,Paramètres!$A$1:$I$88,3,0)*0.475*44/12</f>
        <v>11.207306028756326</v>
      </c>
      <c r="AW121" s="23">
        <f>EXP(-LN(2)/2)*AW120+(1-EXP(-LN(2)/2))/(LN(2)/2)*AQ121*AT121*VLOOKUP('Données projet'!$B$10,Paramètres!$A$1:$I$88,3,0)*0.475*44/12</f>
        <v>0</v>
      </c>
      <c r="AX121" s="23">
        <f t="shared" si="60"/>
        <v>41.168874808324524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68.890339957530045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6.8212102632969618E-13</v>
      </c>
      <c r="BE121" s="14">
        <f>BD121*VLOOKUP('Données projet'!$B$11,Paramètres!$A$1:$I$88,3,0)*VLOOKUP('Données projet'!$B$11,Paramètres!$A$1:$I$88,5,0)</f>
        <v>3.1923264032229784E-13</v>
      </c>
      <c r="BF121" s="14">
        <f t="shared" si="91"/>
        <v>4.1896839804541558E-12</v>
      </c>
      <c r="BG121" s="22">
        <f t="shared" si="61"/>
        <v>7.8530297811856558E-12</v>
      </c>
      <c r="BH121" s="62">
        <f t="shared" si="62"/>
        <v>289.2645798442847</v>
      </c>
      <c r="BI121" s="62">
        <f ca="1">AVERAGE(OFFSET($BH$3,0,0,'Données projet'!$E$11+1,1))-AVERAGE(OFFSET($H$3,0,0,'Données projet'!$E$11+1,1))</f>
        <v>364.96458059055169</v>
      </c>
      <c r="BJ121" s="62">
        <f t="shared" si="92"/>
        <v>246.27159120786257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projet'!$B$11,Paramètres!$A$1:$I$88,7,0))</f>
        <v>0</v>
      </c>
      <c r="BN121" s="17">
        <f>IF(ISNA(VLOOKUP(A121,'Données projet'!$A$87:$I$107,6,0)),0%,VLOOKUP(A121,'Données projet'!$A$87:$I$107,6,0)*VLOOKUP('Données projet'!$B$11,Paramètres!$A$1:$I$88,7,0))</f>
        <v>0</v>
      </c>
      <c r="BO121" s="17">
        <f>IF(ISNA(VLOOKUP(A121,'Données projet'!$A$87:$I$107,7,0)),0%,VLOOKUP(A121,'Données projet'!$A$87:$I$107,7,0))</f>
        <v>0</v>
      </c>
      <c r="BP121" s="23">
        <f>EXP(-LN(2)/35)*BP120+(1-EXP(-LN(2)/35))/(LN(2)/35)*BL121*BM121*VLOOKUP('Données projet'!$B$11,Paramètres!$A$1:$I$88,3,0)*0.475*44/12</f>
        <v>166.67771348394524</v>
      </c>
      <c r="BQ121" s="23">
        <f>EXP(-LN(2)/25)*BQ120+(1-EXP(-LN(2)/25))/(LN(2)/25)*Calculateur!BL121*Calculateur!BN121*VLOOKUP('Données projet'!$B$11,Paramètres!$A$1:$I$88,3,0)*0.475*44/12</f>
        <v>61.195801413226349</v>
      </c>
      <c r="BR121" s="23">
        <f>EXP(-LN(2)/2)*BR120+(1-EXP(-LN(2)/2))/(LN(2)/2)*BL121*BO121*VLOOKUP('Données projet'!$B$11,Paramètres!$A$1:$I$88,3,0)*0.475*44/12</f>
        <v>0</v>
      </c>
      <c r="BS121" s="24">
        <f t="shared" si="63"/>
        <v>227.87351489717159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68.890339957530045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-1.1368683772161603E-13</v>
      </c>
      <c r="BZ121" s="14">
        <f>BY121*VLOOKUP('Données projet'!$B$12,Paramètres!$A$1:$I$88,3,0)*VLOOKUP('Données projet'!$B$12,Paramètres!$A$1:$I$88,5,0)</f>
        <v>-1.1527845344971866E-13</v>
      </c>
      <c r="CA121" s="14" t="e">
        <f t="shared" si="93"/>
        <v>#NUM!</v>
      </c>
      <c r="CB121" s="22" t="e">
        <f t="shared" si="64"/>
        <v>#NUM!</v>
      </c>
      <c r="CC121" s="62" t="e">
        <f t="shared" si="65"/>
        <v>#NUM!</v>
      </c>
      <c r="CD121" s="62">
        <f ca="1">AVERAGE(OFFSET($CC$3,0,0,'Données projet'!$E$12+1,1))-AVERAGE(OFFSET($H$3,0,0,'Données projet'!$E$12+1,1))</f>
        <v>310.53598044763282</v>
      </c>
      <c r="CE121" s="62">
        <f t="shared" si="94"/>
        <v>322.01096634040596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projet'!$B$12,Paramètres!$A$1:$I$88,7,0))</f>
        <v>0</v>
      </c>
      <c r="CI121" s="17">
        <f>IF(ISNA(VLOOKUP(A121,'Données projet'!$A$113:$I$133,6,0)),0%,VLOOKUP(A121,'Données projet'!$A$113:$I$133,6,0)*VLOOKUP('Données projet'!$B$12,Paramètres!$A$1:$I$88,7,0))</f>
        <v>0</v>
      </c>
      <c r="CJ121" s="17">
        <f>IF(ISNA(VLOOKUP(A121,'Données projet'!$A$113:$I$133,7,0)),0%,VLOOKUP(A121,'Données projet'!$A$113:$I$133,7,0))</f>
        <v>0</v>
      </c>
      <c r="CK121" s="23">
        <f>EXP(-LN(2)/35)*CK120+(1-EXP(-LN(2)/35))/(LN(2)/35)*CG121*CH121*VLOOKUP('Données projet'!$B$12,Paramètres!$A$1:$I$88,3,0)*0.475*44/12</f>
        <v>22.924246858063292</v>
      </c>
      <c r="CL121" s="23">
        <f>EXP(-LN(2)/25)*CL120+(1-EXP(-LN(2)/25))/(LN(2)/25)*Calculateur!CG121*Calculateur!CI121*VLOOKUP('Données projet'!$B$12,Paramètres!$A$1:$I$88,3,0)*0.475*44/12</f>
        <v>0</v>
      </c>
      <c r="CM121" s="23">
        <f>EXP(-LN(2)/2)*CM120+(1-EXP(-LN(2)/2))/(LN(2)/2)*CG121*CJ121*VLOOKUP('Données projet'!$B$12,Paramètres!$A$1:$I$88,3,0)*0.475*44/12</f>
        <v>0</v>
      </c>
      <c r="CN121" s="24">
        <f t="shared" si="66"/>
        <v>22.924246858063292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68.890339957530045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projet'!$B$13,Paramètres!$A$1:$I$88,3,0)*VLOOKUP('Données projet'!$B$13,Paramètres!$A$1:$I$88,5,0)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projet'!$B$13,Paramètres!$A$1:$I$88,7,0))</f>
        <v>0</v>
      </c>
      <c r="DD121" s="17">
        <f>IF(ISNA(VLOOKUP(A121,'Données projet'!$A$139:$I$159,6,0)),0%,VLOOKUP(A121,'Données projet'!$A$139:$I$159,6,0)*VLOOKUP('Données projet'!$B$13,Paramètres!$A$1:$I$88,7,0))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projet'!$B$13,Paramètres!$A$1:$I$88,3,0)*0.475*44/12</f>
        <v>#N/A</v>
      </c>
      <c r="DG121" s="23" t="e">
        <f>EXP(-LN(2)/25)*DG120+(1-EXP(-LN(2)/25))/(LN(2)/25)*Calculateur!DB121*Calculateur!DD121*VLOOKUP('Données projet'!$B$13,Paramètres!$A$1:$I$88,3,0)*0.475*44/12</f>
        <v>#N/A</v>
      </c>
      <c r="DH121" s="23" t="e">
        <f>EXP(-LN(2)/2)*DH120+(1-EXP(-LN(2)/2))/(LN(2)/2)*DB121*DE121*VLOOKUP('Données projet'!$B$13,Paramètres!$A$1:$I$88,3,0)*0.475*44/12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68.890339957530045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projet'!$B$14,Paramètres!$A$1:$I$88,3,0)*VLOOKUP('Données projet'!$B$14,Paramètres!$A$1:$I$88,5,0)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projet'!$B$14,Paramètres!$A$1:$I$88,7,0))</f>
        <v>0</v>
      </c>
      <c r="DY121" s="17">
        <f>IF(ISNA(VLOOKUP(A121,'Données projet'!$A$165:$I$185,6,0)),0%,VLOOKUP(A121,'Données projet'!$A$165:$I$185,6,0)*VLOOKUP('Données projet'!$B$14,Paramètres!$A$1:$I$88,7,0))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projet'!$B$14,Paramètres!$A$1:$I$88,3,0)*0.475*44/12</f>
        <v>#N/A</v>
      </c>
      <c r="EB121" s="23" t="e">
        <f>EXP(-LN(2)/25)*EB120+(1-EXP(-LN(2)/25))/(LN(2)/25)*Calculateur!DW121*Calculateur!DY121*VLOOKUP('Données projet'!$B$14,Paramètres!$A$1:$I$88,3,0)*0.475*44/12</f>
        <v>#N/A</v>
      </c>
      <c r="EC121" s="23" t="e">
        <f>EXP(-LN(2)/2)*EC120+(1-EXP(-LN(2)/2))/(LN(2)/2)*DW121*DZ121*VLOOKUP('Données projet'!$B$14,Paramètres!$A$1:$I$88,3,0)*0.475*44/12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68.890339957530045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projet'!$B$15,Paramètres!$A$1:$I$88,3,0)*VLOOKUP('Données projet'!$B$15,Paramètres!$A$1:$I$88,5,0)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projet'!$B$15,Paramètres!$A$1:$I$88,7,0))</f>
        <v>0</v>
      </c>
      <c r="ET121" s="17">
        <f>IF(ISNA(VLOOKUP(A121,'Données projet'!$A$191:$I$211,6,0)),0%,VLOOKUP(A121,'Données projet'!$A$191:$I$211,6,0)*VLOOKUP('Données projet'!$B$15,Paramètres!$A$1:$I$88,7,0))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projet'!$B$15,Paramètres!$A$1:$I$88,3,0)*0.475*44/12</f>
        <v>#N/A</v>
      </c>
      <c r="EW121" s="23" t="e">
        <f>EXP(-LN(2)/25)*EW120+(1-EXP(-LN(2)/25))/(LN(2)/25)*Calculateur!ER121*Calculateur!ET121*VLOOKUP('Données projet'!$B$15,Paramètres!$A$1:$I$88,3,0)*0.475*44/12</f>
        <v>#N/A</v>
      </c>
      <c r="EX121" s="23" t="e">
        <f>EXP(-LN(2)/2)*EX120+(1-EXP(-LN(2)/2))/(LN(2)/2)*ER121*EU121*VLOOKUP('Données projet'!$B$15,Paramètres!$A$1:$I$88,3,0)*0.475*44/12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68.890339957530045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projet'!$B$16,Paramètres!$A$1:$I$88,3,0)*VLOOKUP('Données projet'!$B$16,Paramètres!$A$1:$I$88,5,0)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projet'!$B$16,Paramètres!$A$1:$I$88,7,0))</f>
        <v>0</v>
      </c>
      <c r="FO121" s="17">
        <f>IF(ISNA(VLOOKUP(A121,'Données projet'!$A$217:$I$237,6,0)),0%,VLOOKUP(A121,'Données projet'!$A$217:$I$237,6,0)*VLOOKUP('Données projet'!$B$16,Paramètres!$A$1:$I$88,7,0))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projet'!$B$16,Paramètres!$A$1:$I$88,3,0)*0.475*44/12</f>
        <v>#N/A</v>
      </c>
      <c r="FR121" s="23" t="e">
        <f>EXP(-LN(2)/25)*FR120+(1-EXP(-LN(2)/25))/(LN(2)/25)*Calculateur!FM121*Calculateur!FO121*VLOOKUP('Données projet'!$B$16,Paramètres!$A$1:$I$88,3,0)*0.475*44/12</f>
        <v>#N/A</v>
      </c>
      <c r="FS121" s="23" t="e">
        <f>EXP(-LN(2)/2)*FS120+(1-EXP(-LN(2)/2))/(LN(2)/2)*FM121*FP121*VLOOKUP('Données projet'!$B$16,Paramètres!$A$1:$I$88,3,0)*0.475*44/12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68.890339957530045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projet'!$B$17,Paramètres!$A$1:$I$88,3,0)*VLOOKUP('Données projet'!$B$17,Paramètres!$A$1:$I$88,5,0)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projet'!$B$17,Paramètres!$A$1:$I$88,7,0))</f>
        <v>0</v>
      </c>
      <c r="GJ121" s="17">
        <f>IF(ISNA(VLOOKUP(A121,'Données projet'!$A$243:$I$263,6,0)),0%,VLOOKUP(A121,'Données projet'!$A$243:$I$263,6,0)*VLOOKUP('Données projet'!$B$17,Paramètres!$A$1:$I$88,7,0))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projet'!$B$17,Paramètres!$A$1:$I$88,3,0)*0.475*44/12</f>
        <v>#N/A</v>
      </c>
      <c r="GM121" s="23" t="e">
        <f>EXP(-LN(2)/25)*GM120+(1-EXP(-LN(2)/25))/(LN(2)/25)*Calculateur!GH121*Calculateur!GJ121*VLOOKUP('Données projet'!$B$17,Paramètres!$A$1:$I$88,3,0)*0.475*44/12</f>
        <v>#N/A</v>
      </c>
      <c r="GN121" s="23" t="e">
        <f>EXP(-LN(2)/2)*GN120+(1-EXP(-LN(2)/2))/(LN(2)/2)*GH121*GK121*VLOOKUP('Données projet'!$B$17,Paramètres!$A$1:$I$88,3,0)*0.475*44/12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68.890339957530045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projet'!$B$18,Paramètres!$A$1:$I$88,3,0)*VLOOKUP('Données projet'!$B$18,Paramètres!$A$1:$I$88,5,0)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projet'!$B$18,Paramètres!$A$1:$I$88,7,0))</f>
        <v>0</v>
      </c>
      <c r="HE121" s="17">
        <f>IF(ISNA(VLOOKUP(A121,'Données projet'!$A$269:$I$289,6,0)),0%,VLOOKUP(A121,'Données projet'!$A$269:$I$289,6,0)*VLOOKUP('Données projet'!$B$18,Paramètres!$A$1:$I$88,7,0))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projet'!$B$18,Paramètres!$A$1:$I$88,3,0)*0.475*44/12</f>
        <v>#N/A</v>
      </c>
      <c r="HH121" s="23" t="e">
        <f>EXP(-LN(2)/25)*HH120+(1-EXP(-LN(2)/25))/(LN(2)/25)*Calculateur!HC121*Calculateur!HE121*VLOOKUP('Données projet'!$B$18,Paramètres!$A$1:$I$88,3,0)*0.475*44/12</f>
        <v>#N/A</v>
      </c>
      <c r="HI121" s="23" t="e">
        <f>EXP(-LN(2)/2)*HI120+(1-EXP(-LN(2)/2))/(LN(2)/2)*HC121*HF121*VLOOKUP('Données projet'!$B$18,Paramètres!$A$1:$I$88,3,0)*0.475*44/12</f>
        <v>#N/A</v>
      </c>
      <c r="HJ121" s="24" t="e">
        <f t="shared" si="84"/>
        <v>#N/A</v>
      </c>
    </row>
    <row r="122" spans="1:218" s="5" customFormat="1" x14ac:dyDescent="0.35">
      <c r="A122" s="11">
        <f t="shared" si="85"/>
        <v>119</v>
      </c>
      <c r="B122" s="77">
        <f>'Scénario référence'!$B$16*5+'Scénario référence'!$B$17*0+'Scénario référence'!$B$18*5</f>
        <v>1.75</v>
      </c>
      <c r="C122" s="20">
        <f>Calculateur!C121+'Scénario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22" s="12">
        <f t="shared" si="86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6.416666666666667</v>
      </c>
      <c r="H122" s="70">
        <f t="shared" si="56"/>
        <v>231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68.909590078438697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3.4106051316484809E-13</v>
      </c>
      <c r="O122" s="14">
        <f>N122*VLOOKUP('Données projet'!$B$9,Paramètres!$A$1:$I$88,3,0)*VLOOKUP('Données projet'!$B$9,Paramètres!$A$1:$I$88,5,0)</f>
        <v>1.9065282685915009E-13</v>
      </c>
      <c r="P122" s="14">
        <f t="shared" si="87"/>
        <v>2.6568987209435707E-12</v>
      </c>
      <c r="Q122" s="22">
        <f t="shared" si="107"/>
        <v>4.959485612423072E-12</v>
      </c>
      <c r="R122" s="62">
        <f t="shared" si="55"/>
        <v>289.33516362094684</v>
      </c>
      <c r="S122" s="62">
        <f ca="1">AVERAGE(OFFSET($R$3,0,0,'Données projet'!$E$9+1,1))-AVERAGE(OFFSET($H$3,0,0,'Données projet'!$E$9+1,1))</f>
        <v>341.05096821796769</v>
      </c>
      <c r="T122" s="62">
        <f t="shared" si="88"/>
        <v>400.72519822215168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projet'!$B$9,Paramètres!$A$1:$I$88,7,0))</f>
        <v>0</v>
      </c>
      <c r="X122" s="17">
        <f>IF(ISNA(VLOOKUP(A122,'Données projet'!$A$35:$I$55,6,0)),0%,VLOOKUP(A122,'Données projet'!$A$35:$I$55,6,0)*VLOOKUP('Données projet'!$B$9,Paramètres!$A$1:$I$88,7,0))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projet'!$B$9,Paramètres!$A$1:$I$88,3,0)*0.475*44/12</f>
        <v>74.487322451505875</v>
      </c>
      <c r="AA122" s="23">
        <f>EXP(-LN(2)/25)*AA121+(1-EXP(-LN(2)/25))/(LN(2)/25)*Calculateur!V122*Calculateur!X122*VLOOKUP('Données projet'!$B$9,Paramètres!$A$1:$I$88,3,0)*0.475*44/12</f>
        <v>25.814573384442667</v>
      </c>
      <c r="AB122" s="23">
        <f>EXP(-LN(2)/2)*AB121+(1-EXP(-LN(2)/2))/(LN(2)/2)*V122*Y122*VLOOKUP('Données projet'!$B$9,Paramètres!$A$1:$I$88,3,0)*0.475*44/12</f>
        <v>0</v>
      </c>
      <c r="AC122" s="24">
        <f t="shared" si="57"/>
        <v>100.30189583594854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68.909590078438697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5.6843418860808015E-14</v>
      </c>
      <c r="AJ122" s="14">
        <f>AI122*VLOOKUP('Données projet'!$B$10,Paramètres!$A$1:$I$88,3,0)*VLOOKUP('Données projet'!$B$10,Paramètres!$A$1:$I$88,5,0)</f>
        <v>3.3992364478763198E-14</v>
      </c>
      <c r="AK122" s="14">
        <f t="shared" si="89"/>
        <v>5.790027782444094E-13</v>
      </c>
      <c r="AL122" s="22">
        <f t="shared" si="58"/>
        <v>1.0676332069095257E-12</v>
      </c>
      <c r="AM122" s="62">
        <f t="shared" si="59"/>
        <v>289.33516362094298</v>
      </c>
      <c r="AN122" s="62">
        <f ca="1">AVERAGE(OFFSET($AM$3,0,0,'Données projet'!$E$10+1,1))-AVERAGE(OFFSET($H$3,0,0,'Données projet'!$E$10+1,1))</f>
        <v>231.96474801342879</v>
      </c>
      <c r="AO122" s="62">
        <f t="shared" si="90"/>
        <v>237.75726086383668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projet'!$B$10,Paramètres!$A$1:$I$88,7,0))</f>
        <v>0</v>
      </c>
      <c r="AS122" s="17">
        <f>IF(ISNA(VLOOKUP(A122,'Données projet'!$A$61:$I$81,6,0)),0%,VLOOKUP(A122,'Données projet'!$A$61:$I$81,6,0)*VLOOKUP('Données projet'!$B$10,Paramètres!$A$1:$I$88,7,0))</f>
        <v>0</v>
      </c>
      <c r="AT122" s="17">
        <f>IF(ISNA(VLOOKUP(A122,'Données projet'!$A$61:$I$81,7,0)),0%,VLOOKUP(A122,'Données projet'!$A$61:$I$81,7,0))</f>
        <v>0</v>
      </c>
      <c r="AU122" s="23">
        <f>EXP(-LN(2)/35)*AU121+(1-EXP(-LN(2)/35))/(LN(2)/35)*AQ122*AR122*VLOOKUP('Données projet'!$B$10,Paramètres!$A$1:$I$88,3,0)*0.475*44/12</f>
        <v>29.37404069055334</v>
      </c>
      <c r="AV122" s="23">
        <f>EXP(-LN(2)/25)*AV121+(1-EXP(-LN(2)/25))/(LN(2)/25)*Calculateur!AQ122*Calculateur!AS122*VLOOKUP('Données projet'!$B$10,Paramètres!$A$1:$I$88,3,0)*0.475*44/12</f>
        <v>10.900841656033375</v>
      </c>
      <c r="AW122" s="23">
        <f>EXP(-LN(2)/2)*AW121+(1-EXP(-LN(2)/2))/(LN(2)/2)*AQ122*AT122*VLOOKUP('Données projet'!$B$10,Paramètres!$A$1:$I$88,3,0)*0.475*44/12</f>
        <v>0</v>
      </c>
      <c r="AX122" s="23">
        <f t="shared" si="60"/>
        <v>40.274882346586715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68.909590078438697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6.8212102632969618E-13</v>
      </c>
      <c r="BE122" s="14">
        <f>BD122*VLOOKUP('Données projet'!$B$11,Paramètres!$A$1:$I$88,3,0)*VLOOKUP('Données projet'!$B$11,Paramètres!$A$1:$I$88,5,0)</f>
        <v>3.1923264032229784E-13</v>
      </c>
      <c r="BF122" s="14">
        <f t="shared" si="91"/>
        <v>4.1896839804541558E-12</v>
      </c>
      <c r="BG122" s="22">
        <f t="shared" si="61"/>
        <v>7.8530297811856558E-12</v>
      </c>
      <c r="BH122" s="62">
        <f t="shared" si="62"/>
        <v>289.33516362094974</v>
      </c>
      <c r="BI122" s="62">
        <f ca="1">AVERAGE(OFFSET($BH$3,0,0,'Données projet'!$E$11+1,1))-AVERAGE(OFFSET($H$3,0,0,'Données projet'!$E$11+1,1))</f>
        <v>364.96458059055169</v>
      </c>
      <c r="BJ122" s="62">
        <f t="shared" si="92"/>
        <v>246.27159120786257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projet'!$B$11,Paramètres!$A$1:$I$88,7,0))</f>
        <v>0</v>
      </c>
      <c r="BN122" s="17">
        <f>IF(ISNA(VLOOKUP(A122,'Données projet'!$A$87:$I$107,6,0)),0%,VLOOKUP(A122,'Données projet'!$A$87:$I$107,6,0)*VLOOKUP('Données projet'!$B$11,Paramètres!$A$1:$I$88,7,0))</f>
        <v>0</v>
      </c>
      <c r="BO122" s="17">
        <f>IF(ISNA(VLOOKUP(A122,'Données projet'!$A$87:$I$107,7,0)),0%,VLOOKUP(A122,'Données projet'!$A$87:$I$107,7,0))</f>
        <v>0</v>
      </c>
      <c r="BP122" s="23">
        <f>EXP(-LN(2)/35)*BP121+(1-EXP(-LN(2)/35))/(LN(2)/35)*BL122*BM122*VLOOKUP('Données projet'!$B$11,Paramètres!$A$1:$I$88,3,0)*0.475*44/12</f>
        <v>163.40926518589188</v>
      </c>
      <c r="BQ122" s="23">
        <f>EXP(-LN(2)/25)*BQ121+(1-EXP(-LN(2)/25))/(LN(2)/25)*Calculateur!BL122*Calculateur!BN122*VLOOKUP('Données projet'!$B$11,Paramètres!$A$1:$I$88,3,0)*0.475*44/12</f>
        <v>59.522399005434345</v>
      </c>
      <c r="BR122" s="23">
        <f>EXP(-LN(2)/2)*BR121+(1-EXP(-LN(2)/2))/(LN(2)/2)*BL122*BO122*VLOOKUP('Données projet'!$B$11,Paramètres!$A$1:$I$88,3,0)*0.475*44/12</f>
        <v>0</v>
      </c>
      <c r="BS122" s="24">
        <f t="shared" si="63"/>
        <v>222.93166419132623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68.909590078438697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-1.1368683772161603E-13</v>
      </c>
      <c r="BZ122" s="14">
        <f>BY122*VLOOKUP('Données projet'!$B$12,Paramètres!$A$1:$I$88,3,0)*VLOOKUP('Données projet'!$B$12,Paramètres!$A$1:$I$88,5,0)</f>
        <v>-1.1527845344971866E-13</v>
      </c>
      <c r="CA122" s="14" t="e">
        <f t="shared" si="93"/>
        <v>#NUM!</v>
      </c>
      <c r="CB122" s="22" t="e">
        <f t="shared" si="64"/>
        <v>#NUM!</v>
      </c>
      <c r="CC122" s="62" t="e">
        <f t="shared" si="65"/>
        <v>#NUM!</v>
      </c>
      <c r="CD122" s="62">
        <f ca="1">AVERAGE(OFFSET($CC$3,0,0,'Données projet'!$E$12+1,1))-AVERAGE(OFFSET($H$3,0,0,'Données projet'!$E$12+1,1))</f>
        <v>310.53598044763282</v>
      </c>
      <c r="CE122" s="62">
        <f t="shared" si="94"/>
        <v>322.01096634040596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projet'!$B$12,Paramètres!$A$1:$I$88,7,0))</f>
        <v>0</v>
      </c>
      <c r="CI122" s="17">
        <f>IF(ISNA(VLOOKUP(A122,'Données projet'!$A$113:$I$133,6,0)),0%,VLOOKUP(A122,'Données projet'!$A$113:$I$133,6,0)*VLOOKUP('Données projet'!$B$12,Paramètres!$A$1:$I$88,7,0))</f>
        <v>0</v>
      </c>
      <c r="CJ122" s="17">
        <f>IF(ISNA(VLOOKUP(A122,'Données projet'!$A$113:$I$133,7,0)),0%,VLOOKUP(A122,'Données projet'!$A$113:$I$133,7,0))</f>
        <v>0</v>
      </c>
      <c r="CK122" s="23">
        <f>EXP(-LN(2)/35)*CK121+(1-EXP(-LN(2)/35))/(LN(2)/35)*CG122*CH122*VLOOKUP('Données projet'!$B$12,Paramètres!$A$1:$I$88,3,0)*0.475*44/12</f>
        <v>22.474716359586605</v>
      </c>
      <c r="CL122" s="23">
        <f>EXP(-LN(2)/25)*CL121+(1-EXP(-LN(2)/25))/(LN(2)/25)*Calculateur!CG122*Calculateur!CI122*VLOOKUP('Données projet'!$B$12,Paramètres!$A$1:$I$88,3,0)*0.475*44/12</f>
        <v>0</v>
      </c>
      <c r="CM122" s="23">
        <f>EXP(-LN(2)/2)*CM121+(1-EXP(-LN(2)/2))/(LN(2)/2)*CG122*CJ122*VLOOKUP('Données projet'!$B$12,Paramètres!$A$1:$I$88,3,0)*0.475*44/12</f>
        <v>0</v>
      </c>
      <c r="CN122" s="24">
        <f t="shared" si="66"/>
        <v>22.474716359586605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68.909590078438697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projet'!$B$13,Paramètres!$A$1:$I$88,3,0)*VLOOKUP('Données projet'!$B$13,Paramètres!$A$1:$I$88,5,0)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projet'!$B$13,Paramètres!$A$1:$I$88,7,0))</f>
        <v>0</v>
      </c>
      <c r="DD122" s="17">
        <f>IF(ISNA(VLOOKUP(A122,'Données projet'!$A$139:$I$159,6,0)),0%,VLOOKUP(A122,'Données projet'!$A$139:$I$159,6,0)*VLOOKUP('Données projet'!$B$13,Paramètres!$A$1:$I$88,7,0))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projet'!$B$13,Paramètres!$A$1:$I$88,3,0)*0.475*44/12</f>
        <v>#N/A</v>
      </c>
      <c r="DG122" s="23" t="e">
        <f>EXP(-LN(2)/25)*DG121+(1-EXP(-LN(2)/25))/(LN(2)/25)*Calculateur!DB122*Calculateur!DD122*VLOOKUP('Données projet'!$B$13,Paramètres!$A$1:$I$88,3,0)*0.475*44/12</f>
        <v>#N/A</v>
      </c>
      <c r="DH122" s="23" t="e">
        <f>EXP(-LN(2)/2)*DH121+(1-EXP(-LN(2)/2))/(LN(2)/2)*DB122*DE122*VLOOKUP('Données projet'!$B$13,Paramètres!$A$1:$I$88,3,0)*0.475*44/12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68.909590078438697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projet'!$B$14,Paramètres!$A$1:$I$88,3,0)*VLOOKUP('Données projet'!$B$14,Paramètres!$A$1:$I$88,5,0)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projet'!$B$14,Paramètres!$A$1:$I$88,7,0))</f>
        <v>0</v>
      </c>
      <c r="DY122" s="17">
        <f>IF(ISNA(VLOOKUP(A122,'Données projet'!$A$165:$I$185,6,0)),0%,VLOOKUP(A122,'Données projet'!$A$165:$I$185,6,0)*VLOOKUP('Données projet'!$B$14,Paramètres!$A$1:$I$88,7,0))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projet'!$B$14,Paramètres!$A$1:$I$88,3,0)*0.475*44/12</f>
        <v>#N/A</v>
      </c>
      <c r="EB122" s="23" t="e">
        <f>EXP(-LN(2)/25)*EB121+(1-EXP(-LN(2)/25))/(LN(2)/25)*Calculateur!DW122*Calculateur!DY122*VLOOKUP('Données projet'!$B$14,Paramètres!$A$1:$I$88,3,0)*0.475*44/12</f>
        <v>#N/A</v>
      </c>
      <c r="EC122" s="23" t="e">
        <f>EXP(-LN(2)/2)*EC121+(1-EXP(-LN(2)/2))/(LN(2)/2)*DW122*DZ122*VLOOKUP('Données projet'!$B$14,Paramètres!$A$1:$I$88,3,0)*0.475*44/12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68.909590078438697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projet'!$B$15,Paramètres!$A$1:$I$88,3,0)*VLOOKUP('Données projet'!$B$15,Paramètres!$A$1:$I$88,5,0)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projet'!$B$15,Paramètres!$A$1:$I$88,7,0))</f>
        <v>0</v>
      </c>
      <c r="ET122" s="17">
        <f>IF(ISNA(VLOOKUP(A122,'Données projet'!$A$191:$I$211,6,0)),0%,VLOOKUP(A122,'Données projet'!$A$191:$I$211,6,0)*VLOOKUP('Données projet'!$B$15,Paramètres!$A$1:$I$88,7,0))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projet'!$B$15,Paramètres!$A$1:$I$88,3,0)*0.475*44/12</f>
        <v>#N/A</v>
      </c>
      <c r="EW122" s="23" t="e">
        <f>EXP(-LN(2)/25)*EW121+(1-EXP(-LN(2)/25))/(LN(2)/25)*Calculateur!ER122*Calculateur!ET122*VLOOKUP('Données projet'!$B$15,Paramètres!$A$1:$I$88,3,0)*0.475*44/12</f>
        <v>#N/A</v>
      </c>
      <c r="EX122" s="23" t="e">
        <f>EXP(-LN(2)/2)*EX121+(1-EXP(-LN(2)/2))/(LN(2)/2)*ER122*EU122*VLOOKUP('Données projet'!$B$15,Paramètres!$A$1:$I$88,3,0)*0.475*44/12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68.909590078438697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projet'!$B$16,Paramètres!$A$1:$I$88,3,0)*VLOOKUP('Données projet'!$B$16,Paramètres!$A$1:$I$88,5,0)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projet'!$B$16,Paramètres!$A$1:$I$88,7,0))</f>
        <v>0</v>
      </c>
      <c r="FO122" s="17">
        <f>IF(ISNA(VLOOKUP(A122,'Données projet'!$A$217:$I$237,6,0)),0%,VLOOKUP(A122,'Données projet'!$A$217:$I$237,6,0)*VLOOKUP('Données projet'!$B$16,Paramètres!$A$1:$I$88,7,0))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projet'!$B$16,Paramètres!$A$1:$I$88,3,0)*0.475*44/12</f>
        <v>#N/A</v>
      </c>
      <c r="FR122" s="23" t="e">
        <f>EXP(-LN(2)/25)*FR121+(1-EXP(-LN(2)/25))/(LN(2)/25)*Calculateur!FM122*Calculateur!FO122*VLOOKUP('Données projet'!$B$16,Paramètres!$A$1:$I$88,3,0)*0.475*44/12</f>
        <v>#N/A</v>
      </c>
      <c r="FS122" s="23" t="e">
        <f>EXP(-LN(2)/2)*FS121+(1-EXP(-LN(2)/2))/(LN(2)/2)*FM122*FP122*VLOOKUP('Données projet'!$B$16,Paramètres!$A$1:$I$88,3,0)*0.475*44/12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68.909590078438697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projet'!$B$17,Paramètres!$A$1:$I$88,3,0)*VLOOKUP('Données projet'!$B$17,Paramètres!$A$1:$I$88,5,0)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projet'!$B$17,Paramètres!$A$1:$I$88,7,0))</f>
        <v>0</v>
      </c>
      <c r="GJ122" s="17">
        <f>IF(ISNA(VLOOKUP(A122,'Données projet'!$A$243:$I$263,6,0)),0%,VLOOKUP(A122,'Données projet'!$A$243:$I$263,6,0)*VLOOKUP('Données projet'!$B$17,Paramètres!$A$1:$I$88,7,0))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projet'!$B$17,Paramètres!$A$1:$I$88,3,0)*0.475*44/12</f>
        <v>#N/A</v>
      </c>
      <c r="GM122" s="23" t="e">
        <f>EXP(-LN(2)/25)*GM121+(1-EXP(-LN(2)/25))/(LN(2)/25)*Calculateur!GH122*Calculateur!GJ122*VLOOKUP('Données projet'!$B$17,Paramètres!$A$1:$I$88,3,0)*0.475*44/12</f>
        <v>#N/A</v>
      </c>
      <c r="GN122" s="23" t="e">
        <f>EXP(-LN(2)/2)*GN121+(1-EXP(-LN(2)/2))/(LN(2)/2)*GH122*GK122*VLOOKUP('Données projet'!$B$17,Paramètres!$A$1:$I$88,3,0)*0.475*44/12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68.909590078438697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projet'!$B$18,Paramètres!$A$1:$I$88,3,0)*VLOOKUP('Données projet'!$B$18,Paramètres!$A$1:$I$88,5,0)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projet'!$B$18,Paramètres!$A$1:$I$88,7,0))</f>
        <v>0</v>
      </c>
      <c r="HE122" s="17">
        <f>IF(ISNA(VLOOKUP(A122,'Données projet'!$A$269:$I$289,6,0)),0%,VLOOKUP(A122,'Données projet'!$A$269:$I$289,6,0)*VLOOKUP('Données projet'!$B$18,Paramètres!$A$1:$I$88,7,0))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projet'!$B$18,Paramètres!$A$1:$I$88,3,0)*0.475*44/12</f>
        <v>#N/A</v>
      </c>
      <c r="HH122" s="23" t="e">
        <f>EXP(-LN(2)/25)*HH121+(1-EXP(-LN(2)/25))/(LN(2)/25)*Calculateur!HC122*Calculateur!HE122*VLOOKUP('Données projet'!$B$18,Paramètres!$A$1:$I$88,3,0)*0.475*44/12</f>
        <v>#N/A</v>
      </c>
      <c r="HI122" s="23" t="e">
        <f>EXP(-LN(2)/2)*HI121+(1-EXP(-LN(2)/2))/(LN(2)/2)*HC122*HF122*VLOOKUP('Données projet'!$B$18,Paramètres!$A$1:$I$88,3,0)*0.475*44/12</f>
        <v>#N/A</v>
      </c>
      <c r="HJ122" s="24" t="e">
        <f t="shared" si="84"/>
        <v>#N/A</v>
      </c>
    </row>
    <row r="123" spans="1:218" s="5" customFormat="1" x14ac:dyDescent="0.35">
      <c r="A123" s="11">
        <f t="shared" si="85"/>
        <v>120</v>
      </c>
      <c r="B123" s="77">
        <f>'Scénario référence'!$B$16*5+'Scénario référence'!$B$17*0+'Scénario référence'!$B$18*5</f>
        <v>1.75</v>
      </c>
      <c r="C123" s="20">
        <f>Calculateur!C122+'Scénario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23" s="12">
        <f t="shared" si="86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6.416666666666667</v>
      </c>
      <c r="H123" s="70">
        <f t="shared" si="56"/>
        <v>231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68.928506252786406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3.4106051316484809E-13</v>
      </c>
      <c r="O123" s="14">
        <f>N123*VLOOKUP('Données projet'!$B$9,Paramètres!$A$1:$I$88,3,0)*VLOOKUP('Données projet'!$B$9,Paramètres!$A$1:$I$88,5,0)</f>
        <v>1.9065282685915009E-13</v>
      </c>
      <c r="P123" s="14">
        <f t="shared" si="87"/>
        <v>2.6568987209435707E-12</v>
      </c>
      <c r="Q123" s="22">
        <f t="shared" si="107"/>
        <v>4.959485612423072E-12</v>
      </c>
      <c r="R123" s="62">
        <f t="shared" si="55"/>
        <v>289.40452292688843</v>
      </c>
      <c r="S123" s="62">
        <f ca="1">AVERAGE(OFFSET($R$3,0,0,'Données projet'!$E$9+1,1))-AVERAGE(OFFSET($H$3,0,0,'Données projet'!$E$9+1,1))</f>
        <v>341.05096821796769</v>
      </c>
      <c r="T123" s="62">
        <f t="shared" si="88"/>
        <v>400.72519822215168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projet'!$B$9,Paramètres!$A$1:$I$88,7,0))</f>
        <v>0</v>
      </c>
      <c r="X123" s="17">
        <f>IF(ISNA(VLOOKUP(A123,'Données projet'!$A$35:$I$55,6,0)),0%,VLOOKUP(A123,'Données projet'!$A$35:$I$55,6,0)*VLOOKUP('Données projet'!$B$9,Paramètres!$A$1:$I$88,7,0))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projet'!$B$9,Paramètres!$A$1:$I$88,3,0)*0.475*44/12</f>
        <v>73.026671491012422</v>
      </c>
      <c r="AA123" s="23">
        <f>EXP(-LN(2)/25)*AA122+(1-EXP(-LN(2)/25))/(LN(2)/25)*Calculateur!V123*Calculateur!X123*VLOOKUP('Données projet'!$B$9,Paramètres!$A$1:$I$88,3,0)*0.475*44/12</f>
        <v>25.108672517715668</v>
      </c>
      <c r="AB123" s="23">
        <f>EXP(-LN(2)/2)*AB122+(1-EXP(-LN(2)/2))/(LN(2)/2)*V123*Y123*VLOOKUP('Données projet'!$B$9,Paramètres!$A$1:$I$88,3,0)*0.475*44/12</f>
        <v>0</v>
      </c>
      <c r="AC123" s="24">
        <f t="shared" si="57"/>
        <v>98.135344008728083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68.928506252786406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5.6843418860808015E-14</v>
      </c>
      <c r="AJ123" s="14">
        <f>AI123*VLOOKUP('Données projet'!$B$10,Paramètres!$A$1:$I$88,3,0)*VLOOKUP('Données projet'!$B$10,Paramètres!$A$1:$I$88,5,0)</f>
        <v>3.3992364478763198E-14</v>
      </c>
      <c r="AK123" s="14">
        <f t="shared" si="89"/>
        <v>5.790027782444094E-13</v>
      </c>
      <c r="AL123" s="22">
        <f t="shared" si="58"/>
        <v>1.0676332069095257E-12</v>
      </c>
      <c r="AM123" s="62">
        <f t="shared" si="59"/>
        <v>289.40452292688457</v>
      </c>
      <c r="AN123" s="62">
        <f ca="1">AVERAGE(OFFSET($AM$3,0,0,'Données projet'!$E$10+1,1))-AVERAGE(OFFSET($H$3,0,0,'Données projet'!$E$10+1,1))</f>
        <v>231.96474801342879</v>
      </c>
      <c r="AO123" s="62">
        <f t="shared" si="90"/>
        <v>237.75726086383668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projet'!$B$10,Paramètres!$A$1:$I$88,7,0))</f>
        <v>0</v>
      </c>
      <c r="AS123" s="17">
        <f>IF(ISNA(VLOOKUP(A123,'Données projet'!$A$61:$I$81,6,0)),0%,VLOOKUP(A123,'Données projet'!$A$61:$I$81,6,0)*VLOOKUP('Données projet'!$B$10,Paramètres!$A$1:$I$88,7,0))</f>
        <v>0</v>
      </c>
      <c r="AT123" s="17">
        <f>IF(ISNA(VLOOKUP(A123,'Données projet'!$A$61:$I$81,7,0)),0%,VLOOKUP(A123,'Données projet'!$A$61:$I$81,7,0))</f>
        <v>0</v>
      </c>
      <c r="AU123" s="23">
        <f>EXP(-LN(2)/35)*AU122+(1-EXP(-LN(2)/35))/(LN(2)/35)*AQ123*AR123*VLOOKUP('Données projet'!$B$10,Paramètres!$A$1:$I$88,3,0)*0.475*44/12</f>
        <v>28.798033669007314</v>
      </c>
      <c r="AV123" s="23">
        <f>EXP(-LN(2)/25)*AV122+(1-EXP(-LN(2)/25))/(LN(2)/25)*Calculateur!AQ123*Calculateur!AS123*VLOOKUP('Données projet'!$B$10,Paramètres!$A$1:$I$88,3,0)*0.475*44/12</f>
        <v>10.602757567698793</v>
      </c>
      <c r="AW123" s="23">
        <f>EXP(-LN(2)/2)*AW122+(1-EXP(-LN(2)/2))/(LN(2)/2)*AQ123*AT123*VLOOKUP('Données projet'!$B$10,Paramètres!$A$1:$I$88,3,0)*0.475*44/12</f>
        <v>0</v>
      </c>
      <c r="AX123" s="23">
        <f t="shared" si="60"/>
        <v>39.400791236706105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68.928506252786406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6.8212102632969618E-13</v>
      </c>
      <c r="BE123" s="14">
        <f>BD123*VLOOKUP('Données projet'!$B$11,Paramètres!$A$1:$I$88,3,0)*VLOOKUP('Données projet'!$B$11,Paramètres!$A$1:$I$88,5,0)</f>
        <v>3.1923264032229784E-13</v>
      </c>
      <c r="BF123" s="14">
        <f t="shared" si="91"/>
        <v>4.1896839804541558E-12</v>
      </c>
      <c r="BG123" s="22">
        <f t="shared" si="61"/>
        <v>7.8530297811856558E-12</v>
      </c>
      <c r="BH123" s="62">
        <f t="shared" si="62"/>
        <v>289.40452292689133</v>
      </c>
      <c r="BI123" s="62">
        <f ca="1">AVERAGE(OFFSET($BH$3,0,0,'Données projet'!$E$11+1,1))-AVERAGE(OFFSET($H$3,0,0,'Données projet'!$E$11+1,1))</f>
        <v>364.96458059055169</v>
      </c>
      <c r="BJ123" s="62">
        <f t="shared" si="92"/>
        <v>246.27159120786257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projet'!$B$11,Paramètres!$A$1:$I$88,7,0))</f>
        <v>0</v>
      </c>
      <c r="BN123" s="17">
        <f>IF(ISNA(VLOOKUP(A123,'Données projet'!$A$87:$I$107,6,0)),0%,VLOOKUP(A123,'Données projet'!$A$87:$I$107,6,0)*VLOOKUP('Données projet'!$B$11,Paramètres!$A$1:$I$88,7,0))</f>
        <v>0</v>
      </c>
      <c r="BO123" s="17">
        <f>IF(ISNA(VLOOKUP(A123,'Données projet'!$A$87:$I$107,7,0)),0%,VLOOKUP(A123,'Données projet'!$A$87:$I$107,7,0))</f>
        <v>0</v>
      </c>
      <c r="BP123" s="23">
        <f>EXP(-LN(2)/35)*BP122+(1-EXP(-LN(2)/35))/(LN(2)/35)*BL123*BM123*VLOOKUP('Données projet'!$B$11,Paramètres!$A$1:$I$88,3,0)*0.475*44/12</f>
        <v>160.20490916540672</v>
      </c>
      <c r="BQ123" s="23">
        <f>EXP(-LN(2)/25)*BQ122+(1-EXP(-LN(2)/25))/(LN(2)/25)*Calculateur!BL123*Calculateur!BN123*VLOOKUP('Données projet'!$B$11,Paramètres!$A$1:$I$88,3,0)*0.475*44/12</f>
        <v>57.89475587448382</v>
      </c>
      <c r="BR123" s="23">
        <f>EXP(-LN(2)/2)*BR122+(1-EXP(-LN(2)/2))/(LN(2)/2)*BL123*BO123*VLOOKUP('Données projet'!$B$11,Paramètres!$A$1:$I$88,3,0)*0.475*44/12</f>
        <v>0</v>
      </c>
      <c r="BS123" s="24">
        <f t="shared" si="63"/>
        <v>218.09966503989054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68.928506252786406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-1.1368683772161603E-13</v>
      </c>
      <c r="BZ123" s="14">
        <f>BY123*VLOOKUP('Données projet'!$B$12,Paramètres!$A$1:$I$88,3,0)*VLOOKUP('Données projet'!$B$12,Paramètres!$A$1:$I$88,5,0)</f>
        <v>-1.1527845344971866E-13</v>
      </c>
      <c r="CA123" s="14" t="e">
        <f t="shared" si="93"/>
        <v>#NUM!</v>
      </c>
      <c r="CB123" s="22" t="e">
        <f t="shared" si="64"/>
        <v>#NUM!</v>
      </c>
      <c r="CC123" s="62" t="e">
        <f t="shared" si="65"/>
        <v>#NUM!</v>
      </c>
      <c r="CD123" s="62">
        <f ca="1">AVERAGE(OFFSET($CC$3,0,0,'Données projet'!$E$12+1,1))-AVERAGE(OFFSET($H$3,0,0,'Données projet'!$E$12+1,1))</f>
        <v>310.53598044763282</v>
      </c>
      <c r="CE123" s="62">
        <f t="shared" si="94"/>
        <v>322.01096634040596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projet'!$B$12,Paramètres!$A$1:$I$88,7,0))</f>
        <v>0</v>
      </c>
      <c r="CI123" s="17">
        <f>IF(ISNA(VLOOKUP(A123,'Données projet'!$A$113:$I$133,6,0)),0%,VLOOKUP(A123,'Données projet'!$A$113:$I$133,6,0)*VLOOKUP('Données projet'!$B$12,Paramètres!$A$1:$I$88,7,0))</f>
        <v>0</v>
      </c>
      <c r="CJ123" s="17">
        <f>IF(ISNA(VLOOKUP(A123,'Données projet'!$A$113:$I$133,7,0)),0%,VLOOKUP(A123,'Données projet'!$A$113:$I$133,7,0))</f>
        <v>0</v>
      </c>
      <c r="CK123" s="23">
        <f>EXP(-LN(2)/35)*CK122+(1-EXP(-LN(2)/35))/(LN(2)/35)*CG123*CH123*VLOOKUP('Données projet'!$B$12,Paramètres!$A$1:$I$88,3,0)*0.475*44/12</f>
        <v>22.034000879998516</v>
      </c>
      <c r="CL123" s="23">
        <f>EXP(-LN(2)/25)*CL122+(1-EXP(-LN(2)/25))/(LN(2)/25)*Calculateur!CG123*Calculateur!CI123*VLOOKUP('Données projet'!$B$12,Paramètres!$A$1:$I$88,3,0)*0.475*44/12</f>
        <v>0</v>
      </c>
      <c r="CM123" s="23">
        <f>EXP(-LN(2)/2)*CM122+(1-EXP(-LN(2)/2))/(LN(2)/2)*CG123*CJ123*VLOOKUP('Données projet'!$B$12,Paramètres!$A$1:$I$88,3,0)*0.475*44/12</f>
        <v>0</v>
      </c>
      <c r="CN123" s="24">
        <f t="shared" si="66"/>
        <v>22.034000879998516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68.928506252786406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projet'!$B$13,Paramètres!$A$1:$I$88,3,0)*VLOOKUP('Données projet'!$B$13,Paramètres!$A$1:$I$88,5,0)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projet'!$B$13,Paramètres!$A$1:$I$88,7,0))</f>
        <v>0</v>
      </c>
      <c r="DD123" s="17">
        <f>IF(ISNA(VLOOKUP(A123,'Données projet'!$A$139:$I$159,6,0)),0%,VLOOKUP(A123,'Données projet'!$A$139:$I$159,6,0)*VLOOKUP('Données projet'!$B$13,Paramètres!$A$1:$I$88,7,0))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projet'!$B$13,Paramètres!$A$1:$I$88,3,0)*0.475*44/12</f>
        <v>#N/A</v>
      </c>
      <c r="DG123" s="23" t="e">
        <f>EXP(-LN(2)/25)*DG122+(1-EXP(-LN(2)/25))/(LN(2)/25)*Calculateur!DB123*Calculateur!DD123*VLOOKUP('Données projet'!$B$13,Paramètres!$A$1:$I$88,3,0)*0.475*44/12</f>
        <v>#N/A</v>
      </c>
      <c r="DH123" s="23" t="e">
        <f>EXP(-LN(2)/2)*DH122+(1-EXP(-LN(2)/2))/(LN(2)/2)*DB123*DE123*VLOOKUP('Données projet'!$B$13,Paramètres!$A$1:$I$88,3,0)*0.475*44/12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68.928506252786406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projet'!$B$14,Paramètres!$A$1:$I$88,3,0)*VLOOKUP('Données projet'!$B$14,Paramètres!$A$1:$I$88,5,0)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projet'!$B$14,Paramètres!$A$1:$I$88,7,0))</f>
        <v>0</v>
      </c>
      <c r="DY123" s="17">
        <f>IF(ISNA(VLOOKUP(A123,'Données projet'!$A$165:$I$185,6,0)),0%,VLOOKUP(A123,'Données projet'!$A$165:$I$185,6,0)*VLOOKUP('Données projet'!$B$14,Paramètres!$A$1:$I$88,7,0))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projet'!$B$14,Paramètres!$A$1:$I$88,3,0)*0.475*44/12</f>
        <v>#N/A</v>
      </c>
      <c r="EB123" s="23" t="e">
        <f>EXP(-LN(2)/25)*EB122+(1-EXP(-LN(2)/25))/(LN(2)/25)*Calculateur!DW123*Calculateur!DY123*VLOOKUP('Données projet'!$B$14,Paramètres!$A$1:$I$88,3,0)*0.475*44/12</f>
        <v>#N/A</v>
      </c>
      <c r="EC123" s="23" t="e">
        <f>EXP(-LN(2)/2)*EC122+(1-EXP(-LN(2)/2))/(LN(2)/2)*DW123*DZ123*VLOOKUP('Données projet'!$B$14,Paramètres!$A$1:$I$88,3,0)*0.475*44/12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68.928506252786406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projet'!$B$15,Paramètres!$A$1:$I$88,3,0)*VLOOKUP('Données projet'!$B$15,Paramètres!$A$1:$I$88,5,0)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projet'!$B$15,Paramètres!$A$1:$I$88,7,0))</f>
        <v>0</v>
      </c>
      <c r="ET123" s="17">
        <f>IF(ISNA(VLOOKUP(A123,'Données projet'!$A$191:$I$211,6,0)),0%,VLOOKUP(A123,'Données projet'!$A$191:$I$211,6,0)*VLOOKUP('Données projet'!$B$15,Paramètres!$A$1:$I$88,7,0))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projet'!$B$15,Paramètres!$A$1:$I$88,3,0)*0.475*44/12</f>
        <v>#N/A</v>
      </c>
      <c r="EW123" s="23" t="e">
        <f>EXP(-LN(2)/25)*EW122+(1-EXP(-LN(2)/25))/(LN(2)/25)*Calculateur!ER123*Calculateur!ET123*VLOOKUP('Données projet'!$B$15,Paramètres!$A$1:$I$88,3,0)*0.475*44/12</f>
        <v>#N/A</v>
      </c>
      <c r="EX123" s="23" t="e">
        <f>EXP(-LN(2)/2)*EX122+(1-EXP(-LN(2)/2))/(LN(2)/2)*ER123*EU123*VLOOKUP('Données projet'!$B$15,Paramètres!$A$1:$I$88,3,0)*0.475*44/12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68.928506252786406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projet'!$B$16,Paramètres!$A$1:$I$88,3,0)*VLOOKUP('Données projet'!$B$16,Paramètres!$A$1:$I$88,5,0)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projet'!$B$16,Paramètres!$A$1:$I$88,7,0))</f>
        <v>0</v>
      </c>
      <c r="FO123" s="17">
        <f>IF(ISNA(VLOOKUP(A123,'Données projet'!$A$217:$I$237,6,0)),0%,VLOOKUP(A123,'Données projet'!$A$217:$I$237,6,0)*VLOOKUP('Données projet'!$B$16,Paramètres!$A$1:$I$88,7,0))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projet'!$B$16,Paramètres!$A$1:$I$88,3,0)*0.475*44/12</f>
        <v>#N/A</v>
      </c>
      <c r="FR123" s="23" t="e">
        <f>EXP(-LN(2)/25)*FR122+(1-EXP(-LN(2)/25))/(LN(2)/25)*Calculateur!FM123*Calculateur!FO123*VLOOKUP('Données projet'!$B$16,Paramètres!$A$1:$I$88,3,0)*0.475*44/12</f>
        <v>#N/A</v>
      </c>
      <c r="FS123" s="23" t="e">
        <f>EXP(-LN(2)/2)*FS122+(1-EXP(-LN(2)/2))/(LN(2)/2)*FM123*FP123*VLOOKUP('Données projet'!$B$16,Paramètres!$A$1:$I$88,3,0)*0.475*44/12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68.928506252786406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projet'!$B$17,Paramètres!$A$1:$I$88,3,0)*VLOOKUP('Données projet'!$B$17,Paramètres!$A$1:$I$88,5,0)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projet'!$B$17,Paramètres!$A$1:$I$88,7,0))</f>
        <v>0</v>
      </c>
      <c r="GJ123" s="17">
        <f>IF(ISNA(VLOOKUP(A123,'Données projet'!$A$243:$I$263,6,0)),0%,VLOOKUP(A123,'Données projet'!$A$243:$I$263,6,0)*VLOOKUP('Données projet'!$B$17,Paramètres!$A$1:$I$88,7,0))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projet'!$B$17,Paramètres!$A$1:$I$88,3,0)*0.475*44/12</f>
        <v>#N/A</v>
      </c>
      <c r="GM123" s="23" t="e">
        <f>EXP(-LN(2)/25)*GM122+(1-EXP(-LN(2)/25))/(LN(2)/25)*Calculateur!GH123*Calculateur!GJ123*VLOOKUP('Données projet'!$B$17,Paramètres!$A$1:$I$88,3,0)*0.475*44/12</f>
        <v>#N/A</v>
      </c>
      <c r="GN123" s="23" t="e">
        <f>EXP(-LN(2)/2)*GN122+(1-EXP(-LN(2)/2))/(LN(2)/2)*GH123*GK123*VLOOKUP('Données projet'!$B$17,Paramètres!$A$1:$I$88,3,0)*0.475*44/12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68.928506252786406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projet'!$B$18,Paramètres!$A$1:$I$88,3,0)*VLOOKUP('Données projet'!$B$18,Paramètres!$A$1:$I$88,5,0)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projet'!$B$18,Paramètres!$A$1:$I$88,7,0))</f>
        <v>0</v>
      </c>
      <c r="HE123" s="17">
        <f>IF(ISNA(VLOOKUP(A123,'Données projet'!$A$269:$I$289,6,0)),0%,VLOOKUP(A123,'Données projet'!$A$269:$I$289,6,0)*VLOOKUP('Données projet'!$B$18,Paramètres!$A$1:$I$88,7,0))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projet'!$B$18,Paramètres!$A$1:$I$88,3,0)*0.475*44/12</f>
        <v>#N/A</v>
      </c>
      <c r="HH123" s="23" t="e">
        <f>EXP(-LN(2)/25)*HH122+(1-EXP(-LN(2)/25))/(LN(2)/25)*Calculateur!HC123*Calculateur!HE123*VLOOKUP('Données projet'!$B$18,Paramètres!$A$1:$I$88,3,0)*0.475*44/12</f>
        <v>#N/A</v>
      </c>
      <c r="HI123" s="23" t="e">
        <f>EXP(-LN(2)/2)*HI122+(1-EXP(-LN(2)/2))/(LN(2)/2)*HC123*HF123*VLOOKUP('Données projet'!$B$18,Paramètres!$A$1:$I$88,3,0)*0.475*44/12</f>
        <v>#N/A</v>
      </c>
      <c r="HJ123" s="24" t="e">
        <f t="shared" si="84"/>
        <v>#N/A</v>
      </c>
    </row>
    <row r="124" spans="1:218" s="5" customFormat="1" x14ac:dyDescent="0.35">
      <c r="A124" s="11">
        <f t="shared" si="85"/>
        <v>121</v>
      </c>
      <c r="B124" s="77">
        <f>'Scénario référence'!$B$16*5+'Scénario référence'!$B$17*0+'Scénario référence'!$B$18*5</f>
        <v>1.75</v>
      </c>
      <c r="C124" s="20">
        <f>Calculateur!C123+'Scénario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24" s="12">
        <f t="shared" si="86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6.416666666666667</v>
      </c>
      <c r="H124" s="70">
        <f t="shared" si="56"/>
        <v>231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68.947094273799422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3.4106051316484809E-13</v>
      </c>
      <c r="O124" s="14">
        <f>N124*VLOOKUP('Données projet'!$B$9,Paramètres!$A$1:$I$88,3,0)*VLOOKUP('Données projet'!$B$9,Paramètres!$A$1:$I$88,5,0)</f>
        <v>1.9065282685915009E-13</v>
      </c>
      <c r="P124" s="14">
        <f t="shared" si="87"/>
        <v>2.6568987209435707E-12</v>
      </c>
      <c r="Q124" s="22">
        <f t="shared" si="107"/>
        <v>4.959485612423072E-12</v>
      </c>
      <c r="R124" s="62">
        <f t="shared" si="55"/>
        <v>289.47267900393615</v>
      </c>
      <c r="S124" s="62">
        <f ca="1">AVERAGE(OFFSET($R$3,0,0,'Données projet'!$E$9+1,1))-AVERAGE(OFFSET($H$3,0,0,'Données projet'!$E$9+1,1))</f>
        <v>341.05096821796769</v>
      </c>
      <c r="T124" s="62">
        <f t="shared" si="88"/>
        <v>400.72519822215168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projet'!$B$9,Paramètres!$A$1:$I$88,7,0))</f>
        <v>0</v>
      </c>
      <c r="X124" s="17">
        <f>IF(ISNA(VLOOKUP(A124,'Données projet'!$A$35:$I$55,6,0)),0%,VLOOKUP(A124,'Données projet'!$A$35:$I$55,6,0)*VLOOKUP('Données projet'!$B$9,Paramètres!$A$1:$I$88,7,0))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projet'!$B$9,Paramètres!$A$1:$I$88,3,0)*0.475*44/12</f>
        <v>71.594663004945133</v>
      </c>
      <c r="AA124" s="23">
        <f>EXP(-LN(2)/25)*AA123+(1-EXP(-LN(2)/25))/(LN(2)/25)*Calculateur!V124*Calculateur!X124*VLOOKUP('Données projet'!$B$9,Paramètres!$A$1:$I$88,3,0)*0.475*44/12</f>
        <v>24.422074547311031</v>
      </c>
      <c r="AB124" s="23">
        <f>EXP(-LN(2)/2)*AB123+(1-EXP(-LN(2)/2))/(LN(2)/2)*V124*Y124*VLOOKUP('Données projet'!$B$9,Paramètres!$A$1:$I$88,3,0)*0.475*44/12</f>
        <v>0</v>
      </c>
      <c r="AC124" s="24">
        <f t="shared" si="57"/>
        <v>96.01673755225616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68.947094273799422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5.6843418860808015E-14</v>
      </c>
      <c r="AJ124" s="14">
        <f>AI124*VLOOKUP('Données projet'!$B$10,Paramètres!$A$1:$I$88,3,0)*VLOOKUP('Données projet'!$B$10,Paramètres!$A$1:$I$88,5,0)</f>
        <v>3.3992364478763198E-14</v>
      </c>
      <c r="AK124" s="14">
        <f t="shared" si="89"/>
        <v>5.790027782444094E-13</v>
      </c>
      <c r="AL124" s="22">
        <f t="shared" si="58"/>
        <v>1.0676332069095257E-12</v>
      </c>
      <c r="AM124" s="62">
        <f t="shared" si="59"/>
        <v>289.47267900393229</v>
      </c>
      <c r="AN124" s="62">
        <f ca="1">AVERAGE(OFFSET($AM$3,0,0,'Données projet'!$E$10+1,1))-AVERAGE(OFFSET($H$3,0,0,'Données projet'!$E$10+1,1))</f>
        <v>231.96474801342879</v>
      </c>
      <c r="AO124" s="62">
        <f t="shared" si="90"/>
        <v>237.75726086383668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projet'!$B$10,Paramètres!$A$1:$I$88,7,0))</f>
        <v>0</v>
      </c>
      <c r="AS124" s="17">
        <f>IF(ISNA(VLOOKUP(A124,'Données projet'!$A$61:$I$81,6,0)),0%,VLOOKUP(A124,'Données projet'!$A$61:$I$81,6,0)*VLOOKUP('Données projet'!$B$10,Paramètres!$A$1:$I$88,7,0))</f>
        <v>0</v>
      </c>
      <c r="AT124" s="17">
        <f>IF(ISNA(VLOOKUP(A124,'Données projet'!$A$61:$I$81,7,0)),0%,VLOOKUP(A124,'Données projet'!$A$61:$I$81,7,0))</f>
        <v>0</v>
      </c>
      <c r="AU124" s="23">
        <f>EXP(-LN(2)/35)*AU123+(1-EXP(-LN(2)/35))/(LN(2)/35)*AQ124*AR124*VLOOKUP('Données projet'!$B$10,Paramètres!$A$1:$I$88,3,0)*0.475*44/12</f>
        <v>28.233321793824214</v>
      </c>
      <c r="AV124" s="23">
        <f>EXP(-LN(2)/25)*AV123+(1-EXP(-LN(2)/25))/(LN(2)/25)*Calculateur!AQ124*Calculateur!AS124*VLOOKUP('Données projet'!$B$10,Paramètres!$A$1:$I$88,3,0)*0.475*44/12</f>
        <v>10.312824604435281</v>
      </c>
      <c r="AW124" s="23">
        <f>EXP(-LN(2)/2)*AW123+(1-EXP(-LN(2)/2))/(LN(2)/2)*AQ124*AT124*VLOOKUP('Données projet'!$B$10,Paramètres!$A$1:$I$88,3,0)*0.475*44/12</f>
        <v>0</v>
      </c>
      <c r="AX124" s="23">
        <f t="shared" si="60"/>
        <v>38.546146398259495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68.947094273799422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6.8212102632969618E-13</v>
      </c>
      <c r="BE124" s="14">
        <f>BD124*VLOOKUP('Données projet'!$B$11,Paramètres!$A$1:$I$88,3,0)*VLOOKUP('Données projet'!$B$11,Paramètres!$A$1:$I$88,5,0)</f>
        <v>3.1923264032229784E-13</v>
      </c>
      <c r="BF124" s="14">
        <f t="shared" si="91"/>
        <v>4.1896839804541558E-12</v>
      </c>
      <c r="BG124" s="22">
        <f t="shared" si="61"/>
        <v>7.8530297811856558E-12</v>
      </c>
      <c r="BH124" s="62">
        <f t="shared" si="62"/>
        <v>289.47267900393905</v>
      </c>
      <c r="BI124" s="62">
        <f ca="1">AVERAGE(OFFSET($BH$3,0,0,'Données projet'!$E$11+1,1))-AVERAGE(OFFSET($H$3,0,0,'Données projet'!$E$11+1,1))</f>
        <v>364.96458059055169</v>
      </c>
      <c r="BJ124" s="62">
        <f t="shared" si="92"/>
        <v>246.27159120786257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projet'!$B$11,Paramètres!$A$1:$I$88,7,0))</f>
        <v>0</v>
      </c>
      <c r="BN124" s="17">
        <f>IF(ISNA(VLOOKUP(A124,'Données projet'!$A$87:$I$107,6,0)),0%,VLOOKUP(A124,'Données projet'!$A$87:$I$107,6,0)*VLOOKUP('Données projet'!$B$11,Paramètres!$A$1:$I$88,7,0))</f>
        <v>0</v>
      </c>
      <c r="BO124" s="17">
        <f>IF(ISNA(VLOOKUP(A124,'Données projet'!$A$87:$I$107,7,0)),0%,VLOOKUP(A124,'Données projet'!$A$87:$I$107,7,0))</f>
        <v>0</v>
      </c>
      <c r="BP124" s="23">
        <f>EXP(-LN(2)/35)*BP123+(1-EXP(-LN(2)/35))/(LN(2)/35)*BL124*BM124*VLOOKUP('Données projet'!$B$11,Paramètres!$A$1:$I$88,3,0)*0.475*44/12</f>
        <v>157.06338861201908</v>
      </c>
      <c r="BQ124" s="23">
        <f>EXP(-LN(2)/25)*BQ123+(1-EXP(-LN(2)/25))/(LN(2)/25)*Calculateur!BL124*Calculateur!BN124*VLOOKUP('Données projet'!$B$11,Paramètres!$A$1:$I$88,3,0)*0.475*44/12</f>
        <v>56.311620730543169</v>
      </c>
      <c r="BR124" s="23">
        <f>EXP(-LN(2)/2)*BR123+(1-EXP(-LN(2)/2))/(LN(2)/2)*BL124*BO124*VLOOKUP('Données projet'!$B$11,Paramètres!$A$1:$I$88,3,0)*0.475*44/12</f>
        <v>0</v>
      </c>
      <c r="BS124" s="24">
        <f t="shared" si="63"/>
        <v>213.37500934256224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68.947094273799422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-1.1368683772161603E-13</v>
      </c>
      <c r="BZ124" s="14">
        <f>BY124*VLOOKUP('Données projet'!$B$12,Paramètres!$A$1:$I$88,3,0)*VLOOKUP('Données projet'!$B$12,Paramètres!$A$1:$I$88,5,0)</f>
        <v>-1.1527845344971866E-13</v>
      </c>
      <c r="CA124" s="14" t="e">
        <f t="shared" si="93"/>
        <v>#NUM!</v>
      </c>
      <c r="CB124" s="22" t="e">
        <f t="shared" si="64"/>
        <v>#NUM!</v>
      </c>
      <c r="CC124" s="62" t="e">
        <f t="shared" si="65"/>
        <v>#NUM!</v>
      </c>
      <c r="CD124" s="62">
        <f ca="1">AVERAGE(OFFSET($CC$3,0,0,'Données projet'!$E$12+1,1))-AVERAGE(OFFSET($H$3,0,0,'Données projet'!$E$12+1,1))</f>
        <v>310.53598044763282</v>
      </c>
      <c r="CE124" s="62">
        <f t="shared" si="94"/>
        <v>322.01096634040596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projet'!$B$12,Paramètres!$A$1:$I$88,7,0))</f>
        <v>0</v>
      </c>
      <c r="CI124" s="17">
        <f>IF(ISNA(VLOOKUP(A124,'Données projet'!$A$113:$I$133,6,0)),0%,VLOOKUP(A124,'Données projet'!$A$113:$I$133,6,0)*VLOOKUP('Données projet'!$B$12,Paramètres!$A$1:$I$88,7,0))</f>
        <v>0</v>
      </c>
      <c r="CJ124" s="17">
        <f>IF(ISNA(VLOOKUP(A124,'Données projet'!$A$113:$I$133,7,0)),0%,VLOOKUP(A124,'Données projet'!$A$113:$I$133,7,0))</f>
        <v>0</v>
      </c>
      <c r="CK124" s="23">
        <f>EXP(-LN(2)/35)*CK123+(1-EXP(-LN(2)/35))/(LN(2)/35)*CG124*CH124*VLOOKUP('Données projet'!$B$12,Paramètres!$A$1:$I$88,3,0)*0.475*44/12</f>
        <v>21.60192756215525</v>
      </c>
      <c r="CL124" s="23">
        <f>EXP(-LN(2)/25)*CL123+(1-EXP(-LN(2)/25))/(LN(2)/25)*Calculateur!CG124*Calculateur!CI124*VLOOKUP('Données projet'!$B$12,Paramètres!$A$1:$I$88,3,0)*0.475*44/12</f>
        <v>0</v>
      </c>
      <c r="CM124" s="23">
        <f>EXP(-LN(2)/2)*CM123+(1-EXP(-LN(2)/2))/(LN(2)/2)*CG124*CJ124*VLOOKUP('Données projet'!$B$12,Paramètres!$A$1:$I$88,3,0)*0.475*44/12</f>
        <v>0</v>
      </c>
      <c r="CN124" s="24">
        <f t="shared" si="66"/>
        <v>21.60192756215525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68.947094273799422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projet'!$B$13,Paramètres!$A$1:$I$88,3,0)*VLOOKUP('Données projet'!$B$13,Paramètres!$A$1:$I$88,5,0)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projet'!$B$13,Paramètres!$A$1:$I$88,7,0))</f>
        <v>0</v>
      </c>
      <c r="DD124" s="17">
        <f>IF(ISNA(VLOOKUP(A124,'Données projet'!$A$139:$I$159,6,0)),0%,VLOOKUP(A124,'Données projet'!$A$139:$I$159,6,0)*VLOOKUP('Données projet'!$B$13,Paramètres!$A$1:$I$88,7,0))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projet'!$B$13,Paramètres!$A$1:$I$88,3,0)*0.475*44/12</f>
        <v>#N/A</v>
      </c>
      <c r="DG124" s="23" t="e">
        <f>EXP(-LN(2)/25)*DG123+(1-EXP(-LN(2)/25))/(LN(2)/25)*Calculateur!DB124*Calculateur!DD124*VLOOKUP('Données projet'!$B$13,Paramètres!$A$1:$I$88,3,0)*0.475*44/12</f>
        <v>#N/A</v>
      </c>
      <c r="DH124" s="23" t="e">
        <f>EXP(-LN(2)/2)*DH123+(1-EXP(-LN(2)/2))/(LN(2)/2)*DB124*DE124*VLOOKUP('Données projet'!$B$13,Paramètres!$A$1:$I$88,3,0)*0.475*44/12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68.947094273799422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projet'!$B$14,Paramètres!$A$1:$I$88,3,0)*VLOOKUP('Données projet'!$B$14,Paramètres!$A$1:$I$88,5,0)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projet'!$B$14,Paramètres!$A$1:$I$88,7,0))</f>
        <v>0</v>
      </c>
      <c r="DY124" s="17">
        <f>IF(ISNA(VLOOKUP(A124,'Données projet'!$A$165:$I$185,6,0)),0%,VLOOKUP(A124,'Données projet'!$A$165:$I$185,6,0)*VLOOKUP('Données projet'!$B$14,Paramètres!$A$1:$I$88,7,0))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projet'!$B$14,Paramètres!$A$1:$I$88,3,0)*0.475*44/12</f>
        <v>#N/A</v>
      </c>
      <c r="EB124" s="23" t="e">
        <f>EXP(-LN(2)/25)*EB123+(1-EXP(-LN(2)/25))/(LN(2)/25)*Calculateur!DW124*Calculateur!DY124*VLOOKUP('Données projet'!$B$14,Paramètres!$A$1:$I$88,3,0)*0.475*44/12</f>
        <v>#N/A</v>
      </c>
      <c r="EC124" s="23" t="e">
        <f>EXP(-LN(2)/2)*EC123+(1-EXP(-LN(2)/2))/(LN(2)/2)*DW124*DZ124*VLOOKUP('Données projet'!$B$14,Paramètres!$A$1:$I$88,3,0)*0.475*44/12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68.947094273799422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projet'!$B$15,Paramètres!$A$1:$I$88,3,0)*VLOOKUP('Données projet'!$B$15,Paramètres!$A$1:$I$88,5,0)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projet'!$B$15,Paramètres!$A$1:$I$88,7,0))</f>
        <v>0</v>
      </c>
      <c r="ET124" s="17">
        <f>IF(ISNA(VLOOKUP(A124,'Données projet'!$A$191:$I$211,6,0)),0%,VLOOKUP(A124,'Données projet'!$A$191:$I$211,6,0)*VLOOKUP('Données projet'!$B$15,Paramètres!$A$1:$I$88,7,0))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projet'!$B$15,Paramètres!$A$1:$I$88,3,0)*0.475*44/12</f>
        <v>#N/A</v>
      </c>
      <c r="EW124" s="23" t="e">
        <f>EXP(-LN(2)/25)*EW123+(1-EXP(-LN(2)/25))/(LN(2)/25)*Calculateur!ER124*Calculateur!ET124*VLOOKUP('Données projet'!$B$15,Paramètres!$A$1:$I$88,3,0)*0.475*44/12</f>
        <v>#N/A</v>
      </c>
      <c r="EX124" s="23" t="e">
        <f>EXP(-LN(2)/2)*EX123+(1-EXP(-LN(2)/2))/(LN(2)/2)*ER124*EU124*VLOOKUP('Données projet'!$B$15,Paramètres!$A$1:$I$88,3,0)*0.475*44/12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68.947094273799422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projet'!$B$16,Paramètres!$A$1:$I$88,3,0)*VLOOKUP('Données projet'!$B$16,Paramètres!$A$1:$I$88,5,0)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projet'!$B$16,Paramètres!$A$1:$I$88,7,0))</f>
        <v>0</v>
      </c>
      <c r="FO124" s="17">
        <f>IF(ISNA(VLOOKUP(A124,'Données projet'!$A$217:$I$237,6,0)),0%,VLOOKUP(A124,'Données projet'!$A$217:$I$237,6,0)*VLOOKUP('Données projet'!$B$16,Paramètres!$A$1:$I$88,7,0))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projet'!$B$16,Paramètres!$A$1:$I$88,3,0)*0.475*44/12</f>
        <v>#N/A</v>
      </c>
      <c r="FR124" s="23" t="e">
        <f>EXP(-LN(2)/25)*FR123+(1-EXP(-LN(2)/25))/(LN(2)/25)*Calculateur!FM124*Calculateur!FO124*VLOOKUP('Données projet'!$B$16,Paramètres!$A$1:$I$88,3,0)*0.475*44/12</f>
        <v>#N/A</v>
      </c>
      <c r="FS124" s="23" t="e">
        <f>EXP(-LN(2)/2)*FS123+(1-EXP(-LN(2)/2))/(LN(2)/2)*FM124*FP124*VLOOKUP('Données projet'!$B$16,Paramètres!$A$1:$I$88,3,0)*0.475*44/12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68.947094273799422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projet'!$B$17,Paramètres!$A$1:$I$88,3,0)*VLOOKUP('Données projet'!$B$17,Paramètres!$A$1:$I$88,5,0)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projet'!$B$17,Paramètres!$A$1:$I$88,7,0))</f>
        <v>0</v>
      </c>
      <c r="GJ124" s="17">
        <f>IF(ISNA(VLOOKUP(A124,'Données projet'!$A$243:$I$263,6,0)),0%,VLOOKUP(A124,'Données projet'!$A$243:$I$263,6,0)*VLOOKUP('Données projet'!$B$17,Paramètres!$A$1:$I$88,7,0))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projet'!$B$17,Paramètres!$A$1:$I$88,3,0)*0.475*44/12</f>
        <v>#N/A</v>
      </c>
      <c r="GM124" s="23" t="e">
        <f>EXP(-LN(2)/25)*GM123+(1-EXP(-LN(2)/25))/(LN(2)/25)*Calculateur!GH124*Calculateur!GJ124*VLOOKUP('Données projet'!$B$17,Paramètres!$A$1:$I$88,3,0)*0.475*44/12</f>
        <v>#N/A</v>
      </c>
      <c r="GN124" s="23" t="e">
        <f>EXP(-LN(2)/2)*GN123+(1-EXP(-LN(2)/2))/(LN(2)/2)*GH124*GK124*VLOOKUP('Données projet'!$B$17,Paramètres!$A$1:$I$88,3,0)*0.475*44/12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68.947094273799422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projet'!$B$18,Paramètres!$A$1:$I$88,3,0)*VLOOKUP('Données projet'!$B$18,Paramètres!$A$1:$I$88,5,0)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projet'!$B$18,Paramètres!$A$1:$I$88,7,0))</f>
        <v>0</v>
      </c>
      <c r="HE124" s="17">
        <f>IF(ISNA(VLOOKUP(A124,'Données projet'!$A$269:$I$289,6,0)),0%,VLOOKUP(A124,'Données projet'!$A$269:$I$289,6,0)*VLOOKUP('Données projet'!$B$18,Paramètres!$A$1:$I$88,7,0))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projet'!$B$18,Paramètres!$A$1:$I$88,3,0)*0.475*44/12</f>
        <v>#N/A</v>
      </c>
      <c r="HH124" s="23" t="e">
        <f>EXP(-LN(2)/25)*HH123+(1-EXP(-LN(2)/25))/(LN(2)/25)*Calculateur!HC124*Calculateur!HE124*VLOOKUP('Données projet'!$B$18,Paramètres!$A$1:$I$88,3,0)*0.475*44/12</f>
        <v>#N/A</v>
      </c>
      <c r="HI124" s="23" t="e">
        <f>EXP(-LN(2)/2)*HI123+(1-EXP(-LN(2)/2))/(LN(2)/2)*HC124*HF124*VLOOKUP('Données projet'!$B$18,Paramètres!$A$1:$I$88,3,0)*0.475*44/12</f>
        <v>#N/A</v>
      </c>
      <c r="HJ124" s="24" t="e">
        <f t="shared" si="84"/>
        <v>#N/A</v>
      </c>
    </row>
    <row r="125" spans="1:218" s="5" customFormat="1" x14ac:dyDescent="0.35">
      <c r="A125" s="11">
        <f t="shared" si="85"/>
        <v>122</v>
      </c>
      <c r="B125" s="77">
        <f>'Scénario référence'!$B$16*5+'Scénario référence'!$B$17*0+'Scénario référence'!$B$18*5</f>
        <v>1.75</v>
      </c>
      <c r="C125" s="20">
        <f>Calculateur!C124+'Scénario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25" s="12">
        <f t="shared" si="86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6.416666666666667</v>
      </c>
      <c r="H125" s="70">
        <f t="shared" si="56"/>
        <v>231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68.965359834204435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3.4106051316484809E-13</v>
      </c>
      <c r="O125" s="14">
        <f>N125*VLOOKUP('Données projet'!$B$9,Paramètres!$A$1:$I$88,3,0)*VLOOKUP('Données projet'!$B$9,Paramètres!$A$1:$I$88,5,0)</f>
        <v>1.9065282685915009E-13</v>
      </c>
      <c r="P125" s="14">
        <f t="shared" si="87"/>
        <v>2.6568987209435707E-12</v>
      </c>
      <c r="Q125" s="22">
        <f t="shared" si="107"/>
        <v>4.959485612423072E-12</v>
      </c>
      <c r="R125" s="62">
        <f t="shared" si="55"/>
        <v>289.53965272542121</v>
      </c>
      <c r="S125" s="62">
        <f ca="1">AVERAGE(OFFSET($R$3,0,0,'Données projet'!$E$9+1,1))-AVERAGE(OFFSET($H$3,0,0,'Données projet'!$E$9+1,1))</f>
        <v>341.05096821796769</v>
      </c>
      <c r="T125" s="62">
        <f t="shared" si="88"/>
        <v>400.72519822215168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projet'!$B$9,Paramètres!$A$1:$I$88,7,0))</f>
        <v>0</v>
      </c>
      <c r="X125" s="17">
        <f>IF(ISNA(VLOOKUP(A125,'Données projet'!$A$35:$I$55,6,0)),0%,VLOOKUP(A125,'Données projet'!$A$35:$I$55,6,0)*VLOOKUP('Données projet'!$B$9,Paramètres!$A$1:$I$88,7,0))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projet'!$B$9,Paramètres!$A$1:$I$88,3,0)*0.475*44/12</f>
        <v>70.190735331850689</v>
      </c>
      <c r="AA125" s="23">
        <f>EXP(-LN(2)/25)*AA124+(1-EXP(-LN(2)/25))/(LN(2)/25)*Calculateur!V125*Calculateur!X125*VLOOKUP('Données projet'!$B$9,Paramètres!$A$1:$I$88,3,0)*0.475*44/12</f>
        <v>23.754251634513729</v>
      </c>
      <c r="AB125" s="23">
        <f>EXP(-LN(2)/2)*AB124+(1-EXP(-LN(2)/2))/(LN(2)/2)*V125*Y125*VLOOKUP('Données projet'!$B$9,Paramètres!$A$1:$I$88,3,0)*0.475*44/12</f>
        <v>0</v>
      </c>
      <c r="AC125" s="24">
        <f t="shared" si="57"/>
        <v>93.944986966364411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68.965359834204435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5.6843418860808015E-14</v>
      </c>
      <c r="AJ125" s="14">
        <f>AI125*VLOOKUP('Données projet'!$B$10,Paramètres!$A$1:$I$88,3,0)*VLOOKUP('Données projet'!$B$10,Paramètres!$A$1:$I$88,5,0)</f>
        <v>3.3992364478763198E-14</v>
      </c>
      <c r="AK125" s="14">
        <f t="shared" si="89"/>
        <v>5.790027782444094E-13</v>
      </c>
      <c r="AL125" s="22">
        <f t="shared" si="58"/>
        <v>1.0676332069095257E-12</v>
      </c>
      <c r="AM125" s="62">
        <f t="shared" si="59"/>
        <v>289.53965272541734</v>
      </c>
      <c r="AN125" s="62">
        <f ca="1">AVERAGE(OFFSET($AM$3,0,0,'Données projet'!$E$10+1,1))-AVERAGE(OFFSET($H$3,0,0,'Données projet'!$E$10+1,1))</f>
        <v>231.96474801342879</v>
      </c>
      <c r="AO125" s="62">
        <f t="shared" si="90"/>
        <v>237.75726086383668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projet'!$B$10,Paramètres!$A$1:$I$88,7,0))</f>
        <v>0</v>
      </c>
      <c r="AS125" s="17">
        <f>IF(ISNA(VLOOKUP(A125,'Données projet'!$A$61:$I$81,6,0)),0%,VLOOKUP(A125,'Données projet'!$A$61:$I$81,6,0)*VLOOKUP('Données projet'!$B$10,Paramètres!$A$1:$I$88,7,0))</f>
        <v>0</v>
      </c>
      <c r="AT125" s="17">
        <f>IF(ISNA(VLOOKUP(A125,'Données projet'!$A$61:$I$81,7,0)),0%,VLOOKUP(A125,'Données projet'!$A$61:$I$81,7,0))</f>
        <v>0</v>
      </c>
      <c r="AU125" s="23">
        <f>EXP(-LN(2)/35)*AU124+(1-EXP(-LN(2)/35))/(LN(2)/35)*AQ125*AR125*VLOOKUP('Données projet'!$B$10,Paramètres!$A$1:$I$88,3,0)*0.475*44/12</f>
        <v>27.67968357407322</v>
      </c>
      <c r="AV125" s="23">
        <f>EXP(-LN(2)/25)*AV124+(1-EXP(-LN(2)/25))/(LN(2)/25)*Calculateur!AQ125*Calculateur!AS125*VLOOKUP('Données projet'!$B$10,Paramètres!$A$1:$I$88,3,0)*0.475*44/12</f>
        <v>10.030819873299123</v>
      </c>
      <c r="AW125" s="23">
        <f>EXP(-LN(2)/2)*AW124+(1-EXP(-LN(2)/2))/(LN(2)/2)*AQ125*AT125*VLOOKUP('Données projet'!$B$10,Paramètres!$A$1:$I$88,3,0)*0.475*44/12</f>
        <v>0</v>
      </c>
      <c r="AX125" s="23">
        <f t="shared" si="60"/>
        <v>37.710503447372346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68.965359834204435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6.8212102632969618E-13</v>
      </c>
      <c r="BE125" s="14">
        <f>BD125*VLOOKUP('Données projet'!$B$11,Paramètres!$A$1:$I$88,3,0)*VLOOKUP('Données projet'!$B$11,Paramètres!$A$1:$I$88,5,0)</f>
        <v>3.1923264032229784E-13</v>
      </c>
      <c r="BF125" s="14">
        <f t="shared" si="91"/>
        <v>4.1896839804541558E-12</v>
      </c>
      <c r="BG125" s="22">
        <f t="shared" si="61"/>
        <v>7.8530297811856558E-12</v>
      </c>
      <c r="BH125" s="62">
        <f t="shared" si="62"/>
        <v>289.53965272542411</v>
      </c>
      <c r="BI125" s="62">
        <f ca="1">AVERAGE(OFFSET($BH$3,0,0,'Données projet'!$E$11+1,1))-AVERAGE(OFFSET($H$3,0,0,'Données projet'!$E$11+1,1))</f>
        <v>364.96458059055169</v>
      </c>
      <c r="BJ125" s="62">
        <f t="shared" si="92"/>
        <v>246.27159120786257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projet'!$B$11,Paramètres!$A$1:$I$88,7,0))</f>
        <v>0</v>
      </c>
      <c r="BN125" s="17">
        <f>IF(ISNA(VLOOKUP(A125,'Données projet'!$A$87:$I$107,6,0)),0%,VLOOKUP(A125,'Données projet'!$A$87:$I$107,6,0)*VLOOKUP('Données projet'!$B$11,Paramètres!$A$1:$I$88,7,0))</f>
        <v>0</v>
      </c>
      <c r="BO125" s="17">
        <f>IF(ISNA(VLOOKUP(A125,'Données projet'!$A$87:$I$107,7,0)),0%,VLOOKUP(A125,'Données projet'!$A$87:$I$107,7,0))</f>
        <v>0</v>
      </c>
      <c r="BP125" s="23">
        <f>EXP(-LN(2)/35)*BP124+(1-EXP(-LN(2)/35))/(LN(2)/35)*BL125*BM125*VLOOKUP('Données projet'!$B$11,Paramètres!$A$1:$I$88,3,0)*0.475*44/12</f>
        <v>153.98347136054505</v>
      </c>
      <c r="BQ125" s="23">
        <f>EXP(-LN(2)/25)*BQ124+(1-EXP(-LN(2)/25))/(LN(2)/25)*Calculateur!BL125*Calculateur!BN125*VLOOKUP('Données projet'!$B$11,Paramètres!$A$1:$I$88,3,0)*0.475*44/12</f>
        <v>54.771776500367032</v>
      </c>
      <c r="BR125" s="23">
        <f>EXP(-LN(2)/2)*BR124+(1-EXP(-LN(2)/2))/(LN(2)/2)*BL125*BO125*VLOOKUP('Données projet'!$B$11,Paramètres!$A$1:$I$88,3,0)*0.475*44/12</f>
        <v>0</v>
      </c>
      <c r="BS125" s="24">
        <f t="shared" si="63"/>
        <v>208.75524786091208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68.965359834204435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-1.1368683772161603E-13</v>
      </c>
      <c r="BZ125" s="14">
        <f>BY125*VLOOKUP('Données projet'!$B$12,Paramètres!$A$1:$I$88,3,0)*VLOOKUP('Données projet'!$B$12,Paramètres!$A$1:$I$88,5,0)</f>
        <v>-1.1527845344971866E-13</v>
      </c>
      <c r="CA125" s="14" t="e">
        <f t="shared" si="93"/>
        <v>#NUM!</v>
      </c>
      <c r="CB125" s="22" t="e">
        <f t="shared" si="64"/>
        <v>#NUM!</v>
      </c>
      <c r="CC125" s="62" t="e">
        <f t="shared" si="65"/>
        <v>#NUM!</v>
      </c>
      <c r="CD125" s="62">
        <f ca="1">AVERAGE(OFFSET($CC$3,0,0,'Données projet'!$E$12+1,1))-AVERAGE(OFFSET($H$3,0,0,'Données projet'!$E$12+1,1))</f>
        <v>310.53598044763282</v>
      </c>
      <c r="CE125" s="62">
        <f t="shared" si="94"/>
        <v>322.01096634040596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projet'!$B$12,Paramètres!$A$1:$I$88,7,0))</f>
        <v>0</v>
      </c>
      <c r="CI125" s="17">
        <f>IF(ISNA(VLOOKUP(A125,'Données projet'!$A$113:$I$133,6,0)),0%,VLOOKUP(A125,'Données projet'!$A$113:$I$133,6,0)*VLOOKUP('Données projet'!$B$12,Paramètres!$A$1:$I$88,7,0))</f>
        <v>0</v>
      </c>
      <c r="CJ125" s="17">
        <f>IF(ISNA(VLOOKUP(A125,'Données projet'!$A$113:$I$133,7,0)),0%,VLOOKUP(A125,'Données projet'!$A$113:$I$133,7,0))</f>
        <v>0</v>
      </c>
      <c r="CK125" s="23">
        <f>EXP(-LN(2)/35)*CK124+(1-EXP(-LN(2)/35))/(LN(2)/35)*CG125*CH125*VLOOKUP('Données projet'!$B$12,Paramètres!$A$1:$I$88,3,0)*0.475*44/12</f>
        <v>21.178326938536188</v>
      </c>
      <c r="CL125" s="23">
        <f>EXP(-LN(2)/25)*CL124+(1-EXP(-LN(2)/25))/(LN(2)/25)*Calculateur!CG125*Calculateur!CI125*VLOOKUP('Données projet'!$B$12,Paramètres!$A$1:$I$88,3,0)*0.475*44/12</f>
        <v>0</v>
      </c>
      <c r="CM125" s="23">
        <f>EXP(-LN(2)/2)*CM124+(1-EXP(-LN(2)/2))/(LN(2)/2)*CG125*CJ125*VLOOKUP('Données projet'!$B$12,Paramètres!$A$1:$I$88,3,0)*0.475*44/12</f>
        <v>0</v>
      </c>
      <c r="CN125" s="24">
        <f t="shared" si="66"/>
        <v>21.178326938536188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68.965359834204435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projet'!$B$13,Paramètres!$A$1:$I$88,3,0)*VLOOKUP('Données projet'!$B$13,Paramètres!$A$1:$I$88,5,0)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projet'!$B$13,Paramètres!$A$1:$I$88,7,0))</f>
        <v>0</v>
      </c>
      <c r="DD125" s="17">
        <f>IF(ISNA(VLOOKUP(A125,'Données projet'!$A$139:$I$159,6,0)),0%,VLOOKUP(A125,'Données projet'!$A$139:$I$159,6,0)*VLOOKUP('Données projet'!$B$13,Paramètres!$A$1:$I$88,7,0))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projet'!$B$13,Paramètres!$A$1:$I$88,3,0)*0.475*44/12</f>
        <v>#N/A</v>
      </c>
      <c r="DG125" s="23" t="e">
        <f>EXP(-LN(2)/25)*DG124+(1-EXP(-LN(2)/25))/(LN(2)/25)*Calculateur!DB125*Calculateur!DD125*VLOOKUP('Données projet'!$B$13,Paramètres!$A$1:$I$88,3,0)*0.475*44/12</f>
        <v>#N/A</v>
      </c>
      <c r="DH125" s="23" t="e">
        <f>EXP(-LN(2)/2)*DH124+(1-EXP(-LN(2)/2))/(LN(2)/2)*DB125*DE125*VLOOKUP('Données projet'!$B$13,Paramètres!$A$1:$I$88,3,0)*0.475*44/12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68.965359834204435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projet'!$B$14,Paramètres!$A$1:$I$88,3,0)*VLOOKUP('Données projet'!$B$14,Paramètres!$A$1:$I$88,5,0)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projet'!$B$14,Paramètres!$A$1:$I$88,7,0))</f>
        <v>0</v>
      </c>
      <c r="DY125" s="17">
        <f>IF(ISNA(VLOOKUP(A125,'Données projet'!$A$165:$I$185,6,0)),0%,VLOOKUP(A125,'Données projet'!$A$165:$I$185,6,0)*VLOOKUP('Données projet'!$B$14,Paramètres!$A$1:$I$88,7,0))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projet'!$B$14,Paramètres!$A$1:$I$88,3,0)*0.475*44/12</f>
        <v>#N/A</v>
      </c>
      <c r="EB125" s="23" t="e">
        <f>EXP(-LN(2)/25)*EB124+(1-EXP(-LN(2)/25))/(LN(2)/25)*Calculateur!DW125*Calculateur!DY125*VLOOKUP('Données projet'!$B$14,Paramètres!$A$1:$I$88,3,0)*0.475*44/12</f>
        <v>#N/A</v>
      </c>
      <c r="EC125" s="23" t="e">
        <f>EXP(-LN(2)/2)*EC124+(1-EXP(-LN(2)/2))/(LN(2)/2)*DW125*DZ125*VLOOKUP('Données projet'!$B$14,Paramètres!$A$1:$I$88,3,0)*0.475*44/12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68.965359834204435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projet'!$B$15,Paramètres!$A$1:$I$88,3,0)*VLOOKUP('Données projet'!$B$15,Paramètres!$A$1:$I$88,5,0)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projet'!$B$15,Paramètres!$A$1:$I$88,7,0))</f>
        <v>0</v>
      </c>
      <c r="ET125" s="17">
        <f>IF(ISNA(VLOOKUP(A125,'Données projet'!$A$191:$I$211,6,0)),0%,VLOOKUP(A125,'Données projet'!$A$191:$I$211,6,0)*VLOOKUP('Données projet'!$B$15,Paramètres!$A$1:$I$88,7,0))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projet'!$B$15,Paramètres!$A$1:$I$88,3,0)*0.475*44/12</f>
        <v>#N/A</v>
      </c>
      <c r="EW125" s="23" t="e">
        <f>EXP(-LN(2)/25)*EW124+(1-EXP(-LN(2)/25))/(LN(2)/25)*Calculateur!ER125*Calculateur!ET125*VLOOKUP('Données projet'!$B$15,Paramètres!$A$1:$I$88,3,0)*0.475*44/12</f>
        <v>#N/A</v>
      </c>
      <c r="EX125" s="23" t="e">
        <f>EXP(-LN(2)/2)*EX124+(1-EXP(-LN(2)/2))/(LN(2)/2)*ER125*EU125*VLOOKUP('Données projet'!$B$15,Paramètres!$A$1:$I$88,3,0)*0.475*44/12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68.965359834204435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projet'!$B$16,Paramètres!$A$1:$I$88,3,0)*VLOOKUP('Données projet'!$B$16,Paramètres!$A$1:$I$88,5,0)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projet'!$B$16,Paramètres!$A$1:$I$88,7,0))</f>
        <v>0</v>
      </c>
      <c r="FO125" s="17">
        <f>IF(ISNA(VLOOKUP(A125,'Données projet'!$A$217:$I$237,6,0)),0%,VLOOKUP(A125,'Données projet'!$A$217:$I$237,6,0)*VLOOKUP('Données projet'!$B$16,Paramètres!$A$1:$I$88,7,0))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projet'!$B$16,Paramètres!$A$1:$I$88,3,0)*0.475*44/12</f>
        <v>#N/A</v>
      </c>
      <c r="FR125" s="23" t="e">
        <f>EXP(-LN(2)/25)*FR124+(1-EXP(-LN(2)/25))/(LN(2)/25)*Calculateur!FM125*Calculateur!FO125*VLOOKUP('Données projet'!$B$16,Paramètres!$A$1:$I$88,3,0)*0.475*44/12</f>
        <v>#N/A</v>
      </c>
      <c r="FS125" s="23" t="e">
        <f>EXP(-LN(2)/2)*FS124+(1-EXP(-LN(2)/2))/(LN(2)/2)*FM125*FP125*VLOOKUP('Données projet'!$B$16,Paramètres!$A$1:$I$88,3,0)*0.475*44/12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68.965359834204435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projet'!$B$17,Paramètres!$A$1:$I$88,3,0)*VLOOKUP('Données projet'!$B$17,Paramètres!$A$1:$I$88,5,0)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projet'!$B$17,Paramètres!$A$1:$I$88,7,0))</f>
        <v>0</v>
      </c>
      <c r="GJ125" s="17">
        <f>IF(ISNA(VLOOKUP(A125,'Données projet'!$A$243:$I$263,6,0)),0%,VLOOKUP(A125,'Données projet'!$A$243:$I$263,6,0)*VLOOKUP('Données projet'!$B$17,Paramètres!$A$1:$I$88,7,0))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projet'!$B$17,Paramètres!$A$1:$I$88,3,0)*0.475*44/12</f>
        <v>#N/A</v>
      </c>
      <c r="GM125" s="23" t="e">
        <f>EXP(-LN(2)/25)*GM124+(1-EXP(-LN(2)/25))/(LN(2)/25)*Calculateur!GH125*Calculateur!GJ125*VLOOKUP('Données projet'!$B$17,Paramètres!$A$1:$I$88,3,0)*0.475*44/12</f>
        <v>#N/A</v>
      </c>
      <c r="GN125" s="23" t="e">
        <f>EXP(-LN(2)/2)*GN124+(1-EXP(-LN(2)/2))/(LN(2)/2)*GH125*GK125*VLOOKUP('Données projet'!$B$17,Paramètres!$A$1:$I$88,3,0)*0.475*44/12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68.965359834204435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projet'!$B$18,Paramètres!$A$1:$I$88,3,0)*VLOOKUP('Données projet'!$B$18,Paramètres!$A$1:$I$88,5,0)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projet'!$B$18,Paramètres!$A$1:$I$88,7,0))</f>
        <v>0</v>
      </c>
      <c r="HE125" s="17">
        <f>IF(ISNA(VLOOKUP(A125,'Données projet'!$A$269:$I$289,6,0)),0%,VLOOKUP(A125,'Données projet'!$A$269:$I$289,6,0)*VLOOKUP('Données projet'!$B$18,Paramètres!$A$1:$I$88,7,0))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projet'!$B$18,Paramètres!$A$1:$I$88,3,0)*0.475*44/12</f>
        <v>#N/A</v>
      </c>
      <c r="HH125" s="23" t="e">
        <f>EXP(-LN(2)/25)*HH124+(1-EXP(-LN(2)/25))/(LN(2)/25)*Calculateur!HC125*Calculateur!HE125*VLOOKUP('Données projet'!$B$18,Paramètres!$A$1:$I$88,3,0)*0.475*44/12</f>
        <v>#N/A</v>
      </c>
      <c r="HI125" s="23" t="e">
        <f>EXP(-LN(2)/2)*HI124+(1-EXP(-LN(2)/2))/(LN(2)/2)*HC125*HF125*VLOOKUP('Données projet'!$B$18,Paramètres!$A$1:$I$88,3,0)*0.475*44/12</f>
        <v>#N/A</v>
      </c>
      <c r="HJ125" s="24" t="e">
        <f t="shared" si="84"/>
        <v>#N/A</v>
      </c>
    </row>
    <row r="126" spans="1:218" s="5" customFormat="1" x14ac:dyDescent="0.35">
      <c r="A126" s="11">
        <f t="shared" si="85"/>
        <v>123</v>
      </c>
      <c r="B126" s="77">
        <f>'Scénario référence'!$B$16*5+'Scénario référence'!$B$17*0+'Scénario référence'!$B$18*5</f>
        <v>1.75</v>
      </c>
      <c r="C126" s="20">
        <f>Calculateur!C125+'Scénario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26" s="12">
        <f t="shared" si="86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6.416666666666667</v>
      </c>
      <c r="H126" s="70">
        <f t="shared" si="56"/>
        <v>231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68.983308527972113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3.4106051316484809E-13</v>
      </c>
      <c r="O126" s="14">
        <f>N126*VLOOKUP('Données projet'!$B$9,Paramètres!$A$1:$I$88,3,0)*VLOOKUP('Données projet'!$B$9,Paramètres!$A$1:$I$88,5,0)</f>
        <v>1.9065282685915009E-13</v>
      </c>
      <c r="P126" s="14">
        <f t="shared" si="87"/>
        <v>2.6568987209435707E-12</v>
      </c>
      <c r="Q126" s="22">
        <f t="shared" si="107"/>
        <v>4.959485612423072E-12</v>
      </c>
      <c r="R126" s="62">
        <f t="shared" si="55"/>
        <v>289.60546460256933</v>
      </c>
      <c r="S126" s="62">
        <f ca="1">AVERAGE(OFFSET($R$3,0,0,'Données projet'!$E$9+1,1))-AVERAGE(OFFSET($H$3,0,0,'Données projet'!$E$9+1,1))</f>
        <v>341.05096821796769</v>
      </c>
      <c r="T126" s="62">
        <f t="shared" si="88"/>
        <v>400.72519822215168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projet'!$B$9,Paramètres!$A$1:$I$88,7,0))</f>
        <v>0</v>
      </c>
      <c r="X126" s="17">
        <f>IF(ISNA(VLOOKUP(A126,'Données projet'!$A$35:$I$55,6,0)),0%,VLOOKUP(A126,'Données projet'!$A$35:$I$55,6,0)*VLOOKUP('Données projet'!$B$9,Paramètres!$A$1:$I$88,7,0))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projet'!$B$9,Paramètres!$A$1:$I$88,3,0)*0.475*44/12</f>
        <v>68.814337824114304</v>
      </c>
      <c r="AA126" s="23">
        <f>EXP(-LN(2)/25)*AA125+(1-EXP(-LN(2)/25))/(LN(2)/25)*Calculateur!V126*Calculateur!X126*VLOOKUP('Données projet'!$B$9,Paramètres!$A$1:$I$88,3,0)*0.475*44/12</f>
        <v>23.104690374386148</v>
      </c>
      <c r="AB126" s="23">
        <f>EXP(-LN(2)/2)*AB125+(1-EXP(-LN(2)/2))/(LN(2)/2)*V126*Y126*VLOOKUP('Données projet'!$B$9,Paramètres!$A$1:$I$88,3,0)*0.475*44/12</f>
        <v>0</v>
      </c>
      <c r="AC126" s="24">
        <f t="shared" si="57"/>
        <v>91.919028198500456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68.983308527972113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5.6843418860808015E-14</v>
      </c>
      <c r="AJ126" s="14">
        <f>AI126*VLOOKUP('Données projet'!$B$10,Paramètres!$A$1:$I$88,3,0)*VLOOKUP('Données projet'!$B$10,Paramètres!$A$1:$I$88,5,0)</f>
        <v>3.3992364478763198E-14</v>
      </c>
      <c r="AK126" s="14">
        <f t="shared" si="89"/>
        <v>5.790027782444094E-13</v>
      </c>
      <c r="AL126" s="22">
        <f t="shared" si="58"/>
        <v>1.0676332069095257E-12</v>
      </c>
      <c r="AM126" s="62">
        <f t="shared" si="59"/>
        <v>289.60546460256546</v>
      </c>
      <c r="AN126" s="62">
        <f ca="1">AVERAGE(OFFSET($AM$3,0,0,'Données projet'!$E$10+1,1))-AVERAGE(OFFSET($H$3,0,0,'Données projet'!$E$10+1,1))</f>
        <v>231.96474801342879</v>
      </c>
      <c r="AO126" s="62">
        <f t="shared" si="90"/>
        <v>237.75726086383668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projet'!$B$10,Paramètres!$A$1:$I$88,7,0))</f>
        <v>0</v>
      </c>
      <c r="AS126" s="17">
        <f>IF(ISNA(VLOOKUP(A126,'Données projet'!$A$61:$I$81,6,0)),0%,VLOOKUP(A126,'Données projet'!$A$61:$I$81,6,0)*VLOOKUP('Données projet'!$B$10,Paramètres!$A$1:$I$88,7,0))</f>
        <v>0</v>
      </c>
      <c r="AT126" s="17">
        <f>IF(ISNA(VLOOKUP(A126,'Données projet'!$A$61:$I$81,7,0)),0%,VLOOKUP(A126,'Données projet'!$A$61:$I$81,7,0))</f>
        <v>0</v>
      </c>
      <c r="AU126" s="23">
        <f>EXP(-LN(2)/35)*AU125+(1-EXP(-LN(2)/35))/(LN(2)/35)*AQ126*AR126*VLOOKUP('Données projet'!$B$10,Paramètres!$A$1:$I$88,3,0)*0.475*44/12</f>
        <v>27.136901862125573</v>
      </c>
      <c r="AV126" s="23">
        <f>EXP(-LN(2)/25)*AV125+(1-EXP(-LN(2)/25))/(LN(2)/25)*Calculateur!AQ126*Calculateur!AS126*VLOOKUP('Données projet'!$B$10,Paramètres!$A$1:$I$88,3,0)*0.475*44/12</f>
        <v>9.7565265763658662</v>
      </c>
      <c r="AW126" s="23">
        <f>EXP(-LN(2)/2)*AW125+(1-EXP(-LN(2)/2))/(LN(2)/2)*AQ126*AT126*VLOOKUP('Données projet'!$B$10,Paramètres!$A$1:$I$88,3,0)*0.475*44/12</f>
        <v>0</v>
      </c>
      <c r="AX126" s="23">
        <f t="shared" si="60"/>
        <v>36.893428438491441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68.983308527972113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6.8212102632969618E-13</v>
      </c>
      <c r="BE126" s="14">
        <f>BD126*VLOOKUP('Données projet'!$B$11,Paramètres!$A$1:$I$88,3,0)*VLOOKUP('Données projet'!$B$11,Paramètres!$A$1:$I$88,5,0)</f>
        <v>3.1923264032229784E-13</v>
      </c>
      <c r="BF126" s="14">
        <f t="shared" si="91"/>
        <v>4.1896839804541558E-12</v>
      </c>
      <c r="BG126" s="22">
        <f t="shared" si="61"/>
        <v>7.8530297811856558E-12</v>
      </c>
      <c r="BH126" s="62">
        <f t="shared" si="62"/>
        <v>289.60546460257223</v>
      </c>
      <c r="BI126" s="62">
        <f ca="1">AVERAGE(OFFSET($BH$3,0,0,'Données projet'!$E$11+1,1))-AVERAGE(OFFSET($H$3,0,0,'Données projet'!$E$11+1,1))</f>
        <v>364.96458059055169</v>
      </c>
      <c r="BJ126" s="62">
        <f t="shared" si="92"/>
        <v>246.27159120786257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projet'!$B$11,Paramètres!$A$1:$I$88,7,0))</f>
        <v>0</v>
      </c>
      <c r="BN126" s="17">
        <f>IF(ISNA(VLOOKUP(A126,'Données projet'!$A$87:$I$107,6,0)),0%,VLOOKUP(A126,'Données projet'!$A$87:$I$107,6,0)*VLOOKUP('Données projet'!$B$11,Paramètres!$A$1:$I$88,7,0))</f>
        <v>0</v>
      </c>
      <c r="BO126" s="17">
        <f>IF(ISNA(VLOOKUP(A126,'Données projet'!$A$87:$I$107,7,0)),0%,VLOOKUP(A126,'Données projet'!$A$87:$I$107,7,0))</f>
        <v>0</v>
      </c>
      <c r="BP126" s="23">
        <f>EXP(-LN(2)/35)*BP125+(1-EXP(-LN(2)/35))/(LN(2)/35)*BL126*BM126*VLOOKUP('Données projet'!$B$11,Paramètres!$A$1:$I$88,3,0)*0.475*44/12</f>
        <v>150.9639494078084</v>
      </c>
      <c r="BQ126" s="23">
        <f>EXP(-LN(2)/25)*BQ125+(1-EXP(-LN(2)/25))/(LN(2)/25)*Calculateur!BL126*Calculateur!BN126*VLOOKUP('Données projet'!$B$11,Paramètres!$A$1:$I$88,3,0)*0.475*44/12</f>
        <v>53.274039391641949</v>
      </c>
      <c r="BR126" s="23">
        <f>EXP(-LN(2)/2)*BR125+(1-EXP(-LN(2)/2))/(LN(2)/2)*BL126*BO126*VLOOKUP('Données projet'!$B$11,Paramètres!$A$1:$I$88,3,0)*0.475*44/12</f>
        <v>0</v>
      </c>
      <c r="BS126" s="24">
        <f t="shared" si="63"/>
        <v>204.23798879945036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68.983308527972113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-1.1368683772161603E-13</v>
      </c>
      <c r="BZ126" s="14">
        <f>BY126*VLOOKUP('Données projet'!$B$12,Paramètres!$A$1:$I$88,3,0)*VLOOKUP('Données projet'!$B$12,Paramètres!$A$1:$I$88,5,0)</f>
        <v>-1.1527845344971866E-13</v>
      </c>
      <c r="CA126" s="14" t="e">
        <f t="shared" si="93"/>
        <v>#NUM!</v>
      </c>
      <c r="CB126" s="22" t="e">
        <f t="shared" si="64"/>
        <v>#NUM!</v>
      </c>
      <c r="CC126" s="62" t="e">
        <f t="shared" si="65"/>
        <v>#NUM!</v>
      </c>
      <c r="CD126" s="62">
        <f ca="1">AVERAGE(OFFSET($CC$3,0,0,'Données projet'!$E$12+1,1))-AVERAGE(OFFSET($H$3,0,0,'Données projet'!$E$12+1,1))</f>
        <v>310.53598044763282</v>
      </c>
      <c r="CE126" s="62">
        <f t="shared" si="94"/>
        <v>322.01096634040596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projet'!$B$12,Paramètres!$A$1:$I$88,7,0))</f>
        <v>0</v>
      </c>
      <c r="CI126" s="17">
        <f>IF(ISNA(VLOOKUP(A126,'Données projet'!$A$113:$I$133,6,0)),0%,VLOOKUP(A126,'Données projet'!$A$113:$I$133,6,0)*VLOOKUP('Données projet'!$B$12,Paramètres!$A$1:$I$88,7,0))</f>
        <v>0</v>
      </c>
      <c r="CJ126" s="17">
        <f>IF(ISNA(VLOOKUP(A126,'Données projet'!$A$113:$I$133,7,0)),0%,VLOOKUP(A126,'Données projet'!$A$113:$I$133,7,0))</f>
        <v>0</v>
      </c>
      <c r="CK126" s="23">
        <f>EXP(-LN(2)/35)*CK125+(1-EXP(-LN(2)/35))/(LN(2)/35)*CG126*CH126*VLOOKUP('Données projet'!$B$12,Paramètres!$A$1:$I$88,3,0)*0.475*44/12</f>
        <v>20.763032864775429</v>
      </c>
      <c r="CL126" s="23">
        <f>EXP(-LN(2)/25)*CL125+(1-EXP(-LN(2)/25))/(LN(2)/25)*Calculateur!CG126*Calculateur!CI126*VLOOKUP('Données projet'!$B$12,Paramètres!$A$1:$I$88,3,0)*0.475*44/12</f>
        <v>0</v>
      </c>
      <c r="CM126" s="23">
        <f>EXP(-LN(2)/2)*CM125+(1-EXP(-LN(2)/2))/(LN(2)/2)*CG126*CJ126*VLOOKUP('Données projet'!$B$12,Paramètres!$A$1:$I$88,3,0)*0.475*44/12</f>
        <v>0</v>
      </c>
      <c r="CN126" s="24">
        <f t="shared" si="66"/>
        <v>20.763032864775429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68.983308527972113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projet'!$B$13,Paramètres!$A$1:$I$88,3,0)*VLOOKUP('Données projet'!$B$13,Paramètres!$A$1:$I$88,5,0)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projet'!$B$13,Paramètres!$A$1:$I$88,7,0))</f>
        <v>0</v>
      </c>
      <c r="DD126" s="17">
        <f>IF(ISNA(VLOOKUP(A126,'Données projet'!$A$139:$I$159,6,0)),0%,VLOOKUP(A126,'Données projet'!$A$139:$I$159,6,0)*VLOOKUP('Données projet'!$B$13,Paramètres!$A$1:$I$88,7,0))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projet'!$B$13,Paramètres!$A$1:$I$88,3,0)*0.475*44/12</f>
        <v>#N/A</v>
      </c>
      <c r="DG126" s="23" t="e">
        <f>EXP(-LN(2)/25)*DG125+(1-EXP(-LN(2)/25))/(LN(2)/25)*Calculateur!DB126*Calculateur!DD126*VLOOKUP('Données projet'!$B$13,Paramètres!$A$1:$I$88,3,0)*0.475*44/12</f>
        <v>#N/A</v>
      </c>
      <c r="DH126" s="23" t="e">
        <f>EXP(-LN(2)/2)*DH125+(1-EXP(-LN(2)/2))/(LN(2)/2)*DB126*DE126*VLOOKUP('Données projet'!$B$13,Paramètres!$A$1:$I$88,3,0)*0.475*44/12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68.983308527972113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projet'!$B$14,Paramètres!$A$1:$I$88,3,0)*VLOOKUP('Données projet'!$B$14,Paramètres!$A$1:$I$88,5,0)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projet'!$B$14,Paramètres!$A$1:$I$88,7,0))</f>
        <v>0</v>
      </c>
      <c r="DY126" s="17">
        <f>IF(ISNA(VLOOKUP(A126,'Données projet'!$A$165:$I$185,6,0)),0%,VLOOKUP(A126,'Données projet'!$A$165:$I$185,6,0)*VLOOKUP('Données projet'!$B$14,Paramètres!$A$1:$I$88,7,0))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projet'!$B$14,Paramètres!$A$1:$I$88,3,0)*0.475*44/12</f>
        <v>#N/A</v>
      </c>
      <c r="EB126" s="23" t="e">
        <f>EXP(-LN(2)/25)*EB125+(1-EXP(-LN(2)/25))/(LN(2)/25)*Calculateur!DW126*Calculateur!DY126*VLOOKUP('Données projet'!$B$14,Paramètres!$A$1:$I$88,3,0)*0.475*44/12</f>
        <v>#N/A</v>
      </c>
      <c r="EC126" s="23" t="e">
        <f>EXP(-LN(2)/2)*EC125+(1-EXP(-LN(2)/2))/(LN(2)/2)*DW126*DZ126*VLOOKUP('Données projet'!$B$14,Paramètres!$A$1:$I$88,3,0)*0.475*44/12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68.983308527972113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projet'!$B$15,Paramètres!$A$1:$I$88,3,0)*VLOOKUP('Données projet'!$B$15,Paramètres!$A$1:$I$88,5,0)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projet'!$B$15,Paramètres!$A$1:$I$88,7,0))</f>
        <v>0</v>
      </c>
      <c r="ET126" s="17">
        <f>IF(ISNA(VLOOKUP(A126,'Données projet'!$A$191:$I$211,6,0)),0%,VLOOKUP(A126,'Données projet'!$A$191:$I$211,6,0)*VLOOKUP('Données projet'!$B$15,Paramètres!$A$1:$I$88,7,0))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projet'!$B$15,Paramètres!$A$1:$I$88,3,0)*0.475*44/12</f>
        <v>#N/A</v>
      </c>
      <c r="EW126" s="23" t="e">
        <f>EXP(-LN(2)/25)*EW125+(1-EXP(-LN(2)/25))/(LN(2)/25)*Calculateur!ER126*Calculateur!ET126*VLOOKUP('Données projet'!$B$15,Paramètres!$A$1:$I$88,3,0)*0.475*44/12</f>
        <v>#N/A</v>
      </c>
      <c r="EX126" s="23" t="e">
        <f>EXP(-LN(2)/2)*EX125+(1-EXP(-LN(2)/2))/(LN(2)/2)*ER126*EU126*VLOOKUP('Données projet'!$B$15,Paramètres!$A$1:$I$88,3,0)*0.475*44/12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68.983308527972113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projet'!$B$16,Paramètres!$A$1:$I$88,3,0)*VLOOKUP('Données projet'!$B$16,Paramètres!$A$1:$I$88,5,0)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projet'!$B$16,Paramètres!$A$1:$I$88,7,0))</f>
        <v>0</v>
      </c>
      <c r="FO126" s="17">
        <f>IF(ISNA(VLOOKUP(A126,'Données projet'!$A$217:$I$237,6,0)),0%,VLOOKUP(A126,'Données projet'!$A$217:$I$237,6,0)*VLOOKUP('Données projet'!$B$16,Paramètres!$A$1:$I$88,7,0))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projet'!$B$16,Paramètres!$A$1:$I$88,3,0)*0.475*44/12</f>
        <v>#N/A</v>
      </c>
      <c r="FR126" s="23" t="e">
        <f>EXP(-LN(2)/25)*FR125+(1-EXP(-LN(2)/25))/(LN(2)/25)*Calculateur!FM126*Calculateur!FO126*VLOOKUP('Données projet'!$B$16,Paramètres!$A$1:$I$88,3,0)*0.475*44/12</f>
        <v>#N/A</v>
      </c>
      <c r="FS126" s="23" t="e">
        <f>EXP(-LN(2)/2)*FS125+(1-EXP(-LN(2)/2))/(LN(2)/2)*FM126*FP126*VLOOKUP('Données projet'!$B$16,Paramètres!$A$1:$I$88,3,0)*0.475*44/12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68.983308527972113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projet'!$B$17,Paramètres!$A$1:$I$88,3,0)*VLOOKUP('Données projet'!$B$17,Paramètres!$A$1:$I$88,5,0)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projet'!$B$17,Paramètres!$A$1:$I$88,7,0))</f>
        <v>0</v>
      </c>
      <c r="GJ126" s="17">
        <f>IF(ISNA(VLOOKUP(A126,'Données projet'!$A$243:$I$263,6,0)),0%,VLOOKUP(A126,'Données projet'!$A$243:$I$263,6,0)*VLOOKUP('Données projet'!$B$17,Paramètres!$A$1:$I$88,7,0))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projet'!$B$17,Paramètres!$A$1:$I$88,3,0)*0.475*44/12</f>
        <v>#N/A</v>
      </c>
      <c r="GM126" s="23" t="e">
        <f>EXP(-LN(2)/25)*GM125+(1-EXP(-LN(2)/25))/(LN(2)/25)*Calculateur!GH126*Calculateur!GJ126*VLOOKUP('Données projet'!$B$17,Paramètres!$A$1:$I$88,3,0)*0.475*44/12</f>
        <v>#N/A</v>
      </c>
      <c r="GN126" s="23" t="e">
        <f>EXP(-LN(2)/2)*GN125+(1-EXP(-LN(2)/2))/(LN(2)/2)*GH126*GK126*VLOOKUP('Données projet'!$B$17,Paramètres!$A$1:$I$88,3,0)*0.475*44/12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68.983308527972113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projet'!$B$18,Paramètres!$A$1:$I$88,3,0)*VLOOKUP('Données projet'!$B$18,Paramètres!$A$1:$I$88,5,0)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projet'!$B$18,Paramètres!$A$1:$I$88,7,0))</f>
        <v>0</v>
      </c>
      <c r="HE126" s="17">
        <f>IF(ISNA(VLOOKUP(A126,'Données projet'!$A$269:$I$289,6,0)),0%,VLOOKUP(A126,'Données projet'!$A$269:$I$289,6,0)*VLOOKUP('Données projet'!$B$18,Paramètres!$A$1:$I$88,7,0))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projet'!$B$18,Paramètres!$A$1:$I$88,3,0)*0.475*44/12</f>
        <v>#N/A</v>
      </c>
      <c r="HH126" s="23" t="e">
        <f>EXP(-LN(2)/25)*HH125+(1-EXP(-LN(2)/25))/(LN(2)/25)*Calculateur!HC126*Calculateur!HE126*VLOOKUP('Données projet'!$B$18,Paramètres!$A$1:$I$88,3,0)*0.475*44/12</f>
        <v>#N/A</v>
      </c>
      <c r="HI126" s="23" t="e">
        <f>EXP(-LN(2)/2)*HI125+(1-EXP(-LN(2)/2))/(LN(2)/2)*HC126*HF126*VLOOKUP('Données projet'!$B$18,Paramètres!$A$1:$I$88,3,0)*0.475*44/12</f>
        <v>#N/A</v>
      </c>
      <c r="HJ126" s="24" t="e">
        <f t="shared" si="84"/>
        <v>#N/A</v>
      </c>
    </row>
    <row r="127" spans="1:218" s="5" customFormat="1" x14ac:dyDescent="0.35">
      <c r="A127" s="11">
        <f t="shared" si="85"/>
        <v>124</v>
      </c>
      <c r="B127" s="77">
        <f>'Scénario référence'!$B$16*5+'Scénario référence'!$B$17*0+'Scénario référence'!$B$18*5</f>
        <v>1.75</v>
      </c>
      <c r="C127" s="20">
        <f>Calculateur!C126+'Scénario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27" s="12">
        <f t="shared" si="86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6.416666666666667</v>
      </c>
      <c r="H127" s="70">
        <f t="shared" si="56"/>
        <v>231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69.000945852030185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3.4106051316484809E-13</v>
      </c>
      <c r="O127" s="14">
        <f>N127*VLOOKUP('Données projet'!$B$9,Paramètres!$A$1:$I$88,3,0)*VLOOKUP('Données projet'!$B$9,Paramètres!$A$1:$I$88,5,0)</f>
        <v>1.9065282685915009E-13</v>
      </c>
      <c r="P127" s="14">
        <f t="shared" si="87"/>
        <v>2.6568987209435707E-12</v>
      </c>
      <c r="Q127" s="22">
        <f t="shared" si="107"/>
        <v>4.959485612423072E-12</v>
      </c>
      <c r="R127" s="62">
        <f t="shared" si="55"/>
        <v>289.6701347907823</v>
      </c>
      <c r="S127" s="62">
        <f ca="1">AVERAGE(OFFSET($R$3,0,0,'Données projet'!$E$9+1,1))-AVERAGE(OFFSET($H$3,0,0,'Données projet'!$E$9+1,1))</f>
        <v>341.05096821796769</v>
      </c>
      <c r="T127" s="62">
        <f t="shared" si="88"/>
        <v>400.72519822215168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projet'!$B$9,Paramètres!$A$1:$I$88,7,0))</f>
        <v>0</v>
      </c>
      <c r="X127" s="17">
        <f>IF(ISNA(VLOOKUP(A127,'Données projet'!$A$35:$I$55,6,0)),0%,VLOOKUP(A127,'Données projet'!$A$35:$I$55,6,0)*VLOOKUP('Données projet'!$B$9,Paramètres!$A$1:$I$88,7,0))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projet'!$B$9,Paramètres!$A$1:$I$88,3,0)*0.475*44/12</f>
        <v>67.464930631985041</v>
      </c>
      <c r="AA127" s="23">
        <f>EXP(-LN(2)/25)*AA126+(1-EXP(-LN(2)/25))/(LN(2)/25)*Calculateur!V127*Calculateur!X127*VLOOKUP('Données projet'!$B$9,Paramètres!$A$1:$I$88,3,0)*0.475*44/12</f>
        <v>22.472891401075699</v>
      </c>
      <c r="AB127" s="23">
        <f>EXP(-LN(2)/2)*AB126+(1-EXP(-LN(2)/2))/(LN(2)/2)*V127*Y127*VLOOKUP('Données projet'!$B$9,Paramètres!$A$1:$I$88,3,0)*0.475*44/12</f>
        <v>0</v>
      </c>
      <c r="AC127" s="24">
        <f t="shared" si="57"/>
        <v>89.937822033060741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69.000945852030185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5.6843418860808015E-14</v>
      </c>
      <c r="AJ127" s="14">
        <f>AI127*VLOOKUP('Données projet'!$B$10,Paramètres!$A$1:$I$88,3,0)*VLOOKUP('Données projet'!$B$10,Paramètres!$A$1:$I$88,5,0)</f>
        <v>3.3992364478763198E-14</v>
      </c>
      <c r="AK127" s="14">
        <f t="shared" si="89"/>
        <v>5.790027782444094E-13</v>
      </c>
      <c r="AL127" s="22">
        <f t="shared" si="58"/>
        <v>1.0676332069095257E-12</v>
      </c>
      <c r="AM127" s="62">
        <f t="shared" si="59"/>
        <v>289.67013479077843</v>
      </c>
      <c r="AN127" s="62">
        <f ca="1">AVERAGE(OFFSET($AM$3,0,0,'Données projet'!$E$10+1,1))-AVERAGE(OFFSET($H$3,0,0,'Données projet'!$E$10+1,1))</f>
        <v>231.96474801342879</v>
      </c>
      <c r="AO127" s="62">
        <f t="shared" si="90"/>
        <v>237.75726086383668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projet'!$B$10,Paramètres!$A$1:$I$88,7,0))</f>
        <v>0</v>
      </c>
      <c r="AS127" s="17">
        <f>IF(ISNA(VLOOKUP(A127,'Données projet'!$A$61:$I$81,6,0)),0%,VLOOKUP(A127,'Données projet'!$A$61:$I$81,6,0)*VLOOKUP('Données projet'!$B$10,Paramètres!$A$1:$I$88,7,0))</f>
        <v>0</v>
      </c>
      <c r="AT127" s="17">
        <f>IF(ISNA(VLOOKUP(A127,'Données projet'!$A$61:$I$81,7,0)),0%,VLOOKUP(A127,'Données projet'!$A$61:$I$81,7,0))</f>
        <v>0</v>
      </c>
      <c r="AU127" s="23">
        <f>EXP(-LN(2)/35)*AU126+(1-EXP(-LN(2)/35))/(LN(2)/35)*AQ127*AR127*VLOOKUP('Données projet'!$B$10,Paramètres!$A$1:$I$88,3,0)*0.475*44/12</f>
        <v>26.604763768485064</v>
      </c>
      <c r="AV127" s="23">
        <f>EXP(-LN(2)/25)*AV126+(1-EXP(-LN(2)/25))/(LN(2)/25)*Calculateur!AQ127*Calculateur!AS127*VLOOKUP('Données projet'!$B$10,Paramètres!$A$1:$I$88,3,0)*0.475*44/12</f>
        <v>9.4897338440617069</v>
      </c>
      <c r="AW127" s="23">
        <f>EXP(-LN(2)/2)*AW126+(1-EXP(-LN(2)/2))/(LN(2)/2)*AQ127*AT127*VLOOKUP('Données projet'!$B$10,Paramètres!$A$1:$I$88,3,0)*0.475*44/12</f>
        <v>0</v>
      </c>
      <c r="AX127" s="23">
        <f t="shared" si="60"/>
        <v>36.094497612546775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69.000945852030185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6.8212102632969618E-13</v>
      </c>
      <c r="BE127" s="14">
        <f>BD127*VLOOKUP('Données projet'!$B$11,Paramètres!$A$1:$I$88,3,0)*VLOOKUP('Données projet'!$B$11,Paramètres!$A$1:$I$88,5,0)</f>
        <v>3.1923264032229784E-13</v>
      </c>
      <c r="BF127" s="14">
        <f t="shared" si="91"/>
        <v>4.1896839804541558E-12</v>
      </c>
      <c r="BG127" s="22">
        <f t="shared" si="61"/>
        <v>7.8530297811856558E-12</v>
      </c>
      <c r="BH127" s="62">
        <f t="shared" si="62"/>
        <v>289.6701347907852</v>
      </c>
      <c r="BI127" s="62">
        <f ca="1">AVERAGE(OFFSET($BH$3,0,0,'Données projet'!$E$11+1,1))-AVERAGE(OFFSET($H$3,0,0,'Données projet'!$E$11+1,1))</f>
        <v>364.96458059055169</v>
      </c>
      <c r="BJ127" s="62">
        <f t="shared" si="92"/>
        <v>246.27159120786257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projet'!$B$11,Paramètres!$A$1:$I$88,7,0))</f>
        <v>0</v>
      </c>
      <c r="BN127" s="17">
        <f>IF(ISNA(VLOOKUP(A127,'Données projet'!$A$87:$I$107,6,0)),0%,VLOOKUP(A127,'Données projet'!$A$87:$I$107,6,0)*VLOOKUP('Données projet'!$B$11,Paramètres!$A$1:$I$88,7,0))</f>
        <v>0</v>
      </c>
      <c r="BO127" s="17">
        <f>IF(ISNA(VLOOKUP(A127,'Données projet'!$A$87:$I$107,7,0)),0%,VLOOKUP(A127,'Données projet'!$A$87:$I$107,7,0))</f>
        <v>0</v>
      </c>
      <c r="BP127" s="23">
        <f>EXP(-LN(2)/35)*BP126+(1-EXP(-LN(2)/35))/(LN(2)/35)*BL127*BM127*VLOOKUP('Données projet'!$B$11,Paramètres!$A$1:$I$88,3,0)*0.475*44/12</f>
        <v>148.00363843883838</v>
      </c>
      <c r="BQ127" s="23">
        <f>EXP(-LN(2)/25)*BQ126+(1-EXP(-LN(2)/25))/(LN(2)/25)*Calculateur!BL127*Calculateur!BN127*VLOOKUP('Données projet'!$B$11,Paramètres!$A$1:$I$88,3,0)*0.475*44/12</f>
        <v>51.817257982917525</v>
      </c>
      <c r="BR127" s="23">
        <f>EXP(-LN(2)/2)*BR126+(1-EXP(-LN(2)/2))/(LN(2)/2)*BL127*BO127*VLOOKUP('Données projet'!$B$11,Paramètres!$A$1:$I$88,3,0)*0.475*44/12</f>
        <v>0</v>
      </c>
      <c r="BS127" s="24">
        <f t="shared" si="63"/>
        <v>199.82089642175589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69.000945852030185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-1.1368683772161603E-13</v>
      </c>
      <c r="BZ127" s="14">
        <f>BY127*VLOOKUP('Données projet'!$B$12,Paramètres!$A$1:$I$88,3,0)*VLOOKUP('Données projet'!$B$12,Paramètres!$A$1:$I$88,5,0)</f>
        <v>-1.1527845344971866E-13</v>
      </c>
      <c r="CA127" s="14" t="e">
        <f t="shared" si="93"/>
        <v>#NUM!</v>
      </c>
      <c r="CB127" s="22" t="e">
        <f t="shared" si="64"/>
        <v>#NUM!</v>
      </c>
      <c r="CC127" s="62" t="e">
        <f t="shared" si="65"/>
        <v>#NUM!</v>
      </c>
      <c r="CD127" s="62">
        <f ca="1">AVERAGE(OFFSET($CC$3,0,0,'Données projet'!$E$12+1,1))-AVERAGE(OFFSET($H$3,0,0,'Données projet'!$E$12+1,1))</f>
        <v>310.53598044763282</v>
      </c>
      <c r="CE127" s="62">
        <f t="shared" si="94"/>
        <v>322.01096634040596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projet'!$B$12,Paramètres!$A$1:$I$88,7,0))</f>
        <v>0</v>
      </c>
      <c r="CI127" s="17">
        <f>IF(ISNA(VLOOKUP(A127,'Données projet'!$A$113:$I$133,6,0)),0%,VLOOKUP(A127,'Données projet'!$A$113:$I$133,6,0)*VLOOKUP('Données projet'!$B$12,Paramètres!$A$1:$I$88,7,0))</f>
        <v>0</v>
      </c>
      <c r="CJ127" s="17">
        <f>IF(ISNA(VLOOKUP(A127,'Données projet'!$A$113:$I$133,7,0)),0%,VLOOKUP(A127,'Données projet'!$A$113:$I$133,7,0))</f>
        <v>0</v>
      </c>
      <c r="CK127" s="23">
        <f>EXP(-LN(2)/35)*CK126+(1-EXP(-LN(2)/35))/(LN(2)/35)*CG127*CH127*VLOOKUP('Données projet'!$B$12,Paramètres!$A$1:$I$88,3,0)*0.475*44/12</f>
        <v>20.355882454496744</v>
      </c>
      <c r="CL127" s="23">
        <f>EXP(-LN(2)/25)*CL126+(1-EXP(-LN(2)/25))/(LN(2)/25)*Calculateur!CG127*Calculateur!CI127*VLOOKUP('Données projet'!$B$12,Paramètres!$A$1:$I$88,3,0)*0.475*44/12</f>
        <v>0</v>
      </c>
      <c r="CM127" s="23">
        <f>EXP(-LN(2)/2)*CM126+(1-EXP(-LN(2)/2))/(LN(2)/2)*CG127*CJ127*VLOOKUP('Données projet'!$B$12,Paramètres!$A$1:$I$88,3,0)*0.475*44/12</f>
        <v>0</v>
      </c>
      <c r="CN127" s="24">
        <f t="shared" si="66"/>
        <v>20.355882454496744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69.000945852030185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projet'!$B$13,Paramètres!$A$1:$I$88,3,0)*VLOOKUP('Données projet'!$B$13,Paramètres!$A$1:$I$88,5,0)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projet'!$B$13,Paramètres!$A$1:$I$88,7,0))</f>
        <v>0</v>
      </c>
      <c r="DD127" s="17">
        <f>IF(ISNA(VLOOKUP(A127,'Données projet'!$A$139:$I$159,6,0)),0%,VLOOKUP(A127,'Données projet'!$A$139:$I$159,6,0)*VLOOKUP('Données projet'!$B$13,Paramètres!$A$1:$I$88,7,0))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projet'!$B$13,Paramètres!$A$1:$I$88,3,0)*0.475*44/12</f>
        <v>#N/A</v>
      </c>
      <c r="DG127" s="23" t="e">
        <f>EXP(-LN(2)/25)*DG126+(1-EXP(-LN(2)/25))/(LN(2)/25)*Calculateur!DB127*Calculateur!DD127*VLOOKUP('Données projet'!$B$13,Paramètres!$A$1:$I$88,3,0)*0.475*44/12</f>
        <v>#N/A</v>
      </c>
      <c r="DH127" s="23" t="e">
        <f>EXP(-LN(2)/2)*DH126+(1-EXP(-LN(2)/2))/(LN(2)/2)*DB127*DE127*VLOOKUP('Données projet'!$B$13,Paramètres!$A$1:$I$88,3,0)*0.475*44/12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69.000945852030185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projet'!$B$14,Paramètres!$A$1:$I$88,3,0)*VLOOKUP('Données projet'!$B$14,Paramètres!$A$1:$I$88,5,0)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projet'!$B$14,Paramètres!$A$1:$I$88,7,0))</f>
        <v>0</v>
      </c>
      <c r="DY127" s="17">
        <f>IF(ISNA(VLOOKUP(A127,'Données projet'!$A$165:$I$185,6,0)),0%,VLOOKUP(A127,'Données projet'!$A$165:$I$185,6,0)*VLOOKUP('Données projet'!$B$14,Paramètres!$A$1:$I$88,7,0))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projet'!$B$14,Paramètres!$A$1:$I$88,3,0)*0.475*44/12</f>
        <v>#N/A</v>
      </c>
      <c r="EB127" s="23" t="e">
        <f>EXP(-LN(2)/25)*EB126+(1-EXP(-LN(2)/25))/(LN(2)/25)*Calculateur!DW127*Calculateur!DY127*VLOOKUP('Données projet'!$B$14,Paramètres!$A$1:$I$88,3,0)*0.475*44/12</f>
        <v>#N/A</v>
      </c>
      <c r="EC127" s="23" t="e">
        <f>EXP(-LN(2)/2)*EC126+(1-EXP(-LN(2)/2))/(LN(2)/2)*DW127*DZ127*VLOOKUP('Données projet'!$B$14,Paramètres!$A$1:$I$88,3,0)*0.475*44/12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69.000945852030185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projet'!$B$15,Paramètres!$A$1:$I$88,3,0)*VLOOKUP('Données projet'!$B$15,Paramètres!$A$1:$I$88,5,0)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projet'!$B$15,Paramètres!$A$1:$I$88,7,0))</f>
        <v>0</v>
      </c>
      <c r="ET127" s="17">
        <f>IF(ISNA(VLOOKUP(A127,'Données projet'!$A$191:$I$211,6,0)),0%,VLOOKUP(A127,'Données projet'!$A$191:$I$211,6,0)*VLOOKUP('Données projet'!$B$15,Paramètres!$A$1:$I$88,7,0))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projet'!$B$15,Paramètres!$A$1:$I$88,3,0)*0.475*44/12</f>
        <v>#N/A</v>
      </c>
      <c r="EW127" s="23" t="e">
        <f>EXP(-LN(2)/25)*EW126+(1-EXP(-LN(2)/25))/(LN(2)/25)*Calculateur!ER127*Calculateur!ET127*VLOOKUP('Données projet'!$B$15,Paramètres!$A$1:$I$88,3,0)*0.475*44/12</f>
        <v>#N/A</v>
      </c>
      <c r="EX127" s="23" t="e">
        <f>EXP(-LN(2)/2)*EX126+(1-EXP(-LN(2)/2))/(LN(2)/2)*ER127*EU127*VLOOKUP('Données projet'!$B$15,Paramètres!$A$1:$I$88,3,0)*0.475*44/12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69.000945852030185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projet'!$B$16,Paramètres!$A$1:$I$88,3,0)*VLOOKUP('Données projet'!$B$16,Paramètres!$A$1:$I$88,5,0)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projet'!$B$16,Paramètres!$A$1:$I$88,7,0))</f>
        <v>0</v>
      </c>
      <c r="FO127" s="17">
        <f>IF(ISNA(VLOOKUP(A127,'Données projet'!$A$217:$I$237,6,0)),0%,VLOOKUP(A127,'Données projet'!$A$217:$I$237,6,0)*VLOOKUP('Données projet'!$B$16,Paramètres!$A$1:$I$88,7,0))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projet'!$B$16,Paramètres!$A$1:$I$88,3,0)*0.475*44/12</f>
        <v>#N/A</v>
      </c>
      <c r="FR127" s="23" t="e">
        <f>EXP(-LN(2)/25)*FR126+(1-EXP(-LN(2)/25))/(LN(2)/25)*Calculateur!FM127*Calculateur!FO127*VLOOKUP('Données projet'!$B$16,Paramètres!$A$1:$I$88,3,0)*0.475*44/12</f>
        <v>#N/A</v>
      </c>
      <c r="FS127" s="23" t="e">
        <f>EXP(-LN(2)/2)*FS126+(1-EXP(-LN(2)/2))/(LN(2)/2)*FM127*FP127*VLOOKUP('Données projet'!$B$16,Paramètres!$A$1:$I$88,3,0)*0.475*44/12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69.000945852030185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projet'!$B$17,Paramètres!$A$1:$I$88,3,0)*VLOOKUP('Données projet'!$B$17,Paramètres!$A$1:$I$88,5,0)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projet'!$B$17,Paramètres!$A$1:$I$88,7,0))</f>
        <v>0</v>
      </c>
      <c r="GJ127" s="17">
        <f>IF(ISNA(VLOOKUP(A127,'Données projet'!$A$243:$I$263,6,0)),0%,VLOOKUP(A127,'Données projet'!$A$243:$I$263,6,0)*VLOOKUP('Données projet'!$B$17,Paramètres!$A$1:$I$88,7,0))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projet'!$B$17,Paramètres!$A$1:$I$88,3,0)*0.475*44/12</f>
        <v>#N/A</v>
      </c>
      <c r="GM127" s="23" t="e">
        <f>EXP(-LN(2)/25)*GM126+(1-EXP(-LN(2)/25))/(LN(2)/25)*Calculateur!GH127*Calculateur!GJ127*VLOOKUP('Données projet'!$B$17,Paramètres!$A$1:$I$88,3,0)*0.475*44/12</f>
        <v>#N/A</v>
      </c>
      <c r="GN127" s="23" t="e">
        <f>EXP(-LN(2)/2)*GN126+(1-EXP(-LN(2)/2))/(LN(2)/2)*GH127*GK127*VLOOKUP('Données projet'!$B$17,Paramètres!$A$1:$I$88,3,0)*0.475*44/12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69.000945852030185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projet'!$B$18,Paramètres!$A$1:$I$88,3,0)*VLOOKUP('Données projet'!$B$18,Paramètres!$A$1:$I$88,5,0)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projet'!$B$18,Paramètres!$A$1:$I$88,7,0))</f>
        <v>0</v>
      </c>
      <c r="HE127" s="17">
        <f>IF(ISNA(VLOOKUP(A127,'Données projet'!$A$269:$I$289,6,0)),0%,VLOOKUP(A127,'Données projet'!$A$269:$I$289,6,0)*VLOOKUP('Données projet'!$B$18,Paramètres!$A$1:$I$88,7,0))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projet'!$B$18,Paramètres!$A$1:$I$88,3,0)*0.475*44/12</f>
        <v>#N/A</v>
      </c>
      <c r="HH127" s="23" t="e">
        <f>EXP(-LN(2)/25)*HH126+(1-EXP(-LN(2)/25))/(LN(2)/25)*Calculateur!HC127*Calculateur!HE127*VLOOKUP('Données projet'!$B$18,Paramètres!$A$1:$I$88,3,0)*0.475*44/12</f>
        <v>#N/A</v>
      </c>
      <c r="HI127" s="23" t="e">
        <f>EXP(-LN(2)/2)*HI126+(1-EXP(-LN(2)/2))/(LN(2)/2)*HC127*HF127*VLOOKUP('Données projet'!$B$18,Paramètres!$A$1:$I$88,3,0)*0.475*44/12</f>
        <v>#N/A</v>
      </c>
      <c r="HJ127" s="24" t="e">
        <f t="shared" si="84"/>
        <v>#N/A</v>
      </c>
    </row>
    <row r="128" spans="1:218" s="5" customFormat="1" x14ac:dyDescent="0.35">
      <c r="A128" s="11">
        <f t="shared" si="85"/>
        <v>125</v>
      </c>
      <c r="B128" s="77">
        <f>'Scénario référence'!$B$16*5+'Scénario référence'!$B$17*0+'Scénario référence'!$B$18*5</f>
        <v>1.75</v>
      </c>
      <c r="C128" s="20">
        <f>Calculateur!C127+'Scénario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28" s="12">
        <f t="shared" si="86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6.416666666666667</v>
      </c>
      <c r="H128" s="70">
        <f t="shared" si="56"/>
        <v>231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69.018277207946994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3.4106051316484809E-13</v>
      </c>
      <c r="O128" s="14">
        <f>N128*VLOOKUP('Données projet'!$B$9,Paramètres!$A$1:$I$88,3,0)*VLOOKUP('Données projet'!$B$9,Paramètres!$A$1:$I$88,5,0)</f>
        <v>1.9065282685915009E-13</v>
      </c>
      <c r="P128" s="14">
        <f t="shared" si="87"/>
        <v>2.6568987209435707E-12</v>
      </c>
      <c r="Q128" s="22">
        <f t="shared" si="107"/>
        <v>4.959485612423072E-12</v>
      </c>
      <c r="R128" s="62">
        <f t="shared" si="55"/>
        <v>289.73368309581059</v>
      </c>
      <c r="S128" s="62">
        <f ca="1">AVERAGE(OFFSET($R$3,0,0,'Données projet'!$E$9+1,1))-AVERAGE(OFFSET($H$3,0,0,'Données projet'!$E$9+1,1))</f>
        <v>341.05096821796769</v>
      </c>
      <c r="T128" s="62">
        <f t="shared" si="88"/>
        <v>400.72519822215168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projet'!$B$9,Paramètres!$A$1:$I$88,7,0))</f>
        <v>0</v>
      </c>
      <c r="X128" s="17">
        <f>IF(ISNA(VLOOKUP(A128,'Données projet'!$A$35:$I$55,6,0)),0%,VLOOKUP(A128,'Données projet'!$A$35:$I$55,6,0)*VLOOKUP('Données projet'!$B$9,Paramètres!$A$1:$I$88,7,0))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projet'!$B$9,Paramètres!$A$1:$I$88,3,0)*0.475*44/12</f>
        <v>66.141984491836325</v>
      </c>
      <c r="AA128" s="23">
        <f>EXP(-LN(2)/25)*AA127+(1-EXP(-LN(2)/25))/(LN(2)/25)*Calculateur!V128*Calculateur!X128*VLOOKUP('Données projet'!$B$9,Paramètres!$A$1:$I$88,3,0)*0.475*44/12</f>
        <v>21.858369003915289</v>
      </c>
      <c r="AB128" s="23">
        <f>EXP(-LN(2)/2)*AB127+(1-EXP(-LN(2)/2))/(LN(2)/2)*V128*Y128*VLOOKUP('Données projet'!$B$9,Paramètres!$A$1:$I$88,3,0)*0.475*44/12</f>
        <v>0</v>
      </c>
      <c r="AC128" s="24">
        <f t="shared" si="57"/>
        <v>88.000353495751611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69.018277207946994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5.6843418860808015E-14</v>
      </c>
      <c r="AJ128" s="14">
        <f>AI128*VLOOKUP('Données projet'!$B$10,Paramètres!$A$1:$I$88,3,0)*VLOOKUP('Données projet'!$B$10,Paramètres!$A$1:$I$88,5,0)</f>
        <v>3.3992364478763198E-14</v>
      </c>
      <c r="AK128" s="14">
        <f t="shared" si="89"/>
        <v>5.790027782444094E-13</v>
      </c>
      <c r="AL128" s="22">
        <f t="shared" si="58"/>
        <v>1.0676332069095257E-12</v>
      </c>
      <c r="AM128" s="62">
        <f t="shared" si="59"/>
        <v>289.73368309580673</v>
      </c>
      <c r="AN128" s="62">
        <f ca="1">AVERAGE(OFFSET($AM$3,0,0,'Données projet'!$E$10+1,1))-AVERAGE(OFFSET($H$3,0,0,'Données projet'!$E$10+1,1))</f>
        <v>231.96474801342879</v>
      </c>
      <c r="AO128" s="62">
        <f t="shared" si="90"/>
        <v>237.75726086383668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projet'!$B$10,Paramètres!$A$1:$I$88,7,0))</f>
        <v>0</v>
      </c>
      <c r="AS128" s="17">
        <f>IF(ISNA(VLOOKUP(A128,'Données projet'!$A$61:$I$81,6,0)),0%,VLOOKUP(A128,'Données projet'!$A$61:$I$81,6,0)*VLOOKUP('Données projet'!$B$10,Paramètres!$A$1:$I$88,7,0))</f>
        <v>0</v>
      </c>
      <c r="AT128" s="17">
        <f>IF(ISNA(VLOOKUP(A128,'Données projet'!$A$61:$I$81,7,0)),0%,VLOOKUP(A128,'Données projet'!$A$61:$I$81,7,0))</f>
        <v>0</v>
      </c>
      <c r="AU128" s="23">
        <f>EXP(-LN(2)/35)*AU127+(1-EXP(-LN(2)/35))/(LN(2)/35)*AQ128*AR128*VLOOKUP('Données projet'!$B$10,Paramètres!$A$1:$I$88,3,0)*0.475*44/12</f>
        <v>26.083060578288659</v>
      </c>
      <c r="AV128" s="23">
        <f>EXP(-LN(2)/25)*AV127+(1-EXP(-LN(2)/25))/(LN(2)/25)*Calculateur!AQ128*Calculateur!AS128*VLOOKUP('Données projet'!$B$10,Paramètres!$A$1:$I$88,3,0)*0.475*44/12</f>
        <v>9.2302365730524265</v>
      </c>
      <c r="AW128" s="23">
        <f>EXP(-LN(2)/2)*AW127+(1-EXP(-LN(2)/2))/(LN(2)/2)*AQ128*AT128*VLOOKUP('Données projet'!$B$10,Paramètres!$A$1:$I$88,3,0)*0.475*44/12</f>
        <v>0</v>
      </c>
      <c r="AX128" s="23">
        <f t="shared" si="60"/>
        <v>35.313297151341089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69.018277207946994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6.8212102632969618E-13</v>
      </c>
      <c r="BE128" s="14">
        <f>BD128*VLOOKUP('Données projet'!$B$11,Paramètres!$A$1:$I$88,3,0)*VLOOKUP('Données projet'!$B$11,Paramètres!$A$1:$I$88,5,0)</f>
        <v>3.1923264032229784E-13</v>
      </c>
      <c r="BF128" s="14">
        <f t="shared" si="91"/>
        <v>4.1896839804541558E-12</v>
      </c>
      <c r="BG128" s="22">
        <f t="shared" si="61"/>
        <v>7.8530297811856558E-12</v>
      </c>
      <c r="BH128" s="62">
        <f t="shared" si="62"/>
        <v>289.73368309581349</v>
      </c>
      <c r="BI128" s="62">
        <f ca="1">AVERAGE(OFFSET($BH$3,0,0,'Données projet'!$E$11+1,1))-AVERAGE(OFFSET($H$3,0,0,'Données projet'!$E$11+1,1))</f>
        <v>364.96458059055169</v>
      </c>
      <c r="BJ128" s="62">
        <f t="shared" si="92"/>
        <v>246.27159120786257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projet'!$B$11,Paramètres!$A$1:$I$88,7,0))</f>
        <v>0</v>
      </c>
      <c r="BN128" s="17">
        <f>IF(ISNA(VLOOKUP(A128,'Données projet'!$A$87:$I$107,6,0)),0%,VLOOKUP(A128,'Données projet'!$A$87:$I$107,6,0)*VLOOKUP('Données projet'!$B$11,Paramètres!$A$1:$I$88,7,0))</f>
        <v>0</v>
      </c>
      <c r="BO128" s="17">
        <f>IF(ISNA(VLOOKUP(A128,'Données projet'!$A$87:$I$107,7,0)),0%,VLOOKUP(A128,'Données projet'!$A$87:$I$107,7,0))</f>
        <v>0</v>
      </c>
      <c r="BP128" s="23">
        <f>EXP(-LN(2)/35)*BP127+(1-EXP(-LN(2)/35))/(LN(2)/35)*BL128*BM128*VLOOKUP('Données projet'!$B$11,Paramètres!$A$1:$I$88,3,0)*0.475*44/12</f>
        <v>145.10137736235845</v>
      </c>
      <c r="BQ128" s="23">
        <f>EXP(-LN(2)/25)*BQ127+(1-EXP(-LN(2)/25))/(LN(2)/25)*Calculateur!BL128*Calculateur!BN128*VLOOKUP('Données projet'!$B$11,Paramètres!$A$1:$I$88,3,0)*0.475*44/12</f>
        <v>50.400312338423475</v>
      </c>
      <c r="BR128" s="23">
        <f>EXP(-LN(2)/2)*BR127+(1-EXP(-LN(2)/2))/(LN(2)/2)*BL128*BO128*VLOOKUP('Données projet'!$B$11,Paramètres!$A$1:$I$88,3,0)*0.475*44/12</f>
        <v>0</v>
      </c>
      <c r="BS128" s="24">
        <f t="shared" si="63"/>
        <v>195.50168970078192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69.018277207946994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-1.1368683772161603E-13</v>
      </c>
      <c r="BZ128" s="14">
        <f>BY128*VLOOKUP('Données projet'!$B$12,Paramètres!$A$1:$I$88,3,0)*VLOOKUP('Données projet'!$B$12,Paramètres!$A$1:$I$88,5,0)</f>
        <v>-1.1527845344971866E-13</v>
      </c>
      <c r="CA128" s="14" t="e">
        <f t="shared" si="93"/>
        <v>#NUM!</v>
      </c>
      <c r="CB128" s="22" t="e">
        <f t="shared" si="64"/>
        <v>#NUM!</v>
      </c>
      <c r="CC128" s="62" t="e">
        <f t="shared" si="65"/>
        <v>#NUM!</v>
      </c>
      <c r="CD128" s="62">
        <f ca="1">AVERAGE(OFFSET($CC$3,0,0,'Données projet'!$E$12+1,1))-AVERAGE(OFFSET($H$3,0,0,'Données projet'!$E$12+1,1))</f>
        <v>310.53598044763282</v>
      </c>
      <c r="CE128" s="62">
        <f t="shared" si="94"/>
        <v>322.01096634040596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projet'!$B$12,Paramètres!$A$1:$I$88,7,0))</f>
        <v>0</v>
      </c>
      <c r="CI128" s="17">
        <f>IF(ISNA(VLOOKUP(A128,'Données projet'!$A$113:$I$133,6,0)),0%,VLOOKUP(A128,'Données projet'!$A$113:$I$133,6,0)*VLOOKUP('Données projet'!$B$12,Paramètres!$A$1:$I$88,7,0))</f>
        <v>0</v>
      </c>
      <c r="CJ128" s="17">
        <f>IF(ISNA(VLOOKUP(A128,'Données projet'!$A$113:$I$133,7,0)),0%,VLOOKUP(A128,'Données projet'!$A$113:$I$133,7,0))</f>
        <v>0</v>
      </c>
      <c r="CK128" s="23">
        <f>EXP(-LN(2)/35)*CK127+(1-EXP(-LN(2)/35))/(LN(2)/35)*CG128*CH128*VLOOKUP('Données projet'!$B$12,Paramètres!$A$1:$I$88,3,0)*0.475*44/12</f>
        <v>19.956716015426395</v>
      </c>
      <c r="CL128" s="23">
        <f>EXP(-LN(2)/25)*CL127+(1-EXP(-LN(2)/25))/(LN(2)/25)*Calculateur!CG128*Calculateur!CI128*VLOOKUP('Données projet'!$B$12,Paramètres!$A$1:$I$88,3,0)*0.475*44/12</f>
        <v>0</v>
      </c>
      <c r="CM128" s="23">
        <f>EXP(-LN(2)/2)*CM127+(1-EXP(-LN(2)/2))/(LN(2)/2)*CG128*CJ128*VLOOKUP('Données projet'!$B$12,Paramètres!$A$1:$I$88,3,0)*0.475*44/12</f>
        <v>0</v>
      </c>
      <c r="CN128" s="24">
        <f t="shared" si="66"/>
        <v>19.956716015426395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69.018277207946994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projet'!$B$13,Paramètres!$A$1:$I$88,3,0)*VLOOKUP('Données projet'!$B$13,Paramètres!$A$1:$I$88,5,0)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projet'!$B$13,Paramètres!$A$1:$I$88,7,0))</f>
        <v>0</v>
      </c>
      <c r="DD128" s="17">
        <f>IF(ISNA(VLOOKUP(A128,'Données projet'!$A$139:$I$159,6,0)),0%,VLOOKUP(A128,'Données projet'!$A$139:$I$159,6,0)*VLOOKUP('Données projet'!$B$13,Paramètres!$A$1:$I$88,7,0))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projet'!$B$13,Paramètres!$A$1:$I$88,3,0)*0.475*44/12</f>
        <v>#N/A</v>
      </c>
      <c r="DG128" s="23" t="e">
        <f>EXP(-LN(2)/25)*DG127+(1-EXP(-LN(2)/25))/(LN(2)/25)*Calculateur!DB128*Calculateur!DD128*VLOOKUP('Données projet'!$B$13,Paramètres!$A$1:$I$88,3,0)*0.475*44/12</f>
        <v>#N/A</v>
      </c>
      <c r="DH128" s="23" t="e">
        <f>EXP(-LN(2)/2)*DH127+(1-EXP(-LN(2)/2))/(LN(2)/2)*DB128*DE128*VLOOKUP('Données projet'!$B$13,Paramètres!$A$1:$I$88,3,0)*0.475*44/12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69.018277207946994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projet'!$B$14,Paramètres!$A$1:$I$88,3,0)*VLOOKUP('Données projet'!$B$14,Paramètres!$A$1:$I$88,5,0)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projet'!$B$14,Paramètres!$A$1:$I$88,7,0))</f>
        <v>0</v>
      </c>
      <c r="DY128" s="17">
        <f>IF(ISNA(VLOOKUP(A128,'Données projet'!$A$165:$I$185,6,0)),0%,VLOOKUP(A128,'Données projet'!$A$165:$I$185,6,0)*VLOOKUP('Données projet'!$B$14,Paramètres!$A$1:$I$88,7,0))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projet'!$B$14,Paramètres!$A$1:$I$88,3,0)*0.475*44/12</f>
        <v>#N/A</v>
      </c>
      <c r="EB128" s="23" t="e">
        <f>EXP(-LN(2)/25)*EB127+(1-EXP(-LN(2)/25))/(LN(2)/25)*Calculateur!DW128*Calculateur!DY128*VLOOKUP('Données projet'!$B$14,Paramètres!$A$1:$I$88,3,0)*0.475*44/12</f>
        <v>#N/A</v>
      </c>
      <c r="EC128" s="23" t="e">
        <f>EXP(-LN(2)/2)*EC127+(1-EXP(-LN(2)/2))/(LN(2)/2)*DW128*DZ128*VLOOKUP('Données projet'!$B$14,Paramètres!$A$1:$I$88,3,0)*0.475*44/12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69.018277207946994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projet'!$B$15,Paramètres!$A$1:$I$88,3,0)*VLOOKUP('Données projet'!$B$15,Paramètres!$A$1:$I$88,5,0)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projet'!$B$15,Paramètres!$A$1:$I$88,7,0))</f>
        <v>0</v>
      </c>
      <c r="ET128" s="17">
        <f>IF(ISNA(VLOOKUP(A128,'Données projet'!$A$191:$I$211,6,0)),0%,VLOOKUP(A128,'Données projet'!$A$191:$I$211,6,0)*VLOOKUP('Données projet'!$B$15,Paramètres!$A$1:$I$88,7,0))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projet'!$B$15,Paramètres!$A$1:$I$88,3,0)*0.475*44/12</f>
        <v>#N/A</v>
      </c>
      <c r="EW128" s="23" t="e">
        <f>EXP(-LN(2)/25)*EW127+(1-EXP(-LN(2)/25))/(LN(2)/25)*Calculateur!ER128*Calculateur!ET128*VLOOKUP('Données projet'!$B$15,Paramètres!$A$1:$I$88,3,0)*0.475*44/12</f>
        <v>#N/A</v>
      </c>
      <c r="EX128" s="23" t="e">
        <f>EXP(-LN(2)/2)*EX127+(1-EXP(-LN(2)/2))/(LN(2)/2)*ER128*EU128*VLOOKUP('Données projet'!$B$15,Paramètres!$A$1:$I$88,3,0)*0.475*44/12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69.018277207946994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projet'!$B$16,Paramètres!$A$1:$I$88,3,0)*VLOOKUP('Données projet'!$B$16,Paramètres!$A$1:$I$88,5,0)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projet'!$B$16,Paramètres!$A$1:$I$88,7,0))</f>
        <v>0</v>
      </c>
      <c r="FO128" s="17">
        <f>IF(ISNA(VLOOKUP(A128,'Données projet'!$A$217:$I$237,6,0)),0%,VLOOKUP(A128,'Données projet'!$A$217:$I$237,6,0)*VLOOKUP('Données projet'!$B$16,Paramètres!$A$1:$I$88,7,0))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projet'!$B$16,Paramètres!$A$1:$I$88,3,0)*0.475*44/12</f>
        <v>#N/A</v>
      </c>
      <c r="FR128" s="23" t="e">
        <f>EXP(-LN(2)/25)*FR127+(1-EXP(-LN(2)/25))/(LN(2)/25)*Calculateur!FM128*Calculateur!FO128*VLOOKUP('Données projet'!$B$16,Paramètres!$A$1:$I$88,3,0)*0.475*44/12</f>
        <v>#N/A</v>
      </c>
      <c r="FS128" s="23" t="e">
        <f>EXP(-LN(2)/2)*FS127+(1-EXP(-LN(2)/2))/(LN(2)/2)*FM128*FP128*VLOOKUP('Données projet'!$B$16,Paramètres!$A$1:$I$88,3,0)*0.475*44/12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69.018277207946994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projet'!$B$17,Paramètres!$A$1:$I$88,3,0)*VLOOKUP('Données projet'!$B$17,Paramètres!$A$1:$I$88,5,0)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projet'!$B$17,Paramètres!$A$1:$I$88,7,0))</f>
        <v>0</v>
      </c>
      <c r="GJ128" s="17">
        <f>IF(ISNA(VLOOKUP(A128,'Données projet'!$A$243:$I$263,6,0)),0%,VLOOKUP(A128,'Données projet'!$A$243:$I$263,6,0)*VLOOKUP('Données projet'!$B$17,Paramètres!$A$1:$I$88,7,0))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projet'!$B$17,Paramètres!$A$1:$I$88,3,0)*0.475*44/12</f>
        <v>#N/A</v>
      </c>
      <c r="GM128" s="23" t="e">
        <f>EXP(-LN(2)/25)*GM127+(1-EXP(-LN(2)/25))/(LN(2)/25)*Calculateur!GH128*Calculateur!GJ128*VLOOKUP('Données projet'!$B$17,Paramètres!$A$1:$I$88,3,0)*0.475*44/12</f>
        <v>#N/A</v>
      </c>
      <c r="GN128" s="23" t="e">
        <f>EXP(-LN(2)/2)*GN127+(1-EXP(-LN(2)/2))/(LN(2)/2)*GH128*GK128*VLOOKUP('Données projet'!$B$17,Paramètres!$A$1:$I$88,3,0)*0.475*44/12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69.018277207946994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projet'!$B$18,Paramètres!$A$1:$I$88,3,0)*VLOOKUP('Données projet'!$B$18,Paramètres!$A$1:$I$88,5,0)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projet'!$B$18,Paramètres!$A$1:$I$88,7,0))</f>
        <v>0</v>
      </c>
      <c r="HE128" s="17">
        <f>IF(ISNA(VLOOKUP(A128,'Données projet'!$A$269:$I$289,6,0)),0%,VLOOKUP(A128,'Données projet'!$A$269:$I$289,6,0)*VLOOKUP('Données projet'!$B$18,Paramètres!$A$1:$I$88,7,0))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projet'!$B$18,Paramètres!$A$1:$I$88,3,0)*0.475*44/12</f>
        <v>#N/A</v>
      </c>
      <c r="HH128" s="23" t="e">
        <f>EXP(-LN(2)/25)*HH127+(1-EXP(-LN(2)/25))/(LN(2)/25)*Calculateur!HC128*Calculateur!HE128*VLOOKUP('Données projet'!$B$18,Paramètres!$A$1:$I$88,3,0)*0.475*44/12</f>
        <v>#N/A</v>
      </c>
      <c r="HI128" s="23" t="e">
        <f>EXP(-LN(2)/2)*HI127+(1-EXP(-LN(2)/2))/(LN(2)/2)*HC128*HF128*VLOOKUP('Données projet'!$B$18,Paramètres!$A$1:$I$88,3,0)*0.475*44/12</f>
        <v>#N/A</v>
      </c>
      <c r="HJ128" s="24" t="e">
        <f t="shared" si="84"/>
        <v>#N/A</v>
      </c>
    </row>
    <row r="129" spans="1:218" s="5" customFormat="1" x14ac:dyDescent="0.35">
      <c r="A129" s="11">
        <f t="shared" si="85"/>
        <v>126</v>
      </c>
      <c r="B129" s="77">
        <f>'Scénario référence'!$B$16*5+'Scénario référence'!$B$17*0+'Scénario référence'!$B$18*5</f>
        <v>1.75</v>
      </c>
      <c r="C129" s="20">
        <f>Calculateur!C128+'Scénario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29" s="12">
        <f t="shared" si="86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6.416666666666667</v>
      </c>
      <c r="H129" s="70">
        <f t="shared" si="56"/>
        <v>231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69.03530790358576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3.4106051316484809E-13</v>
      </c>
      <c r="O129" s="14">
        <f>N129*VLOOKUP('Données projet'!$B$9,Paramètres!$A$1:$I$88,3,0)*VLOOKUP('Données projet'!$B$9,Paramètres!$A$1:$I$88,5,0)</f>
        <v>1.9065282685915009E-13</v>
      </c>
      <c r="P129" s="14">
        <f t="shared" si="87"/>
        <v>2.6568987209435707E-12</v>
      </c>
      <c r="Q129" s="22">
        <f t="shared" si="107"/>
        <v>4.959485612423072E-12</v>
      </c>
      <c r="R129" s="62">
        <f t="shared" si="55"/>
        <v>289.7961289798194</v>
      </c>
      <c r="S129" s="62">
        <f ca="1">AVERAGE(OFFSET($R$3,0,0,'Données projet'!$E$9+1,1))-AVERAGE(OFFSET($H$3,0,0,'Données projet'!$E$9+1,1))</f>
        <v>341.05096821796769</v>
      </c>
      <c r="T129" s="62">
        <f t="shared" si="88"/>
        <v>400.72519822215168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projet'!$B$9,Paramètres!$A$1:$I$88,7,0))</f>
        <v>0</v>
      </c>
      <c r="X129" s="17">
        <f>IF(ISNA(VLOOKUP(A129,'Données projet'!$A$35:$I$55,6,0)),0%,VLOOKUP(A129,'Données projet'!$A$35:$I$55,6,0)*VLOOKUP('Données projet'!$B$9,Paramètres!$A$1:$I$88,7,0))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projet'!$B$9,Paramètres!$A$1:$I$88,3,0)*0.475*44/12</f>
        <v>64.844980518578453</v>
      </c>
      <c r="AA129" s="23">
        <f>EXP(-LN(2)/25)*AA128+(1-EXP(-LN(2)/25))/(LN(2)/25)*Calculateur!V129*Calculateur!X129*VLOOKUP('Données projet'!$B$9,Paramètres!$A$1:$I$88,3,0)*0.475*44/12</f>
        <v>21.260650754021558</v>
      </c>
      <c r="AB129" s="23">
        <f>EXP(-LN(2)/2)*AB128+(1-EXP(-LN(2)/2))/(LN(2)/2)*V129*Y129*VLOOKUP('Données projet'!$B$9,Paramètres!$A$1:$I$88,3,0)*0.475*44/12</f>
        <v>0</v>
      </c>
      <c r="AC129" s="24">
        <f t="shared" si="57"/>
        <v>86.105631272600007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69.03530790358576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5.6843418860808015E-14</v>
      </c>
      <c r="AJ129" s="14">
        <f>AI129*VLOOKUP('Données projet'!$B$10,Paramètres!$A$1:$I$88,3,0)*VLOOKUP('Données projet'!$B$10,Paramètres!$A$1:$I$88,5,0)</f>
        <v>3.3992364478763198E-14</v>
      </c>
      <c r="AK129" s="14">
        <f t="shared" si="89"/>
        <v>5.790027782444094E-13</v>
      </c>
      <c r="AL129" s="22">
        <f t="shared" si="58"/>
        <v>1.0676332069095257E-12</v>
      </c>
      <c r="AM129" s="62">
        <f t="shared" si="59"/>
        <v>289.79612897981553</v>
      </c>
      <c r="AN129" s="62">
        <f ca="1">AVERAGE(OFFSET($AM$3,0,0,'Données projet'!$E$10+1,1))-AVERAGE(OFFSET($H$3,0,0,'Données projet'!$E$10+1,1))</f>
        <v>231.96474801342879</v>
      </c>
      <c r="AO129" s="62">
        <f t="shared" si="90"/>
        <v>237.75726086383668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projet'!$B$10,Paramètres!$A$1:$I$88,7,0))</f>
        <v>0</v>
      </c>
      <c r="AS129" s="17">
        <f>IF(ISNA(VLOOKUP(A129,'Données projet'!$A$61:$I$81,6,0)),0%,VLOOKUP(A129,'Données projet'!$A$61:$I$81,6,0)*VLOOKUP('Données projet'!$B$10,Paramètres!$A$1:$I$88,7,0))</f>
        <v>0</v>
      </c>
      <c r="AT129" s="17">
        <f>IF(ISNA(VLOOKUP(A129,'Données projet'!$A$61:$I$81,7,0)),0%,VLOOKUP(A129,'Données projet'!$A$61:$I$81,7,0))</f>
        <v>0</v>
      </c>
      <c r="AU129" s="23">
        <f>EXP(-LN(2)/35)*AU128+(1-EXP(-LN(2)/35))/(LN(2)/35)*AQ129*AR129*VLOOKUP('Données projet'!$B$10,Paramètres!$A$1:$I$88,3,0)*0.475*44/12</f>
        <v>25.571587669444479</v>
      </c>
      <c r="AV129" s="23">
        <f>EXP(-LN(2)/25)*AV128+(1-EXP(-LN(2)/25))/(LN(2)/25)*Calculateur!AQ129*Calculateur!AS129*VLOOKUP('Données projet'!$B$10,Paramètres!$A$1:$I$88,3,0)*0.475*44/12</f>
        <v>8.9778352685652631</v>
      </c>
      <c r="AW129" s="23">
        <f>EXP(-LN(2)/2)*AW128+(1-EXP(-LN(2)/2))/(LN(2)/2)*AQ129*AT129*VLOOKUP('Données projet'!$B$10,Paramètres!$A$1:$I$88,3,0)*0.475*44/12</f>
        <v>0</v>
      </c>
      <c r="AX129" s="23">
        <f t="shared" si="60"/>
        <v>34.549422938009741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69.03530790358576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6.8212102632969618E-13</v>
      </c>
      <c r="BE129" s="14">
        <f>BD129*VLOOKUP('Données projet'!$B$11,Paramètres!$A$1:$I$88,3,0)*VLOOKUP('Données projet'!$B$11,Paramètres!$A$1:$I$88,5,0)</f>
        <v>3.1923264032229784E-13</v>
      </c>
      <c r="BF129" s="14">
        <f t="shared" si="91"/>
        <v>4.1896839804541558E-12</v>
      </c>
      <c r="BG129" s="22">
        <f t="shared" si="61"/>
        <v>7.8530297811856558E-12</v>
      </c>
      <c r="BH129" s="62">
        <f t="shared" si="62"/>
        <v>289.7961289798223</v>
      </c>
      <c r="BI129" s="62">
        <f ca="1">AVERAGE(OFFSET($BH$3,0,0,'Données projet'!$E$11+1,1))-AVERAGE(OFFSET($H$3,0,0,'Données projet'!$E$11+1,1))</f>
        <v>364.96458059055169</v>
      </c>
      <c r="BJ129" s="62">
        <f t="shared" si="92"/>
        <v>246.27159120786257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projet'!$B$11,Paramètres!$A$1:$I$88,7,0))</f>
        <v>0</v>
      </c>
      <c r="BN129" s="17">
        <f>IF(ISNA(VLOOKUP(A129,'Données projet'!$A$87:$I$107,6,0)),0%,VLOOKUP(A129,'Données projet'!$A$87:$I$107,6,0)*VLOOKUP('Données projet'!$B$11,Paramètres!$A$1:$I$88,7,0))</f>
        <v>0</v>
      </c>
      <c r="BO129" s="17">
        <f>IF(ISNA(VLOOKUP(A129,'Données projet'!$A$87:$I$107,7,0)),0%,VLOOKUP(A129,'Données projet'!$A$87:$I$107,7,0))</f>
        <v>0</v>
      </c>
      <c r="BP129" s="23">
        <f>EXP(-LN(2)/35)*BP128+(1-EXP(-LN(2)/35))/(LN(2)/35)*BL129*BM129*VLOOKUP('Données projet'!$B$11,Paramètres!$A$1:$I$88,3,0)*0.475*44/12</f>
        <v>142.25602785538385</v>
      </c>
      <c r="BQ129" s="23">
        <f>EXP(-LN(2)/25)*BQ128+(1-EXP(-LN(2)/25))/(LN(2)/25)*Calculateur!BL129*Calculateur!BN129*VLOOKUP('Données projet'!$B$11,Paramètres!$A$1:$I$88,3,0)*0.475*44/12</f>
        <v>49.02211314709205</v>
      </c>
      <c r="BR129" s="23">
        <f>EXP(-LN(2)/2)*BR128+(1-EXP(-LN(2)/2))/(LN(2)/2)*BL129*BO129*VLOOKUP('Données projet'!$B$11,Paramètres!$A$1:$I$88,3,0)*0.475*44/12</f>
        <v>0</v>
      </c>
      <c r="BS129" s="24">
        <f t="shared" si="63"/>
        <v>191.27814100247591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69.03530790358576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-1.1368683772161603E-13</v>
      </c>
      <c r="BZ129" s="14">
        <f>BY129*VLOOKUP('Données projet'!$B$12,Paramètres!$A$1:$I$88,3,0)*VLOOKUP('Données projet'!$B$12,Paramètres!$A$1:$I$88,5,0)</f>
        <v>-1.1527845344971866E-13</v>
      </c>
      <c r="CA129" s="14" t="e">
        <f t="shared" si="93"/>
        <v>#NUM!</v>
      </c>
      <c r="CB129" s="22" t="e">
        <f t="shared" si="64"/>
        <v>#NUM!</v>
      </c>
      <c r="CC129" s="62" t="e">
        <f t="shared" si="65"/>
        <v>#NUM!</v>
      </c>
      <c r="CD129" s="62">
        <f ca="1">AVERAGE(OFFSET($CC$3,0,0,'Données projet'!$E$12+1,1))-AVERAGE(OFFSET($H$3,0,0,'Données projet'!$E$12+1,1))</f>
        <v>310.53598044763282</v>
      </c>
      <c r="CE129" s="62">
        <f t="shared" si="94"/>
        <v>322.01096634040596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projet'!$B$12,Paramètres!$A$1:$I$88,7,0))</f>
        <v>0</v>
      </c>
      <c r="CI129" s="17">
        <f>IF(ISNA(VLOOKUP(A129,'Données projet'!$A$113:$I$133,6,0)),0%,VLOOKUP(A129,'Données projet'!$A$113:$I$133,6,0)*VLOOKUP('Données projet'!$B$12,Paramètres!$A$1:$I$88,7,0))</f>
        <v>0</v>
      </c>
      <c r="CJ129" s="17">
        <f>IF(ISNA(VLOOKUP(A129,'Données projet'!$A$113:$I$133,7,0)),0%,VLOOKUP(A129,'Données projet'!$A$113:$I$133,7,0))</f>
        <v>0</v>
      </c>
      <c r="CK129" s="23">
        <f>EXP(-LN(2)/35)*CK128+(1-EXP(-LN(2)/35))/(LN(2)/35)*CG129*CH129*VLOOKUP('Données projet'!$B$12,Paramètres!$A$1:$I$88,3,0)*0.475*44/12</f>
        <v>19.565376986758729</v>
      </c>
      <c r="CL129" s="23">
        <f>EXP(-LN(2)/25)*CL128+(1-EXP(-LN(2)/25))/(LN(2)/25)*Calculateur!CG129*Calculateur!CI129*VLOOKUP('Données projet'!$B$12,Paramètres!$A$1:$I$88,3,0)*0.475*44/12</f>
        <v>0</v>
      </c>
      <c r="CM129" s="23">
        <f>EXP(-LN(2)/2)*CM128+(1-EXP(-LN(2)/2))/(LN(2)/2)*CG129*CJ129*VLOOKUP('Données projet'!$B$12,Paramètres!$A$1:$I$88,3,0)*0.475*44/12</f>
        <v>0</v>
      </c>
      <c r="CN129" s="24">
        <f t="shared" si="66"/>
        <v>19.565376986758729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69.03530790358576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projet'!$B$13,Paramètres!$A$1:$I$88,3,0)*VLOOKUP('Données projet'!$B$13,Paramètres!$A$1:$I$88,5,0)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projet'!$B$13,Paramètres!$A$1:$I$88,7,0))</f>
        <v>0</v>
      </c>
      <c r="DD129" s="17">
        <f>IF(ISNA(VLOOKUP(A129,'Données projet'!$A$139:$I$159,6,0)),0%,VLOOKUP(A129,'Données projet'!$A$139:$I$159,6,0)*VLOOKUP('Données projet'!$B$13,Paramètres!$A$1:$I$88,7,0))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projet'!$B$13,Paramètres!$A$1:$I$88,3,0)*0.475*44/12</f>
        <v>#N/A</v>
      </c>
      <c r="DG129" s="23" t="e">
        <f>EXP(-LN(2)/25)*DG128+(1-EXP(-LN(2)/25))/(LN(2)/25)*Calculateur!DB129*Calculateur!DD129*VLOOKUP('Données projet'!$B$13,Paramètres!$A$1:$I$88,3,0)*0.475*44/12</f>
        <v>#N/A</v>
      </c>
      <c r="DH129" s="23" t="e">
        <f>EXP(-LN(2)/2)*DH128+(1-EXP(-LN(2)/2))/(LN(2)/2)*DB129*DE129*VLOOKUP('Données projet'!$B$13,Paramètres!$A$1:$I$88,3,0)*0.475*44/12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69.03530790358576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projet'!$B$14,Paramètres!$A$1:$I$88,3,0)*VLOOKUP('Données projet'!$B$14,Paramètres!$A$1:$I$88,5,0)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projet'!$B$14,Paramètres!$A$1:$I$88,7,0))</f>
        <v>0</v>
      </c>
      <c r="DY129" s="17">
        <f>IF(ISNA(VLOOKUP(A129,'Données projet'!$A$165:$I$185,6,0)),0%,VLOOKUP(A129,'Données projet'!$A$165:$I$185,6,0)*VLOOKUP('Données projet'!$B$14,Paramètres!$A$1:$I$88,7,0))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projet'!$B$14,Paramètres!$A$1:$I$88,3,0)*0.475*44/12</f>
        <v>#N/A</v>
      </c>
      <c r="EB129" s="23" t="e">
        <f>EXP(-LN(2)/25)*EB128+(1-EXP(-LN(2)/25))/(LN(2)/25)*Calculateur!DW129*Calculateur!DY129*VLOOKUP('Données projet'!$B$14,Paramètres!$A$1:$I$88,3,0)*0.475*44/12</f>
        <v>#N/A</v>
      </c>
      <c r="EC129" s="23" t="e">
        <f>EXP(-LN(2)/2)*EC128+(1-EXP(-LN(2)/2))/(LN(2)/2)*DW129*DZ129*VLOOKUP('Données projet'!$B$14,Paramètres!$A$1:$I$88,3,0)*0.475*44/12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69.03530790358576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projet'!$B$15,Paramètres!$A$1:$I$88,3,0)*VLOOKUP('Données projet'!$B$15,Paramètres!$A$1:$I$88,5,0)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projet'!$B$15,Paramètres!$A$1:$I$88,7,0))</f>
        <v>0</v>
      </c>
      <c r="ET129" s="17">
        <f>IF(ISNA(VLOOKUP(A129,'Données projet'!$A$191:$I$211,6,0)),0%,VLOOKUP(A129,'Données projet'!$A$191:$I$211,6,0)*VLOOKUP('Données projet'!$B$15,Paramètres!$A$1:$I$88,7,0))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projet'!$B$15,Paramètres!$A$1:$I$88,3,0)*0.475*44/12</f>
        <v>#N/A</v>
      </c>
      <c r="EW129" s="23" t="e">
        <f>EXP(-LN(2)/25)*EW128+(1-EXP(-LN(2)/25))/(LN(2)/25)*Calculateur!ER129*Calculateur!ET129*VLOOKUP('Données projet'!$B$15,Paramètres!$A$1:$I$88,3,0)*0.475*44/12</f>
        <v>#N/A</v>
      </c>
      <c r="EX129" s="23" t="e">
        <f>EXP(-LN(2)/2)*EX128+(1-EXP(-LN(2)/2))/(LN(2)/2)*ER129*EU129*VLOOKUP('Données projet'!$B$15,Paramètres!$A$1:$I$88,3,0)*0.475*44/12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69.03530790358576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projet'!$B$16,Paramètres!$A$1:$I$88,3,0)*VLOOKUP('Données projet'!$B$16,Paramètres!$A$1:$I$88,5,0)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projet'!$B$16,Paramètres!$A$1:$I$88,7,0))</f>
        <v>0</v>
      </c>
      <c r="FO129" s="17">
        <f>IF(ISNA(VLOOKUP(A129,'Données projet'!$A$217:$I$237,6,0)),0%,VLOOKUP(A129,'Données projet'!$A$217:$I$237,6,0)*VLOOKUP('Données projet'!$B$16,Paramètres!$A$1:$I$88,7,0))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projet'!$B$16,Paramètres!$A$1:$I$88,3,0)*0.475*44/12</f>
        <v>#N/A</v>
      </c>
      <c r="FR129" s="23" t="e">
        <f>EXP(-LN(2)/25)*FR128+(1-EXP(-LN(2)/25))/(LN(2)/25)*Calculateur!FM129*Calculateur!FO129*VLOOKUP('Données projet'!$B$16,Paramètres!$A$1:$I$88,3,0)*0.475*44/12</f>
        <v>#N/A</v>
      </c>
      <c r="FS129" s="23" t="e">
        <f>EXP(-LN(2)/2)*FS128+(1-EXP(-LN(2)/2))/(LN(2)/2)*FM129*FP129*VLOOKUP('Données projet'!$B$16,Paramètres!$A$1:$I$88,3,0)*0.475*44/12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69.03530790358576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projet'!$B$17,Paramètres!$A$1:$I$88,3,0)*VLOOKUP('Données projet'!$B$17,Paramètres!$A$1:$I$88,5,0)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projet'!$B$17,Paramètres!$A$1:$I$88,7,0))</f>
        <v>0</v>
      </c>
      <c r="GJ129" s="17">
        <f>IF(ISNA(VLOOKUP(A129,'Données projet'!$A$243:$I$263,6,0)),0%,VLOOKUP(A129,'Données projet'!$A$243:$I$263,6,0)*VLOOKUP('Données projet'!$B$17,Paramètres!$A$1:$I$88,7,0))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projet'!$B$17,Paramètres!$A$1:$I$88,3,0)*0.475*44/12</f>
        <v>#N/A</v>
      </c>
      <c r="GM129" s="23" t="e">
        <f>EXP(-LN(2)/25)*GM128+(1-EXP(-LN(2)/25))/(LN(2)/25)*Calculateur!GH129*Calculateur!GJ129*VLOOKUP('Données projet'!$B$17,Paramètres!$A$1:$I$88,3,0)*0.475*44/12</f>
        <v>#N/A</v>
      </c>
      <c r="GN129" s="23" t="e">
        <f>EXP(-LN(2)/2)*GN128+(1-EXP(-LN(2)/2))/(LN(2)/2)*GH129*GK129*VLOOKUP('Données projet'!$B$17,Paramètres!$A$1:$I$88,3,0)*0.475*44/12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69.03530790358576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projet'!$B$18,Paramètres!$A$1:$I$88,3,0)*VLOOKUP('Données projet'!$B$18,Paramètres!$A$1:$I$88,5,0)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projet'!$B$18,Paramètres!$A$1:$I$88,7,0))</f>
        <v>0</v>
      </c>
      <c r="HE129" s="17">
        <f>IF(ISNA(VLOOKUP(A129,'Données projet'!$A$269:$I$289,6,0)),0%,VLOOKUP(A129,'Données projet'!$A$269:$I$289,6,0)*VLOOKUP('Données projet'!$B$18,Paramètres!$A$1:$I$88,7,0))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projet'!$B$18,Paramètres!$A$1:$I$88,3,0)*0.475*44/12</f>
        <v>#N/A</v>
      </c>
      <c r="HH129" s="23" t="e">
        <f>EXP(-LN(2)/25)*HH128+(1-EXP(-LN(2)/25))/(LN(2)/25)*Calculateur!HC129*Calculateur!HE129*VLOOKUP('Données projet'!$B$18,Paramètres!$A$1:$I$88,3,0)*0.475*44/12</f>
        <v>#N/A</v>
      </c>
      <c r="HI129" s="23" t="e">
        <f>EXP(-LN(2)/2)*HI128+(1-EXP(-LN(2)/2))/(LN(2)/2)*HC129*HF129*VLOOKUP('Données projet'!$B$18,Paramètres!$A$1:$I$88,3,0)*0.475*44/12</f>
        <v>#N/A</v>
      </c>
      <c r="HJ129" s="24" t="e">
        <f t="shared" si="84"/>
        <v>#N/A</v>
      </c>
    </row>
    <row r="130" spans="1:218" s="5" customFormat="1" x14ac:dyDescent="0.35">
      <c r="A130" s="11">
        <f t="shared" si="85"/>
        <v>127</v>
      </c>
      <c r="B130" s="77">
        <f>'Scénario référence'!$B$16*5+'Scénario référence'!$B$17*0+'Scénario référence'!$B$18*5</f>
        <v>1.75</v>
      </c>
      <c r="C130" s="20">
        <f>Calculateur!C129+'Scénario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30" s="12">
        <f t="shared" si="86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6.416666666666667</v>
      </c>
      <c r="H130" s="70">
        <f t="shared" si="56"/>
        <v>231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69.052043154730114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3.4106051316484809E-13</v>
      </c>
      <c r="O130" s="14">
        <f>N130*VLOOKUP('Données projet'!$B$9,Paramètres!$A$1:$I$88,3,0)*VLOOKUP('Données projet'!$B$9,Paramètres!$A$1:$I$88,5,0)</f>
        <v>1.9065282685915009E-13</v>
      </c>
      <c r="P130" s="14">
        <f t="shared" si="87"/>
        <v>2.6568987209435707E-12</v>
      </c>
      <c r="Q130" s="22">
        <f t="shared" si="107"/>
        <v>4.959485612423072E-12</v>
      </c>
      <c r="R130" s="62">
        <f t="shared" si="55"/>
        <v>289.85749156734869</v>
      </c>
      <c r="S130" s="62">
        <f ca="1">AVERAGE(OFFSET($R$3,0,0,'Données projet'!$E$9+1,1))-AVERAGE(OFFSET($H$3,0,0,'Données projet'!$E$9+1,1))</f>
        <v>341.05096821796769</v>
      </c>
      <c r="T130" s="62">
        <f t="shared" si="88"/>
        <v>400.72519822215168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projet'!$B$9,Paramètres!$A$1:$I$88,7,0))</f>
        <v>0</v>
      </c>
      <c r="X130" s="17">
        <f>IF(ISNA(VLOOKUP(A130,'Données projet'!$A$35:$I$55,6,0)),0%,VLOOKUP(A130,'Données projet'!$A$35:$I$55,6,0)*VLOOKUP('Données projet'!$B$9,Paramètres!$A$1:$I$88,7,0))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projet'!$B$9,Paramètres!$A$1:$I$88,3,0)*0.475*44/12</f>
        <v>63.573410002141856</v>
      </c>
      <c r="AA130" s="23">
        <f>EXP(-LN(2)/25)*AA129+(1-EXP(-LN(2)/25))/(LN(2)/25)*Calculateur!V130*Calculateur!X130*VLOOKUP('Données projet'!$B$9,Paramètres!$A$1:$I$88,3,0)*0.475*44/12</f>
        <v>20.679277141103807</v>
      </c>
      <c r="AB130" s="23">
        <f>EXP(-LN(2)/2)*AB129+(1-EXP(-LN(2)/2))/(LN(2)/2)*V130*Y130*VLOOKUP('Données projet'!$B$9,Paramètres!$A$1:$I$88,3,0)*0.475*44/12</f>
        <v>0</v>
      </c>
      <c r="AC130" s="24">
        <f t="shared" si="57"/>
        <v>84.252687143245666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69.052043154730114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5.6843418860808015E-14</v>
      </c>
      <c r="AJ130" s="14">
        <f>AI130*VLOOKUP('Données projet'!$B$10,Paramètres!$A$1:$I$88,3,0)*VLOOKUP('Données projet'!$B$10,Paramètres!$A$1:$I$88,5,0)</f>
        <v>3.3992364478763198E-14</v>
      </c>
      <c r="AK130" s="14">
        <f t="shared" si="89"/>
        <v>5.790027782444094E-13</v>
      </c>
      <c r="AL130" s="22">
        <f t="shared" si="58"/>
        <v>1.0676332069095257E-12</v>
      </c>
      <c r="AM130" s="62">
        <f t="shared" si="59"/>
        <v>289.85749156734482</v>
      </c>
      <c r="AN130" s="62">
        <f ca="1">AVERAGE(OFFSET($AM$3,0,0,'Données projet'!$E$10+1,1))-AVERAGE(OFFSET($H$3,0,0,'Données projet'!$E$10+1,1))</f>
        <v>231.96474801342879</v>
      </c>
      <c r="AO130" s="62">
        <f t="shared" si="90"/>
        <v>237.75726086383668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projet'!$B$10,Paramètres!$A$1:$I$88,7,0))</f>
        <v>0</v>
      </c>
      <c r="AS130" s="17">
        <f>IF(ISNA(VLOOKUP(A130,'Données projet'!$A$61:$I$81,6,0)),0%,VLOOKUP(A130,'Données projet'!$A$61:$I$81,6,0)*VLOOKUP('Données projet'!$B$10,Paramètres!$A$1:$I$88,7,0))</f>
        <v>0</v>
      </c>
      <c r="AT130" s="17">
        <f>IF(ISNA(VLOOKUP(A130,'Données projet'!$A$61:$I$81,7,0)),0%,VLOOKUP(A130,'Données projet'!$A$61:$I$81,7,0))</f>
        <v>0</v>
      </c>
      <c r="AU130" s="23">
        <f>EXP(-LN(2)/35)*AU129+(1-EXP(-LN(2)/35))/(LN(2)/35)*AQ130*AR130*VLOOKUP('Données projet'!$B$10,Paramètres!$A$1:$I$88,3,0)*0.475*44/12</f>
        <v>25.070144432375063</v>
      </c>
      <c r="AV130" s="23">
        <f>EXP(-LN(2)/25)*AV129+(1-EXP(-LN(2)/25))/(LN(2)/25)*Calculateur!AQ130*Calculateur!AS130*VLOOKUP('Données projet'!$B$10,Paramètres!$A$1:$I$88,3,0)*0.475*44/12</f>
        <v>8.7323358910225082</v>
      </c>
      <c r="AW130" s="23">
        <f>EXP(-LN(2)/2)*AW129+(1-EXP(-LN(2)/2))/(LN(2)/2)*AQ130*AT130*VLOOKUP('Données projet'!$B$10,Paramètres!$A$1:$I$88,3,0)*0.475*44/12</f>
        <v>0</v>
      </c>
      <c r="AX130" s="23">
        <f t="shared" si="60"/>
        <v>33.802480323397575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69.052043154730114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6.8212102632969618E-13</v>
      </c>
      <c r="BE130" s="14">
        <f>BD130*VLOOKUP('Données projet'!$B$11,Paramètres!$A$1:$I$88,3,0)*VLOOKUP('Données projet'!$B$11,Paramètres!$A$1:$I$88,5,0)</f>
        <v>3.1923264032229784E-13</v>
      </c>
      <c r="BF130" s="14">
        <f t="shared" si="91"/>
        <v>4.1896839804541558E-12</v>
      </c>
      <c r="BG130" s="22">
        <f t="shared" si="61"/>
        <v>7.8530297811856558E-12</v>
      </c>
      <c r="BH130" s="62">
        <f t="shared" si="62"/>
        <v>289.85749156735159</v>
      </c>
      <c r="BI130" s="62">
        <f ca="1">AVERAGE(OFFSET($BH$3,0,0,'Données projet'!$E$11+1,1))-AVERAGE(OFFSET($H$3,0,0,'Données projet'!$E$11+1,1))</f>
        <v>364.96458059055169</v>
      </c>
      <c r="BJ130" s="62">
        <f t="shared" si="92"/>
        <v>246.27159120786257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projet'!$B$11,Paramètres!$A$1:$I$88,7,0))</f>
        <v>0</v>
      </c>
      <c r="BN130" s="17">
        <f>IF(ISNA(VLOOKUP(A130,'Données projet'!$A$87:$I$107,6,0)),0%,VLOOKUP(A130,'Données projet'!$A$87:$I$107,6,0)*VLOOKUP('Données projet'!$B$11,Paramètres!$A$1:$I$88,7,0))</f>
        <v>0</v>
      </c>
      <c r="BO130" s="17">
        <f>IF(ISNA(VLOOKUP(A130,'Données projet'!$A$87:$I$107,7,0)),0%,VLOOKUP(A130,'Données projet'!$A$87:$I$107,7,0))</f>
        <v>0</v>
      </c>
      <c r="BP130" s="23">
        <f>EXP(-LN(2)/35)*BP129+(1-EXP(-LN(2)/35))/(LN(2)/35)*BL130*BM130*VLOOKUP('Données projet'!$B$11,Paramètres!$A$1:$I$88,3,0)*0.475*44/12</f>
        <v>139.46647391674918</v>
      </c>
      <c r="BQ130" s="23">
        <f>EXP(-LN(2)/25)*BQ129+(1-EXP(-LN(2)/25))/(LN(2)/25)*Calculateur!BL130*Calculateur!BN130*VLOOKUP('Données projet'!$B$11,Paramètres!$A$1:$I$88,3,0)*0.475*44/12</f>
        <v>47.681600885123927</v>
      </c>
      <c r="BR130" s="23">
        <f>EXP(-LN(2)/2)*BR129+(1-EXP(-LN(2)/2))/(LN(2)/2)*BL130*BO130*VLOOKUP('Données projet'!$B$11,Paramètres!$A$1:$I$88,3,0)*0.475*44/12</f>
        <v>0</v>
      </c>
      <c r="BS130" s="24">
        <f t="shared" si="63"/>
        <v>187.14807480187312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69.052043154730114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-1.1368683772161603E-13</v>
      </c>
      <c r="BZ130" s="14">
        <f>BY130*VLOOKUP('Données projet'!$B$12,Paramètres!$A$1:$I$88,3,0)*VLOOKUP('Données projet'!$B$12,Paramètres!$A$1:$I$88,5,0)</f>
        <v>-1.1527845344971866E-13</v>
      </c>
      <c r="CA130" s="14" t="e">
        <f t="shared" si="93"/>
        <v>#NUM!</v>
      </c>
      <c r="CB130" s="22" t="e">
        <f t="shared" si="64"/>
        <v>#NUM!</v>
      </c>
      <c r="CC130" s="62" t="e">
        <f t="shared" si="65"/>
        <v>#NUM!</v>
      </c>
      <c r="CD130" s="62">
        <f ca="1">AVERAGE(OFFSET($CC$3,0,0,'Données projet'!$E$12+1,1))-AVERAGE(OFFSET($H$3,0,0,'Données projet'!$E$12+1,1))</f>
        <v>310.53598044763282</v>
      </c>
      <c r="CE130" s="62">
        <f t="shared" si="94"/>
        <v>322.01096634040596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projet'!$B$12,Paramètres!$A$1:$I$88,7,0))</f>
        <v>0</v>
      </c>
      <c r="CI130" s="17">
        <f>IF(ISNA(VLOOKUP(A130,'Données projet'!$A$113:$I$133,6,0)),0%,VLOOKUP(A130,'Données projet'!$A$113:$I$133,6,0)*VLOOKUP('Données projet'!$B$12,Paramètres!$A$1:$I$88,7,0))</f>
        <v>0</v>
      </c>
      <c r="CJ130" s="17">
        <f>IF(ISNA(VLOOKUP(A130,'Données projet'!$A$113:$I$133,7,0)),0%,VLOOKUP(A130,'Données projet'!$A$113:$I$133,7,0))</f>
        <v>0</v>
      </c>
      <c r="CK130" s="23">
        <f>EXP(-LN(2)/35)*CK129+(1-EXP(-LN(2)/35))/(LN(2)/35)*CG130*CH130*VLOOKUP('Données projet'!$B$12,Paramètres!$A$1:$I$88,3,0)*0.475*44/12</f>
        <v>19.181711877749997</v>
      </c>
      <c r="CL130" s="23">
        <f>EXP(-LN(2)/25)*CL129+(1-EXP(-LN(2)/25))/(LN(2)/25)*Calculateur!CG130*Calculateur!CI130*VLOOKUP('Données projet'!$B$12,Paramètres!$A$1:$I$88,3,0)*0.475*44/12</f>
        <v>0</v>
      </c>
      <c r="CM130" s="23">
        <f>EXP(-LN(2)/2)*CM129+(1-EXP(-LN(2)/2))/(LN(2)/2)*CG130*CJ130*VLOOKUP('Données projet'!$B$12,Paramètres!$A$1:$I$88,3,0)*0.475*44/12</f>
        <v>0</v>
      </c>
      <c r="CN130" s="24">
        <f t="shared" si="66"/>
        <v>19.181711877749997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69.052043154730114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projet'!$B$13,Paramètres!$A$1:$I$88,3,0)*VLOOKUP('Données projet'!$B$13,Paramètres!$A$1:$I$88,5,0)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projet'!$B$13,Paramètres!$A$1:$I$88,7,0))</f>
        <v>0</v>
      </c>
      <c r="DD130" s="17">
        <f>IF(ISNA(VLOOKUP(A130,'Données projet'!$A$139:$I$159,6,0)),0%,VLOOKUP(A130,'Données projet'!$A$139:$I$159,6,0)*VLOOKUP('Données projet'!$B$13,Paramètres!$A$1:$I$88,7,0))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projet'!$B$13,Paramètres!$A$1:$I$88,3,0)*0.475*44/12</f>
        <v>#N/A</v>
      </c>
      <c r="DG130" s="23" t="e">
        <f>EXP(-LN(2)/25)*DG129+(1-EXP(-LN(2)/25))/(LN(2)/25)*Calculateur!DB130*Calculateur!DD130*VLOOKUP('Données projet'!$B$13,Paramètres!$A$1:$I$88,3,0)*0.475*44/12</f>
        <v>#N/A</v>
      </c>
      <c r="DH130" s="23" t="e">
        <f>EXP(-LN(2)/2)*DH129+(1-EXP(-LN(2)/2))/(LN(2)/2)*DB130*DE130*VLOOKUP('Données projet'!$B$13,Paramètres!$A$1:$I$88,3,0)*0.475*44/12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69.052043154730114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projet'!$B$14,Paramètres!$A$1:$I$88,3,0)*VLOOKUP('Données projet'!$B$14,Paramètres!$A$1:$I$88,5,0)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projet'!$B$14,Paramètres!$A$1:$I$88,7,0))</f>
        <v>0</v>
      </c>
      <c r="DY130" s="17">
        <f>IF(ISNA(VLOOKUP(A130,'Données projet'!$A$165:$I$185,6,0)),0%,VLOOKUP(A130,'Données projet'!$A$165:$I$185,6,0)*VLOOKUP('Données projet'!$B$14,Paramètres!$A$1:$I$88,7,0))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projet'!$B$14,Paramètres!$A$1:$I$88,3,0)*0.475*44/12</f>
        <v>#N/A</v>
      </c>
      <c r="EB130" s="23" t="e">
        <f>EXP(-LN(2)/25)*EB129+(1-EXP(-LN(2)/25))/(LN(2)/25)*Calculateur!DW130*Calculateur!DY130*VLOOKUP('Données projet'!$B$14,Paramètres!$A$1:$I$88,3,0)*0.475*44/12</f>
        <v>#N/A</v>
      </c>
      <c r="EC130" s="23" t="e">
        <f>EXP(-LN(2)/2)*EC129+(1-EXP(-LN(2)/2))/(LN(2)/2)*DW130*DZ130*VLOOKUP('Données projet'!$B$14,Paramètres!$A$1:$I$88,3,0)*0.475*44/12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69.052043154730114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projet'!$B$15,Paramètres!$A$1:$I$88,3,0)*VLOOKUP('Données projet'!$B$15,Paramètres!$A$1:$I$88,5,0)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projet'!$B$15,Paramètres!$A$1:$I$88,7,0))</f>
        <v>0</v>
      </c>
      <c r="ET130" s="17">
        <f>IF(ISNA(VLOOKUP(A130,'Données projet'!$A$191:$I$211,6,0)),0%,VLOOKUP(A130,'Données projet'!$A$191:$I$211,6,0)*VLOOKUP('Données projet'!$B$15,Paramètres!$A$1:$I$88,7,0))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projet'!$B$15,Paramètres!$A$1:$I$88,3,0)*0.475*44/12</f>
        <v>#N/A</v>
      </c>
      <c r="EW130" s="23" t="e">
        <f>EXP(-LN(2)/25)*EW129+(1-EXP(-LN(2)/25))/(LN(2)/25)*Calculateur!ER130*Calculateur!ET130*VLOOKUP('Données projet'!$B$15,Paramètres!$A$1:$I$88,3,0)*0.475*44/12</f>
        <v>#N/A</v>
      </c>
      <c r="EX130" s="23" t="e">
        <f>EXP(-LN(2)/2)*EX129+(1-EXP(-LN(2)/2))/(LN(2)/2)*ER130*EU130*VLOOKUP('Données projet'!$B$15,Paramètres!$A$1:$I$88,3,0)*0.475*44/12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69.052043154730114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projet'!$B$16,Paramètres!$A$1:$I$88,3,0)*VLOOKUP('Données projet'!$B$16,Paramètres!$A$1:$I$88,5,0)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projet'!$B$16,Paramètres!$A$1:$I$88,7,0))</f>
        <v>0</v>
      </c>
      <c r="FO130" s="17">
        <f>IF(ISNA(VLOOKUP(A130,'Données projet'!$A$217:$I$237,6,0)),0%,VLOOKUP(A130,'Données projet'!$A$217:$I$237,6,0)*VLOOKUP('Données projet'!$B$16,Paramètres!$A$1:$I$88,7,0))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projet'!$B$16,Paramètres!$A$1:$I$88,3,0)*0.475*44/12</f>
        <v>#N/A</v>
      </c>
      <c r="FR130" s="23" t="e">
        <f>EXP(-LN(2)/25)*FR129+(1-EXP(-LN(2)/25))/(LN(2)/25)*Calculateur!FM130*Calculateur!FO130*VLOOKUP('Données projet'!$B$16,Paramètres!$A$1:$I$88,3,0)*0.475*44/12</f>
        <v>#N/A</v>
      </c>
      <c r="FS130" s="23" t="e">
        <f>EXP(-LN(2)/2)*FS129+(1-EXP(-LN(2)/2))/(LN(2)/2)*FM130*FP130*VLOOKUP('Données projet'!$B$16,Paramètres!$A$1:$I$88,3,0)*0.475*44/12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69.052043154730114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projet'!$B$17,Paramètres!$A$1:$I$88,3,0)*VLOOKUP('Données projet'!$B$17,Paramètres!$A$1:$I$88,5,0)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projet'!$B$17,Paramètres!$A$1:$I$88,7,0))</f>
        <v>0</v>
      </c>
      <c r="GJ130" s="17">
        <f>IF(ISNA(VLOOKUP(A130,'Données projet'!$A$243:$I$263,6,0)),0%,VLOOKUP(A130,'Données projet'!$A$243:$I$263,6,0)*VLOOKUP('Données projet'!$B$17,Paramètres!$A$1:$I$88,7,0))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projet'!$B$17,Paramètres!$A$1:$I$88,3,0)*0.475*44/12</f>
        <v>#N/A</v>
      </c>
      <c r="GM130" s="23" t="e">
        <f>EXP(-LN(2)/25)*GM129+(1-EXP(-LN(2)/25))/(LN(2)/25)*Calculateur!GH130*Calculateur!GJ130*VLOOKUP('Données projet'!$B$17,Paramètres!$A$1:$I$88,3,0)*0.475*44/12</f>
        <v>#N/A</v>
      </c>
      <c r="GN130" s="23" t="e">
        <f>EXP(-LN(2)/2)*GN129+(1-EXP(-LN(2)/2))/(LN(2)/2)*GH130*GK130*VLOOKUP('Données projet'!$B$17,Paramètres!$A$1:$I$88,3,0)*0.475*44/12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69.052043154730114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projet'!$B$18,Paramètres!$A$1:$I$88,3,0)*VLOOKUP('Données projet'!$B$18,Paramètres!$A$1:$I$88,5,0)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projet'!$B$18,Paramètres!$A$1:$I$88,7,0))</f>
        <v>0</v>
      </c>
      <c r="HE130" s="17">
        <f>IF(ISNA(VLOOKUP(A130,'Données projet'!$A$269:$I$289,6,0)),0%,VLOOKUP(A130,'Données projet'!$A$269:$I$289,6,0)*VLOOKUP('Données projet'!$B$18,Paramètres!$A$1:$I$88,7,0))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projet'!$B$18,Paramètres!$A$1:$I$88,3,0)*0.475*44/12</f>
        <v>#N/A</v>
      </c>
      <c r="HH130" s="23" t="e">
        <f>EXP(-LN(2)/25)*HH129+(1-EXP(-LN(2)/25))/(LN(2)/25)*Calculateur!HC130*Calculateur!HE130*VLOOKUP('Données projet'!$B$18,Paramètres!$A$1:$I$88,3,0)*0.475*44/12</f>
        <v>#N/A</v>
      </c>
      <c r="HI130" s="23" t="e">
        <f>EXP(-LN(2)/2)*HI129+(1-EXP(-LN(2)/2))/(LN(2)/2)*HC130*HF130*VLOOKUP('Données projet'!$B$18,Paramètres!$A$1:$I$88,3,0)*0.475*44/12</f>
        <v>#N/A</v>
      </c>
      <c r="HJ130" s="24" t="e">
        <f t="shared" si="84"/>
        <v>#N/A</v>
      </c>
    </row>
    <row r="131" spans="1:218" s="5" customFormat="1" x14ac:dyDescent="0.35">
      <c r="A131" s="11">
        <f t="shared" si="85"/>
        <v>128</v>
      </c>
      <c r="B131" s="77">
        <f>'Scénario référence'!$B$16*5+'Scénario référence'!$B$17*0+'Scénario référence'!$B$18*5</f>
        <v>1.75</v>
      </c>
      <c r="C131" s="20">
        <f>Calculateur!C130+'Scénario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31" s="12">
        <f t="shared" si="86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6.416666666666667</v>
      </c>
      <c r="H131" s="70">
        <f t="shared" si="56"/>
        <v>231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69.06848808668154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3.4106051316484809E-13</v>
      </c>
      <c r="O131" s="14">
        <f>N131*VLOOKUP('Données projet'!$B$9,Paramètres!$A$1:$I$88,3,0)*VLOOKUP('Données projet'!$B$9,Paramètres!$A$1:$I$88,5,0)</f>
        <v>1.9065282685915009E-13</v>
      </c>
      <c r="P131" s="14">
        <f t="shared" si="87"/>
        <v>2.6568987209435707E-12</v>
      </c>
      <c r="Q131" s="22">
        <f t="shared" ref="Q131:Q153" si="108">(O131+P131)*0.475*44/12</f>
        <v>4.959485612423072E-12</v>
      </c>
      <c r="R131" s="62">
        <f t="shared" ref="R131:R194" si="109">Q131+(I131+J131)*44/12</f>
        <v>289.91778965117061</v>
      </c>
      <c r="S131" s="62">
        <f ca="1">AVERAGE(OFFSET($R$3,0,0,'Données projet'!$E$9+1,1))-AVERAGE(OFFSET($H$3,0,0,'Données projet'!$E$9+1,1))</f>
        <v>341.05096821796769</v>
      </c>
      <c r="T131" s="62">
        <f t="shared" si="88"/>
        <v>400.72519822215168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projet'!$B$9,Paramètres!$A$1:$I$88,7,0))</f>
        <v>0</v>
      </c>
      <c r="X131" s="17">
        <f>IF(ISNA(VLOOKUP(A131,'Données projet'!$A$35:$I$55,6,0)),0%,VLOOKUP(A131,'Données projet'!$A$35:$I$55,6,0)*VLOOKUP('Données projet'!$B$9,Paramètres!$A$1:$I$88,7,0))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projet'!$B$9,Paramètres!$A$1:$I$88,3,0)*0.475*44/12</f>
        <v>62.326774207951146</v>
      </c>
      <c r="AA131" s="23">
        <f>EXP(-LN(2)/25)*AA130+(1-EXP(-LN(2)/25))/(LN(2)/25)*Calculateur!V131*Calculateur!X131*VLOOKUP('Données projet'!$B$9,Paramètres!$A$1:$I$88,3,0)*0.475*44/12</f>
        <v>20.113801220204401</v>
      </c>
      <c r="AB131" s="23">
        <f>EXP(-LN(2)/2)*AB130+(1-EXP(-LN(2)/2))/(LN(2)/2)*V131*Y131*VLOOKUP('Données projet'!$B$9,Paramètres!$A$1:$I$88,3,0)*0.475*44/12</f>
        <v>0</v>
      </c>
      <c r="AC131" s="24">
        <f t="shared" si="57"/>
        <v>82.44057542815554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69.06848808668154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5.6843418860808015E-14</v>
      </c>
      <c r="AJ131" s="14">
        <f>AI131*VLOOKUP('Données projet'!$B$10,Paramètres!$A$1:$I$88,3,0)*VLOOKUP('Données projet'!$B$10,Paramètres!$A$1:$I$88,5,0)</f>
        <v>3.3992364478763198E-14</v>
      </c>
      <c r="AK131" s="14">
        <f t="shared" si="89"/>
        <v>5.790027782444094E-13</v>
      </c>
      <c r="AL131" s="22">
        <f t="shared" si="58"/>
        <v>1.0676332069095257E-12</v>
      </c>
      <c r="AM131" s="62">
        <f t="shared" si="59"/>
        <v>289.91778965116674</v>
      </c>
      <c r="AN131" s="62">
        <f ca="1">AVERAGE(OFFSET($AM$3,0,0,'Données projet'!$E$10+1,1))-AVERAGE(OFFSET($H$3,0,0,'Données projet'!$E$10+1,1))</f>
        <v>231.96474801342879</v>
      </c>
      <c r="AO131" s="62">
        <f t="shared" si="90"/>
        <v>237.75726086383668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projet'!$B$10,Paramètres!$A$1:$I$88,7,0))</f>
        <v>0</v>
      </c>
      <c r="AS131" s="17">
        <f>IF(ISNA(VLOOKUP(A131,'Données projet'!$A$61:$I$81,6,0)),0%,VLOOKUP(A131,'Données projet'!$A$61:$I$81,6,0)*VLOOKUP('Données projet'!$B$10,Paramètres!$A$1:$I$88,7,0))</f>
        <v>0</v>
      </c>
      <c r="AT131" s="17">
        <f>IF(ISNA(VLOOKUP(A131,'Données projet'!$A$61:$I$81,7,0)),0%,VLOOKUP(A131,'Données projet'!$A$61:$I$81,7,0))</f>
        <v>0</v>
      </c>
      <c r="AU131" s="23">
        <f>EXP(-LN(2)/35)*AU130+(1-EXP(-LN(2)/35))/(LN(2)/35)*AQ131*AR131*VLOOKUP('Données projet'!$B$10,Paramètres!$A$1:$I$88,3,0)*0.475*44/12</f>
        <v>24.578534191334402</v>
      </c>
      <c r="AV131" s="23">
        <f>EXP(-LN(2)/25)*AV130+(1-EXP(-LN(2)/25))/(LN(2)/25)*Calculateur!AQ131*Calculateur!AS131*VLOOKUP('Données projet'!$B$10,Paramètres!$A$1:$I$88,3,0)*0.475*44/12</f>
        <v>8.4935497068689116</v>
      </c>
      <c r="AW131" s="23">
        <f>EXP(-LN(2)/2)*AW130+(1-EXP(-LN(2)/2))/(LN(2)/2)*AQ131*AT131*VLOOKUP('Données projet'!$B$10,Paramètres!$A$1:$I$88,3,0)*0.475*44/12</f>
        <v>0</v>
      </c>
      <c r="AX131" s="23">
        <f t="shared" si="60"/>
        <v>33.072083898203317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69.06848808668154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6.8212102632969618E-13</v>
      </c>
      <c r="BE131" s="14">
        <f>BD131*VLOOKUP('Données projet'!$B$11,Paramètres!$A$1:$I$88,3,0)*VLOOKUP('Données projet'!$B$11,Paramètres!$A$1:$I$88,5,0)</f>
        <v>3.1923264032229784E-13</v>
      </c>
      <c r="BF131" s="14">
        <f t="shared" si="91"/>
        <v>4.1896839804541558E-12</v>
      </c>
      <c r="BG131" s="22">
        <f t="shared" si="61"/>
        <v>7.8530297811856558E-12</v>
      </c>
      <c r="BH131" s="62">
        <f t="shared" si="62"/>
        <v>289.91778965117351</v>
      </c>
      <c r="BI131" s="62">
        <f ca="1">AVERAGE(OFFSET($BH$3,0,0,'Données projet'!$E$11+1,1))-AVERAGE(OFFSET($H$3,0,0,'Données projet'!$E$11+1,1))</f>
        <v>364.96458059055169</v>
      </c>
      <c r="BJ131" s="62">
        <f t="shared" si="92"/>
        <v>246.27159120786257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projet'!$B$11,Paramètres!$A$1:$I$88,7,0))</f>
        <v>0</v>
      </c>
      <c r="BN131" s="17">
        <f>IF(ISNA(VLOOKUP(A131,'Données projet'!$A$87:$I$107,6,0)),0%,VLOOKUP(A131,'Données projet'!$A$87:$I$107,6,0)*VLOOKUP('Données projet'!$B$11,Paramètres!$A$1:$I$88,7,0))</f>
        <v>0</v>
      </c>
      <c r="BO131" s="17">
        <f>IF(ISNA(VLOOKUP(A131,'Données projet'!$A$87:$I$107,7,0)),0%,VLOOKUP(A131,'Données projet'!$A$87:$I$107,7,0))</f>
        <v>0</v>
      </c>
      <c r="BP131" s="23">
        <f>EXP(-LN(2)/35)*BP130+(1-EXP(-LN(2)/35))/(LN(2)/35)*BL131*BM131*VLOOKUP('Données projet'!$B$11,Paramètres!$A$1:$I$88,3,0)*0.475*44/12</f>
        <v>136.73162142939123</v>
      </c>
      <c r="BQ131" s="23">
        <f>EXP(-LN(2)/25)*BQ130+(1-EXP(-LN(2)/25))/(LN(2)/25)*Calculateur!BL131*Calculateur!BN131*VLOOKUP('Données projet'!$B$11,Paramètres!$A$1:$I$88,3,0)*0.475*44/12</f>
        <v>46.377745001453803</v>
      </c>
      <c r="BR131" s="23">
        <f>EXP(-LN(2)/2)*BR130+(1-EXP(-LN(2)/2))/(LN(2)/2)*BL131*BO131*VLOOKUP('Données projet'!$B$11,Paramètres!$A$1:$I$88,3,0)*0.475*44/12</f>
        <v>0</v>
      </c>
      <c r="BS131" s="24">
        <f t="shared" si="63"/>
        <v>183.10936643084503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69.06848808668154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-1.1368683772161603E-13</v>
      </c>
      <c r="BZ131" s="14">
        <f>BY131*VLOOKUP('Données projet'!$B$12,Paramètres!$A$1:$I$88,3,0)*VLOOKUP('Données projet'!$B$12,Paramètres!$A$1:$I$88,5,0)</f>
        <v>-1.1527845344971866E-13</v>
      </c>
      <c r="CA131" s="14" t="e">
        <f t="shared" si="93"/>
        <v>#NUM!</v>
      </c>
      <c r="CB131" s="22" t="e">
        <f t="shared" si="64"/>
        <v>#NUM!</v>
      </c>
      <c r="CC131" s="62" t="e">
        <f t="shared" si="65"/>
        <v>#NUM!</v>
      </c>
      <c r="CD131" s="62">
        <f ca="1">AVERAGE(OFFSET($CC$3,0,0,'Données projet'!$E$12+1,1))-AVERAGE(OFFSET($H$3,0,0,'Données projet'!$E$12+1,1))</f>
        <v>310.53598044763282</v>
      </c>
      <c r="CE131" s="62">
        <f t="shared" si="94"/>
        <v>322.01096634040596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projet'!$B$12,Paramètres!$A$1:$I$88,7,0))</f>
        <v>0</v>
      </c>
      <c r="CI131" s="17">
        <f>IF(ISNA(VLOOKUP(A131,'Données projet'!$A$113:$I$133,6,0)),0%,VLOOKUP(A131,'Données projet'!$A$113:$I$133,6,0)*VLOOKUP('Données projet'!$B$12,Paramètres!$A$1:$I$88,7,0))</f>
        <v>0</v>
      </c>
      <c r="CJ131" s="17">
        <f>IF(ISNA(VLOOKUP(A131,'Données projet'!$A$113:$I$133,7,0)),0%,VLOOKUP(A131,'Données projet'!$A$113:$I$133,7,0))</f>
        <v>0</v>
      </c>
      <c r="CK131" s="23">
        <f>EXP(-LN(2)/35)*CK130+(1-EXP(-LN(2)/35))/(LN(2)/35)*CG131*CH131*VLOOKUP('Données projet'!$B$12,Paramètres!$A$1:$I$88,3,0)*0.475*44/12</f>
        <v>18.805570207516318</v>
      </c>
      <c r="CL131" s="23">
        <f>EXP(-LN(2)/25)*CL130+(1-EXP(-LN(2)/25))/(LN(2)/25)*Calculateur!CG131*Calculateur!CI131*VLOOKUP('Données projet'!$B$12,Paramètres!$A$1:$I$88,3,0)*0.475*44/12</f>
        <v>0</v>
      </c>
      <c r="CM131" s="23">
        <f>EXP(-LN(2)/2)*CM130+(1-EXP(-LN(2)/2))/(LN(2)/2)*CG131*CJ131*VLOOKUP('Données projet'!$B$12,Paramètres!$A$1:$I$88,3,0)*0.475*44/12</f>
        <v>0</v>
      </c>
      <c r="CN131" s="24">
        <f t="shared" si="66"/>
        <v>18.805570207516318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69.06848808668154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projet'!$B$13,Paramètres!$A$1:$I$88,3,0)*VLOOKUP('Données projet'!$B$13,Paramètres!$A$1:$I$88,5,0)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projet'!$B$13,Paramètres!$A$1:$I$88,7,0))</f>
        <v>0</v>
      </c>
      <c r="DD131" s="17">
        <f>IF(ISNA(VLOOKUP(A131,'Données projet'!$A$139:$I$159,6,0)),0%,VLOOKUP(A131,'Données projet'!$A$139:$I$159,6,0)*VLOOKUP('Données projet'!$B$13,Paramètres!$A$1:$I$88,7,0))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projet'!$B$13,Paramètres!$A$1:$I$88,3,0)*0.475*44/12</f>
        <v>#N/A</v>
      </c>
      <c r="DG131" s="23" t="e">
        <f>EXP(-LN(2)/25)*DG130+(1-EXP(-LN(2)/25))/(LN(2)/25)*Calculateur!DB131*Calculateur!DD131*VLOOKUP('Données projet'!$B$13,Paramètres!$A$1:$I$88,3,0)*0.475*44/12</f>
        <v>#N/A</v>
      </c>
      <c r="DH131" s="23" t="e">
        <f>EXP(-LN(2)/2)*DH130+(1-EXP(-LN(2)/2))/(LN(2)/2)*DB131*DE131*VLOOKUP('Données projet'!$B$13,Paramètres!$A$1:$I$88,3,0)*0.475*44/12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69.06848808668154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projet'!$B$14,Paramètres!$A$1:$I$88,3,0)*VLOOKUP('Données projet'!$B$14,Paramètres!$A$1:$I$88,5,0)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projet'!$B$14,Paramètres!$A$1:$I$88,7,0))</f>
        <v>0</v>
      </c>
      <c r="DY131" s="17">
        <f>IF(ISNA(VLOOKUP(A131,'Données projet'!$A$165:$I$185,6,0)),0%,VLOOKUP(A131,'Données projet'!$A$165:$I$185,6,0)*VLOOKUP('Données projet'!$B$14,Paramètres!$A$1:$I$88,7,0))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projet'!$B$14,Paramètres!$A$1:$I$88,3,0)*0.475*44/12</f>
        <v>#N/A</v>
      </c>
      <c r="EB131" s="23" t="e">
        <f>EXP(-LN(2)/25)*EB130+(1-EXP(-LN(2)/25))/(LN(2)/25)*Calculateur!DW131*Calculateur!DY131*VLOOKUP('Données projet'!$B$14,Paramètres!$A$1:$I$88,3,0)*0.475*44/12</f>
        <v>#N/A</v>
      </c>
      <c r="EC131" s="23" t="e">
        <f>EXP(-LN(2)/2)*EC130+(1-EXP(-LN(2)/2))/(LN(2)/2)*DW131*DZ131*VLOOKUP('Données projet'!$B$14,Paramètres!$A$1:$I$88,3,0)*0.475*44/12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69.06848808668154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projet'!$B$15,Paramètres!$A$1:$I$88,3,0)*VLOOKUP('Données projet'!$B$15,Paramètres!$A$1:$I$88,5,0)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projet'!$B$15,Paramètres!$A$1:$I$88,7,0))</f>
        <v>0</v>
      </c>
      <c r="ET131" s="17">
        <f>IF(ISNA(VLOOKUP(A131,'Données projet'!$A$191:$I$211,6,0)),0%,VLOOKUP(A131,'Données projet'!$A$191:$I$211,6,0)*VLOOKUP('Données projet'!$B$15,Paramètres!$A$1:$I$88,7,0))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projet'!$B$15,Paramètres!$A$1:$I$88,3,0)*0.475*44/12</f>
        <v>#N/A</v>
      </c>
      <c r="EW131" s="23" t="e">
        <f>EXP(-LN(2)/25)*EW130+(1-EXP(-LN(2)/25))/(LN(2)/25)*Calculateur!ER131*Calculateur!ET131*VLOOKUP('Données projet'!$B$15,Paramètres!$A$1:$I$88,3,0)*0.475*44/12</f>
        <v>#N/A</v>
      </c>
      <c r="EX131" s="23" t="e">
        <f>EXP(-LN(2)/2)*EX130+(1-EXP(-LN(2)/2))/(LN(2)/2)*ER131*EU131*VLOOKUP('Données projet'!$B$15,Paramètres!$A$1:$I$88,3,0)*0.475*44/12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69.06848808668154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projet'!$B$16,Paramètres!$A$1:$I$88,3,0)*VLOOKUP('Données projet'!$B$16,Paramètres!$A$1:$I$88,5,0)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projet'!$B$16,Paramètres!$A$1:$I$88,7,0))</f>
        <v>0</v>
      </c>
      <c r="FO131" s="17">
        <f>IF(ISNA(VLOOKUP(A131,'Données projet'!$A$217:$I$237,6,0)),0%,VLOOKUP(A131,'Données projet'!$A$217:$I$237,6,0)*VLOOKUP('Données projet'!$B$16,Paramètres!$A$1:$I$88,7,0))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projet'!$B$16,Paramètres!$A$1:$I$88,3,0)*0.475*44/12</f>
        <v>#N/A</v>
      </c>
      <c r="FR131" s="23" t="e">
        <f>EXP(-LN(2)/25)*FR130+(1-EXP(-LN(2)/25))/(LN(2)/25)*Calculateur!FM131*Calculateur!FO131*VLOOKUP('Données projet'!$B$16,Paramètres!$A$1:$I$88,3,0)*0.475*44/12</f>
        <v>#N/A</v>
      </c>
      <c r="FS131" s="23" t="e">
        <f>EXP(-LN(2)/2)*FS130+(1-EXP(-LN(2)/2))/(LN(2)/2)*FM131*FP131*VLOOKUP('Données projet'!$B$16,Paramètres!$A$1:$I$88,3,0)*0.475*44/12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69.06848808668154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projet'!$B$17,Paramètres!$A$1:$I$88,3,0)*VLOOKUP('Données projet'!$B$17,Paramètres!$A$1:$I$88,5,0)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projet'!$B$17,Paramètres!$A$1:$I$88,7,0))</f>
        <v>0</v>
      </c>
      <c r="GJ131" s="17">
        <f>IF(ISNA(VLOOKUP(A131,'Données projet'!$A$243:$I$263,6,0)),0%,VLOOKUP(A131,'Données projet'!$A$243:$I$263,6,0)*VLOOKUP('Données projet'!$B$17,Paramètres!$A$1:$I$88,7,0))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projet'!$B$17,Paramètres!$A$1:$I$88,3,0)*0.475*44/12</f>
        <v>#N/A</v>
      </c>
      <c r="GM131" s="23" t="e">
        <f>EXP(-LN(2)/25)*GM130+(1-EXP(-LN(2)/25))/(LN(2)/25)*Calculateur!GH131*Calculateur!GJ131*VLOOKUP('Données projet'!$B$17,Paramètres!$A$1:$I$88,3,0)*0.475*44/12</f>
        <v>#N/A</v>
      </c>
      <c r="GN131" s="23" t="e">
        <f>EXP(-LN(2)/2)*GN130+(1-EXP(-LN(2)/2))/(LN(2)/2)*GH131*GK131*VLOOKUP('Données projet'!$B$17,Paramètres!$A$1:$I$88,3,0)*0.475*44/12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69.06848808668154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projet'!$B$18,Paramètres!$A$1:$I$88,3,0)*VLOOKUP('Données projet'!$B$18,Paramètres!$A$1:$I$88,5,0)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projet'!$B$18,Paramètres!$A$1:$I$88,7,0))</f>
        <v>0</v>
      </c>
      <c r="HE131" s="17">
        <f>IF(ISNA(VLOOKUP(A131,'Données projet'!$A$269:$I$289,6,0)),0%,VLOOKUP(A131,'Données projet'!$A$269:$I$289,6,0)*VLOOKUP('Données projet'!$B$18,Paramètres!$A$1:$I$88,7,0))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projet'!$B$18,Paramètres!$A$1:$I$88,3,0)*0.475*44/12</f>
        <v>#N/A</v>
      </c>
      <c r="HH131" s="23" t="e">
        <f>EXP(-LN(2)/25)*HH130+(1-EXP(-LN(2)/25))/(LN(2)/25)*Calculateur!HC131*Calculateur!HE131*VLOOKUP('Données projet'!$B$18,Paramètres!$A$1:$I$88,3,0)*0.475*44/12</f>
        <v>#N/A</v>
      </c>
      <c r="HI131" s="23" t="e">
        <f>EXP(-LN(2)/2)*HI130+(1-EXP(-LN(2)/2))/(LN(2)/2)*HC131*HF131*VLOOKUP('Données projet'!$B$18,Paramètres!$A$1:$I$88,3,0)*0.475*44/12</f>
        <v>#N/A</v>
      </c>
      <c r="HJ131" s="24" t="e">
        <f t="shared" si="84"/>
        <v>#N/A</v>
      </c>
    </row>
    <row r="132" spans="1:218" s="5" customFormat="1" x14ac:dyDescent="0.35">
      <c r="A132" s="11">
        <f t="shared" si="85"/>
        <v>129</v>
      </c>
      <c r="B132" s="77">
        <f>'Scénario référence'!$B$16*5+'Scénario référence'!$B$17*0+'Scénario référence'!$B$18*5</f>
        <v>1.75</v>
      </c>
      <c r="C132" s="20">
        <f>Calculateur!C131+'Scénario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32" s="12">
        <f t="shared" si="86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6.416666666666667</v>
      </c>
      <c r="H132" s="70">
        <f t="shared" ref="H132:H195" si="110">(B132+E132+F132)*44/12+(C132+D132)*0.475*44/12</f>
        <v>231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69.084647735828966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3.4106051316484809E-13</v>
      </c>
      <c r="O132" s="14">
        <f>N132*VLOOKUP('Données projet'!$B$9,Paramètres!$A$1:$I$88,3,0)*VLOOKUP('Données projet'!$B$9,Paramètres!$A$1:$I$88,5,0)</f>
        <v>1.9065282685915009E-13</v>
      </c>
      <c r="P132" s="14">
        <f t="shared" si="87"/>
        <v>2.6568987209435707E-12</v>
      </c>
      <c r="Q132" s="22">
        <f t="shared" si="108"/>
        <v>4.959485612423072E-12</v>
      </c>
      <c r="R132" s="62">
        <f t="shared" si="109"/>
        <v>289.9770416980445</v>
      </c>
      <c r="S132" s="62">
        <f ca="1">AVERAGE(OFFSET($R$3,0,0,'Données projet'!$E$9+1,1))-AVERAGE(OFFSET($H$3,0,0,'Données projet'!$E$9+1,1))</f>
        <v>341.05096821796769</v>
      </c>
      <c r="T132" s="62">
        <f t="shared" si="88"/>
        <v>400.72519822215168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projet'!$B$9,Paramètres!$A$1:$I$88,7,0))</f>
        <v>0</v>
      </c>
      <c r="X132" s="17">
        <f>IF(ISNA(VLOOKUP(A132,'Données projet'!$A$35:$I$55,6,0)),0%,VLOOKUP(A132,'Données projet'!$A$35:$I$55,6,0)*VLOOKUP('Données projet'!$B$9,Paramètres!$A$1:$I$88,7,0))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projet'!$B$9,Paramètres!$A$1:$I$88,3,0)*0.475*44/12</f>
        <v>61.104584181311765</v>
      </c>
      <c r="AA132" s="23">
        <f>EXP(-LN(2)/25)*AA131+(1-EXP(-LN(2)/25))/(LN(2)/25)*Calculateur!V132*Calculateur!X132*VLOOKUP('Données projet'!$B$9,Paramètres!$A$1:$I$88,3,0)*0.475*44/12</f>
        <v>19.563788268099078</v>
      </c>
      <c r="AB132" s="23">
        <f>EXP(-LN(2)/2)*AB131+(1-EXP(-LN(2)/2))/(LN(2)/2)*V132*Y132*VLOOKUP('Données projet'!$B$9,Paramètres!$A$1:$I$88,3,0)*0.475*44/12</f>
        <v>0</v>
      </c>
      <c r="AC132" s="24">
        <f t="shared" ref="AC132:AC153" si="111">SUM(Z132:AB132)</f>
        <v>80.668372449410839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69.084647735828966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5.6843418860808015E-14</v>
      </c>
      <c r="AJ132" s="14">
        <f>AI132*VLOOKUP('Données projet'!$B$10,Paramètres!$A$1:$I$88,3,0)*VLOOKUP('Données projet'!$B$10,Paramètres!$A$1:$I$88,5,0)</f>
        <v>3.3992364478763198E-14</v>
      </c>
      <c r="AK132" s="14">
        <f t="shared" si="89"/>
        <v>5.790027782444094E-13</v>
      </c>
      <c r="AL132" s="22">
        <f t="shared" ref="AL132:AL153" si="112">(AJ132+AK132)*0.475*44/12</f>
        <v>1.0676332069095257E-12</v>
      </c>
      <c r="AM132" s="62">
        <f t="shared" ref="AM132:AM195" si="113">AL132+(AD132+AE132)*44/12</f>
        <v>289.97704169804064</v>
      </c>
      <c r="AN132" s="62">
        <f ca="1">AVERAGE(OFFSET($AM$3,0,0,'Données projet'!$E$10+1,1))-AVERAGE(OFFSET($H$3,0,0,'Données projet'!$E$10+1,1))</f>
        <v>231.96474801342879</v>
      </c>
      <c r="AO132" s="62">
        <f t="shared" si="90"/>
        <v>237.75726086383668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projet'!$B$10,Paramètres!$A$1:$I$88,7,0))</f>
        <v>0</v>
      </c>
      <c r="AS132" s="17">
        <f>IF(ISNA(VLOOKUP(A132,'Données projet'!$A$61:$I$81,6,0)),0%,VLOOKUP(A132,'Données projet'!$A$61:$I$81,6,0)*VLOOKUP('Données projet'!$B$10,Paramètres!$A$1:$I$88,7,0))</f>
        <v>0</v>
      </c>
      <c r="AT132" s="17">
        <f>IF(ISNA(VLOOKUP(A132,'Données projet'!$A$61:$I$81,7,0)),0%,VLOOKUP(A132,'Données projet'!$A$61:$I$81,7,0))</f>
        <v>0</v>
      </c>
      <c r="AU132" s="23">
        <f>EXP(-LN(2)/35)*AU131+(1-EXP(-LN(2)/35))/(LN(2)/35)*AQ132*AR132*VLOOKUP('Données projet'!$B$10,Paramètres!$A$1:$I$88,3,0)*0.475*44/12</f>
        <v>24.096564127267911</v>
      </c>
      <c r="AV132" s="23">
        <f>EXP(-LN(2)/25)*AV131+(1-EXP(-LN(2)/25))/(LN(2)/25)*Calculateur!AQ132*Calculateur!AS132*VLOOKUP('Données projet'!$B$10,Paramètres!$A$1:$I$88,3,0)*0.475*44/12</f>
        <v>8.2612931434782144</v>
      </c>
      <c r="AW132" s="23">
        <f>EXP(-LN(2)/2)*AW131+(1-EXP(-LN(2)/2))/(LN(2)/2)*AQ132*AT132*VLOOKUP('Données projet'!$B$10,Paramètres!$A$1:$I$88,3,0)*0.475*44/12</f>
        <v>0</v>
      </c>
      <c r="AX132" s="23">
        <f t="shared" ref="AX132:AX153" si="114">SUM(AU132:AW132)</f>
        <v>32.357857270746123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69.084647735828966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6.8212102632969618E-13</v>
      </c>
      <c r="BE132" s="14">
        <f>BD132*VLOOKUP('Données projet'!$B$11,Paramètres!$A$1:$I$88,3,0)*VLOOKUP('Données projet'!$B$11,Paramètres!$A$1:$I$88,5,0)</f>
        <v>3.1923264032229784E-13</v>
      </c>
      <c r="BF132" s="14">
        <f t="shared" si="91"/>
        <v>4.1896839804541558E-12</v>
      </c>
      <c r="BG132" s="22">
        <f t="shared" ref="BG132:BG153" si="115">(BE132+BF132)*0.475*44/12</f>
        <v>7.8530297811856558E-12</v>
      </c>
      <c r="BH132" s="62">
        <f t="shared" ref="BH132:BH195" si="116">BG132+(AY132+AZ132)*44/12</f>
        <v>289.9770416980474</v>
      </c>
      <c r="BI132" s="62">
        <f ca="1">AVERAGE(OFFSET($BH$3,0,0,'Données projet'!$E$11+1,1))-AVERAGE(OFFSET($H$3,0,0,'Données projet'!$E$11+1,1))</f>
        <v>364.96458059055169</v>
      </c>
      <c r="BJ132" s="62">
        <f t="shared" si="92"/>
        <v>246.27159120786257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projet'!$B$11,Paramètres!$A$1:$I$88,7,0))</f>
        <v>0</v>
      </c>
      <c r="BN132" s="17">
        <f>IF(ISNA(VLOOKUP(A132,'Données projet'!$A$87:$I$107,6,0)),0%,VLOOKUP(A132,'Données projet'!$A$87:$I$107,6,0)*VLOOKUP('Données projet'!$B$11,Paramètres!$A$1:$I$88,7,0))</f>
        <v>0</v>
      </c>
      <c r="BO132" s="17">
        <f>IF(ISNA(VLOOKUP(A132,'Données projet'!$A$87:$I$107,7,0)),0%,VLOOKUP(A132,'Données projet'!$A$87:$I$107,7,0))</f>
        <v>0</v>
      </c>
      <c r="BP132" s="23">
        <f>EXP(-LN(2)/35)*BP131+(1-EXP(-LN(2)/35))/(LN(2)/35)*BL132*BM132*VLOOKUP('Données projet'!$B$11,Paramètres!$A$1:$I$88,3,0)*0.475*44/12</f>
        <v>134.05039773121507</v>
      </c>
      <c r="BQ132" s="23">
        <f>EXP(-LN(2)/25)*BQ131+(1-EXP(-LN(2)/25))/(LN(2)/25)*Calculateur!BL132*Calculateur!BN132*VLOOKUP('Données projet'!$B$11,Paramètres!$A$1:$I$88,3,0)*0.475*44/12</f>
        <v>45.109543125489438</v>
      </c>
      <c r="BR132" s="23">
        <f>EXP(-LN(2)/2)*BR131+(1-EXP(-LN(2)/2))/(LN(2)/2)*BL132*BO132*VLOOKUP('Données projet'!$B$11,Paramètres!$A$1:$I$88,3,0)*0.475*44/12</f>
        <v>0</v>
      </c>
      <c r="BS132" s="24">
        <f t="shared" ref="BS132:BS153" si="117">SUM(BP132:BR132)</f>
        <v>179.15994085670451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69.084647735828966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-1.1368683772161603E-13</v>
      </c>
      <c r="BZ132" s="14">
        <f>BY132*VLOOKUP('Données projet'!$B$12,Paramètres!$A$1:$I$88,3,0)*VLOOKUP('Données projet'!$B$12,Paramètres!$A$1:$I$88,5,0)</f>
        <v>-1.1527845344971866E-13</v>
      </c>
      <c r="CA132" s="14" t="e">
        <f t="shared" si="93"/>
        <v>#NUM!</v>
      </c>
      <c r="CB132" s="22" t="e">
        <f t="shared" ref="CB132:CB153" si="118">(BZ132+CA132)*0.475*44/12</f>
        <v>#NUM!</v>
      </c>
      <c r="CC132" s="62" t="e">
        <f t="shared" ref="CC132:CC195" si="119">CB132+(BT132+BU132)*44/12</f>
        <v>#NUM!</v>
      </c>
      <c r="CD132" s="62">
        <f ca="1">AVERAGE(OFFSET($CC$3,0,0,'Données projet'!$E$12+1,1))-AVERAGE(OFFSET($H$3,0,0,'Données projet'!$E$12+1,1))</f>
        <v>310.53598044763282</v>
      </c>
      <c r="CE132" s="62">
        <f t="shared" si="94"/>
        <v>322.01096634040596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projet'!$B$12,Paramètres!$A$1:$I$88,7,0))</f>
        <v>0</v>
      </c>
      <c r="CI132" s="17">
        <f>IF(ISNA(VLOOKUP(A132,'Données projet'!$A$113:$I$133,6,0)),0%,VLOOKUP(A132,'Données projet'!$A$113:$I$133,6,0)*VLOOKUP('Données projet'!$B$12,Paramètres!$A$1:$I$88,7,0))</f>
        <v>0</v>
      </c>
      <c r="CJ132" s="17">
        <f>IF(ISNA(VLOOKUP(A132,'Données projet'!$A$113:$I$133,7,0)),0%,VLOOKUP(A132,'Données projet'!$A$113:$I$133,7,0))</f>
        <v>0</v>
      </c>
      <c r="CK132" s="23">
        <f>EXP(-LN(2)/35)*CK131+(1-EXP(-LN(2)/35))/(LN(2)/35)*CG132*CH132*VLOOKUP('Données projet'!$B$12,Paramètres!$A$1:$I$88,3,0)*0.475*44/12</f>
        <v>18.436804446012154</v>
      </c>
      <c r="CL132" s="23">
        <f>EXP(-LN(2)/25)*CL131+(1-EXP(-LN(2)/25))/(LN(2)/25)*Calculateur!CG132*Calculateur!CI132*VLOOKUP('Données projet'!$B$12,Paramètres!$A$1:$I$88,3,0)*0.475*44/12</f>
        <v>0</v>
      </c>
      <c r="CM132" s="23">
        <f>EXP(-LN(2)/2)*CM131+(1-EXP(-LN(2)/2))/(LN(2)/2)*CG132*CJ132*VLOOKUP('Données projet'!$B$12,Paramètres!$A$1:$I$88,3,0)*0.475*44/12</f>
        <v>0</v>
      </c>
      <c r="CN132" s="24">
        <f t="shared" ref="CN132:CN153" si="120">SUM(CK132:CM132)</f>
        <v>18.436804446012154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69.084647735828966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projet'!$B$13,Paramètres!$A$1:$I$88,3,0)*VLOOKUP('Données projet'!$B$13,Paramètres!$A$1:$I$88,5,0)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projet'!$B$13,Paramètres!$A$1:$I$88,7,0))</f>
        <v>0</v>
      </c>
      <c r="DD132" s="17">
        <f>IF(ISNA(VLOOKUP(A132,'Données projet'!$A$139:$I$159,6,0)),0%,VLOOKUP(A132,'Données projet'!$A$139:$I$159,6,0)*VLOOKUP('Données projet'!$B$13,Paramètres!$A$1:$I$88,7,0))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projet'!$B$13,Paramètres!$A$1:$I$88,3,0)*0.475*44/12</f>
        <v>#N/A</v>
      </c>
      <c r="DG132" s="23" t="e">
        <f>EXP(-LN(2)/25)*DG131+(1-EXP(-LN(2)/25))/(LN(2)/25)*Calculateur!DB132*Calculateur!DD132*VLOOKUP('Données projet'!$B$13,Paramètres!$A$1:$I$88,3,0)*0.475*44/12</f>
        <v>#N/A</v>
      </c>
      <c r="DH132" s="23" t="e">
        <f>EXP(-LN(2)/2)*DH131+(1-EXP(-LN(2)/2))/(LN(2)/2)*DB132*DE132*VLOOKUP('Données projet'!$B$13,Paramètres!$A$1:$I$88,3,0)*0.475*44/12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69.084647735828966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projet'!$B$14,Paramètres!$A$1:$I$88,3,0)*VLOOKUP('Données projet'!$B$14,Paramètres!$A$1:$I$88,5,0)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projet'!$B$14,Paramètres!$A$1:$I$88,7,0))</f>
        <v>0</v>
      </c>
      <c r="DY132" s="17">
        <f>IF(ISNA(VLOOKUP(A132,'Données projet'!$A$165:$I$185,6,0)),0%,VLOOKUP(A132,'Données projet'!$A$165:$I$185,6,0)*VLOOKUP('Données projet'!$B$14,Paramètres!$A$1:$I$88,7,0))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projet'!$B$14,Paramètres!$A$1:$I$88,3,0)*0.475*44/12</f>
        <v>#N/A</v>
      </c>
      <c r="EB132" s="23" t="e">
        <f>EXP(-LN(2)/25)*EB131+(1-EXP(-LN(2)/25))/(LN(2)/25)*Calculateur!DW132*Calculateur!DY132*VLOOKUP('Données projet'!$B$14,Paramètres!$A$1:$I$88,3,0)*0.475*44/12</f>
        <v>#N/A</v>
      </c>
      <c r="EC132" s="23" t="e">
        <f>EXP(-LN(2)/2)*EC131+(1-EXP(-LN(2)/2))/(LN(2)/2)*DW132*DZ132*VLOOKUP('Données projet'!$B$14,Paramètres!$A$1:$I$88,3,0)*0.475*44/12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69.084647735828966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projet'!$B$15,Paramètres!$A$1:$I$88,3,0)*VLOOKUP('Données projet'!$B$15,Paramètres!$A$1:$I$88,5,0)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projet'!$B$15,Paramètres!$A$1:$I$88,7,0))</f>
        <v>0</v>
      </c>
      <c r="ET132" s="17">
        <f>IF(ISNA(VLOOKUP(A132,'Données projet'!$A$191:$I$211,6,0)),0%,VLOOKUP(A132,'Données projet'!$A$191:$I$211,6,0)*VLOOKUP('Données projet'!$B$15,Paramètres!$A$1:$I$88,7,0))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projet'!$B$15,Paramètres!$A$1:$I$88,3,0)*0.475*44/12</f>
        <v>#N/A</v>
      </c>
      <c r="EW132" s="23" t="e">
        <f>EXP(-LN(2)/25)*EW131+(1-EXP(-LN(2)/25))/(LN(2)/25)*Calculateur!ER132*Calculateur!ET132*VLOOKUP('Données projet'!$B$15,Paramètres!$A$1:$I$88,3,0)*0.475*44/12</f>
        <v>#N/A</v>
      </c>
      <c r="EX132" s="23" t="e">
        <f>EXP(-LN(2)/2)*EX131+(1-EXP(-LN(2)/2))/(LN(2)/2)*ER132*EU132*VLOOKUP('Données projet'!$B$15,Paramètres!$A$1:$I$88,3,0)*0.475*44/12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69.084647735828966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projet'!$B$16,Paramètres!$A$1:$I$88,3,0)*VLOOKUP('Données projet'!$B$16,Paramètres!$A$1:$I$88,5,0)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projet'!$B$16,Paramètres!$A$1:$I$88,7,0))</f>
        <v>0</v>
      </c>
      <c r="FO132" s="17">
        <f>IF(ISNA(VLOOKUP(A132,'Données projet'!$A$217:$I$237,6,0)),0%,VLOOKUP(A132,'Données projet'!$A$217:$I$237,6,0)*VLOOKUP('Données projet'!$B$16,Paramètres!$A$1:$I$88,7,0))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projet'!$B$16,Paramètres!$A$1:$I$88,3,0)*0.475*44/12</f>
        <v>#N/A</v>
      </c>
      <c r="FR132" s="23" t="e">
        <f>EXP(-LN(2)/25)*FR131+(1-EXP(-LN(2)/25))/(LN(2)/25)*Calculateur!FM132*Calculateur!FO132*VLOOKUP('Données projet'!$B$16,Paramètres!$A$1:$I$88,3,0)*0.475*44/12</f>
        <v>#N/A</v>
      </c>
      <c r="FS132" s="23" t="e">
        <f>EXP(-LN(2)/2)*FS131+(1-EXP(-LN(2)/2))/(LN(2)/2)*FM132*FP132*VLOOKUP('Données projet'!$B$16,Paramètres!$A$1:$I$88,3,0)*0.475*44/12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69.084647735828966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projet'!$B$17,Paramètres!$A$1:$I$88,3,0)*VLOOKUP('Données projet'!$B$17,Paramètres!$A$1:$I$88,5,0)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projet'!$B$17,Paramètres!$A$1:$I$88,7,0))</f>
        <v>0</v>
      </c>
      <c r="GJ132" s="17">
        <f>IF(ISNA(VLOOKUP(A132,'Données projet'!$A$243:$I$263,6,0)),0%,VLOOKUP(A132,'Données projet'!$A$243:$I$263,6,0)*VLOOKUP('Données projet'!$B$17,Paramètres!$A$1:$I$88,7,0))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projet'!$B$17,Paramètres!$A$1:$I$88,3,0)*0.475*44/12</f>
        <v>#N/A</v>
      </c>
      <c r="GM132" s="23" t="e">
        <f>EXP(-LN(2)/25)*GM131+(1-EXP(-LN(2)/25))/(LN(2)/25)*Calculateur!GH132*Calculateur!GJ132*VLOOKUP('Données projet'!$B$17,Paramètres!$A$1:$I$88,3,0)*0.475*44/12</f>
        <v>#N/A</v>
      </c>
      <c r="GN132" s="23" t="e">
        <f>EXP(-LN(2)/2)*GN131+(1-EXP(-LN(2)/2))/(LN(2)/2)*GH132*GK132*VLOOKUP('Données projet'!$B$17,Paramètres!$A$1:$I$88,3,0)*0.475*44/12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69.084647735828966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projet'!$B$18,Paramètres!$A$1:$I$88,3,0)*VLOOKUP('Données projet'!$B$18,Paramètres!$A$1:$I$88,5,0)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projet'!$B$18,Paramètres!$A$1:$I$88,7,0))</f>
        <v>0</v>
      </c>
      <c r="HE132" s="17">
        <f>IF(ISNA(VLOOKUP(A132,'Données projet'!$A$269:$I$289,6,0)),0%,VLOOKUP(A132,'Données projet'!$A$269:$I$289,6,0)*VLOOKUP('Données projet'!$B$18,Paramètres!$A$1:$I$88,7,0))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projet'!$B$18,Paramètres!$A$1:$I$88,3,0)*0.475*44/12</f>
        <v>#N/A</v>
      </c>
      <c r="HH132" s="23" t="e">
        <f>EXP(-LN(2)/25)*HH131+(1-EXP(-LN(2)/25))/(LN(2)/25)*Calculateur!HC132*Calculateur!HE132*VLOOKUP('Données projet'!$B$18,Paramètres!$A$1:$I$88,3,0)*0.475*44/12</f>
        <v>#N/A</v>
      </c>
      <c r="HI132" s="23" t="e">
        <f>EXP(-LN(2)/2)*HI131+(1-EXP(-LN(2)/2))/(LN(2)/2)*HC132*HF132*VLOOKUP('Données projet'!$B$18,Paramètres!$A$1:$I$88,3,0)*0.475*44/12</f>
        <v>#N/A</v>
      </c>
      <c r="HJ132" s="24" t="e">
        <f t="shared" ref="HJ132:HJ153" si="138">SUM(HG132:HI132)</f>
        <v>#N/A</v>
      </c>
    </row>
    <row r="133" spans="1:218" s="5" customFormat="1" x14ac:dyDescent="0.35">
      <c r="A133" s="11">
        <f t="shared" ref="A133:A152" si="139">A132+1</f>
        <v>130</v>
      </c>
      <c r="B133" s="77">
        <f>'Scénario référence'!$B$16*5+'Scénario référence'!$B$17*0+'Scénario référence'!$B$18*5</f>
        <v>1.75</v>
      </c>
      <c r="C133" s="20">
        <f>Calculateur!C132+'Scénario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33" s="12">
        <f t="shared" ref="D133:D196" si="140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6.416666666666667</v>
      </c>
      <c r="H133" s="70">
        <f t="shared" si="110"/>
        <v>231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69.10052705119125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3.4106051316484809E-13</v>
      </c>
      <c r="O133" s="14">
        <f>N133*VLOOKUP('Données projet'!$B$9,Paramètres!$A$1:$I$88,3,0)*VLOOKUP('Données projet'!$B$9,Paramètres!$A$1:$I$88,5,0)</f>
        <v>1.9065282685915009E-13</v>
      </c>
      <c r="P133" s="14">
        <f t="shared" ref="P133:P196" si="141">EXP(-1.0587+0.8836*LN(O133)+0.284)</f>
        <v>2.6568987209435707E-12</v>
      </c>
      <c r="Q133" s="22">
        <f t="shared" si="108"/>
        <v>4.959485612423072E-12</v>
      </c>
      <c r="R133" s="62">
        <f t="shared" si="109"/>
        <v>290.03526585437288</v>
      </c>
      <c r="S133" s="62">
        <f ca="1">AVERAGE(OFFSET($R$3,0,0,'Données projet'!$E$9+1,1))-AVERAGE(OFFSET($H$3,0,0,'Données projet'!$E$9+1,1))</f>
        <v>341.05096821796769</v>
      </c>
      <c r="T133" s="62">
        <f t="shared" ref="T133:T196" si="142">$T$3</f>
        <v>400.72519822215168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projet'!$B$9,Paramètres!$A$1:$I$88,7,0))</f>
        <v>0</v>
      </c>
      <c r="X133" s="17">
        <f>IF(ISNA(VLOOKUP(A133,'Données projet'!$A$35:$I$55,6,0)),0%,VLOOKUP(A133,'Données projet'!$A$35:$I$55,6,0)*VLOOKUP('Données projet'!$B$9,Paramètres!$A$1:$I$88,7,0))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projet'!$B$9,Paramètres!$A$1:$I$88,3,0)*0.475*44/12</f>
        <v>59.906360555632475</v>
      </c>
      <c r="AA133" s="23">
        <f>EXP(-LN(2)/25)*AA132+(1-EXP(-LN(2)/25))/(LN(2)/25)*Calculateur!V133*Calculateur!X133*VLOOKUP('Données projet'!$B$9,Paramètres!$A$1:$I$88,3,0)*0.475*44/12</f>
        <v>19.028815449092995</v>
      </c>
      <c r="AB133" s="23">
        <f>EXP(-LN(2)/2)*AB132+(1-EXP(-LN(2)/2))/(LN(2)/2)*V133*Y133*VLOOKUP('Données projet'!$B$9,Paramètres!$A$1:$I$88,3,0)*0.475*44/12</f>
        <v>0</v>
      </c>
      <c r="AC133" s="24">
        <f t="shared" si="111"/>
        <v>78.935176004725463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69.10052705119125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5.6843418860808015E-14</v>
      </c>
      <c r="AJ133" s="14">
        <f>AI133*VLOOKUP('Données projet'!$B$10,Paramètres!$A$1:$I$88,3,0)*VLOOKUP('Données projet'!$B$10,Paramètres!$A$1:$I$88,5,0)</f>
        <v>3.3992364478763198E-14</v>
      </c>
      <c r="AK133" s="14">
        <f t="shared" ref="AK133:AK153" si="143">EXP(-1.0587+0.8836*LN(AJ133)+0.284)</f>
        <v>5.790027782444094E-13</v>
      </c>
      <c r="AL133" s="22">
        <f t="shared" si="112"/>
        <v>1.0676332069095257E-12</v>
      </c>
      <c r="AM133" s="62">
        <f t="shared" si="113"/>
        <v>290.03526585436902</v>
      </c>
      <c r="AN133" s="62">
        <f ca="1">AVERAGE(OFFSET($AM$3,0,0,'Données projet'!$E$10+1,1))-AVERAGE(OFFSET($H$3,0,0,'Données projet'!$E$10+1,1))</f>
        <v>231.96474801342879</v>
      </c>
      <c r="AO133" s="62">
        <f t="shared" ref="AO133:AO196" si="144">$AO$3</f>
        <v>237.75726086383668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projet'!$B$10,Paramètres!$A$1:$I$88,7,0))</f>
        <v>0</v>
      </c>
      <c r="AS133" s="17">
        <f>IF(ISNA(VLOOKUP(A133,'Données projet'!$A$61:$I$81,6,0)),0%,VLOOKUP(A133,'Données projet'!$A$61:$I$81,6,0)*VLOOKUP('Données projet'!$B$10,Paramètres!$A$1:$I$88,7,0))</f>
        <v>0</v>
      </c>
      <c r="AT133" s="17">
        <f>IF(ISNA(VLOOKUP(A133,'Données projet'!$A$61:$I$81,7,0)),0%,VLOOKUP(A133,'Données projet'!$A$61:$I$81,7,0))</f>
        <v>0</v>
      </c>
      <c r="AU133" s="23">
        <f>EXP(-LN(2)/35)*AU132+(1-EXP(-LN(2)/35))/(LN(2)/35)*AQ133*AR133*VLOOKUP('Données projet'!$B$10,Paramètres!$A$1:$I$88,3,0)*0.475*44/12</f>
        <v>23.624045202185052</v>
      </c>
      <c r="AV133" s="23">
        <f>EXP(-LN(2)/25)*AV132+(1-EXP(-LN(2)/25))/(LN(2)/25)*Calculateur!AQ133*Calculateur!AS133*VLOOKUP('Données projet'!$B$10,Paramètres!$A$1:$I$88,3,0)*0.475*44/12</f>
        <v>8.0353876480272781</v>
      </c>
      <c r="AW133" s="23">
        <f>EXP(-LN(2)/2)*AW132+(1-EXP(-LN(2)/2))/(LN(2)/2)*AQ133*AT133*VLOOKUP('Données projet'!$B$10,Paramètres!$A$1:$I$88,3,0)*0.475*44/12</f>
        <v>0</v>
      </c>
      <c r="AX133" s="23">
        <f t="shared" si="114"/>
        <v>31.65943285021233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69.10052705119125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6.8212102632969618E-13</v>
      </c>
      <c r="BE133" s="14">
        <f>BD133*VLOOKUP('Données projet'!$B$11,Paramètres!$A$1:$I$88,3,0)*VLOOKUP('Données projet'!$B$11,Paramètres!$A$1:$I$88,5,0)</f>
        <v>3.1923264032229784E-13</v>
      </c>
      <c r="BF133" s="14">
        <f t="shared" ref="BF133:BF153" si="145">EXP(-1.0587+0.8836*LN(BE133)+0.284)</f>
        <v>4.1896839804541558E-12</v>
      </c>
      <c r="BG133" s="22">
        <f t="shared" si="115"/>
        <v>7.8530297811856558E-12</v>
      </c>
      <c r="BH133" s="62">
        <f t="shared" si="116"/>
        <v>290.03526585437578</v>
      </c>
      <c r="BI133" s="62">
        <f ca="1">AVERAGE(OFFSET($BH$3,0,0,'Données projet'!$E$11+1,1))-AVERAGE(OFFSET($H$3,0,0,'Données projet'!$E$11+1,1))</f>
        <v>364.96458059055169</v>
      </c>
      <c r="BJ133" s="62">
        <f t="shared" ref="BJ133:BJ196" si="146">$BJ$3</f>
        <v>246.27159120786257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projet'!$B$11,Paramètres!$A$1:$I$88,7,0))</f>
        <v>0</v>
      </c>
      <c r="BN133" s="17">
        <f>IF(ISNA(VLOOKUP(A133,'Données projet'!$A$87:$I$107,6,0)),0%,VLOOKUP(A133,'Données projet'!$A$87:$I$107,6,0)*VLOOKUP('Données projet'!$B$11,Paramètres!$A$1:$I$88,7,0))</f>
        <v>0</v>
      </c>
      <c r="BO133" s="17">
        <f>IF(ISNA(VLOOKUP(A133,'Données projet'!$A$87:$I$107,7,0)),0%,VLOOKUP(A133,'Données projet'!$A$87:$I$107,7,0))</f>
        <v>0</v>
      </c>
      <c r="BP133" s="23">
        <f>EXP(-LN(2)/35)*BP132+(1-EXP(-LN(2)/35))/(LN(2)/35)*BL133*BM133*VLOOKUP('Données projet'!$B$11,Paramètres!$A$1:$I$88,3,0)*0.475*44/12</f>
        <v>131.42175119437516</v>
      </c>
      <c r="BQ133" s="23">
        <f>EXP(-LN(2)/25)*BQ132+(1-EXP(-LN(2)/25))/(LN(2)/25)*Calculateur!BL133*Calculateur!BN133*VLOOKUP('Données projet'!$B$11,Paramètres!$A$1:$I$88,3,0)*0.475*44/12</f>
        <v>43.876020296515158</v>
      </c>
      <c r="BR133" s="23">
        <f>EXP(-LN(2)/2)*BR132+(1-EXP(-LN(2)/2))/(LN(2)/2)*BL133*BO133*VLOOKUP('Données projet'!$B$11,Paramètres!$A$1:$I$88,3,0)*0.475*44/12</f>
        <v>0</v>
      </c>
      <c r="BS133" s="24">
        <f t="shared" si="117"/>
        <v>175.29777149089031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69.10052705119125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-1.1368683772161603E-13</v>
      </c>
      <c r="BZ133" s="14">
        <f>BY133*VLOOKUP('Données projet'!$B$12,Paramètres!$A$1:$I$88,3,0)*VLOOKUP('Données projet'!$B$12,Paramètres!$A$1:$I$88,5,0)</f>
        <v>-1.1527845344971866E-13</v>
      </c>
      <c r="CA133" s="14" t="e">
        <f t="shared" ref="CA133:CA153" si="147">EXP(-1.0587+0.8836*LN(BZ133)+0.284)</f>
        <v>#NUM!</v>
      </c>
      <c r="CB133" s="22" t="e">
        <f t="shared" si="118"/>
        <v>#NUM!</v>
      </c>
      <c r="CC133" s="62" t="e">
        <f t="shared" si="119"/>
        <v>#NUM!</v>
      </c>
      <c r="CD133" s="62">
        <f ca="1">AVERAGE(OFFSET($CC$3,0,0,'Données projet'!$E$12+1,1))-AVERAGE(OFFSET($H$3,0,0,'Données projet'!$E$12+1,1))</f>
        <v>310.53598044763282</v>
      </c>
      <c r="CE133" s="62">
        <f t="shared" ref="CE133:CE196" si="148">$CE$3</f>
        <v>322.01096634040596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projet'!$B$12,Paramètres!$A$1:$I$88,7,0))</f>
        <v>0</v>
      </c>
      <c r="CI133" s="17">
        <f>IF(ISNA(VLOOKUP(A133,'Données projet'!$A$113:$I$133,6,0)),0%,VLOOKUP(A133,'Données projet'!$A$113:$I$133,6,0)*VLOOKUP('Données projet'!$B$12,Paramètres!$A$1:$I$88,7,0))</f>
        <v>0</v>
      </c>
      <c r="CJ133" s="17">
        <f>IF(ISNA(VLOOKUP(A133,'Données projet'!$A$113:$I$133,7,0)),0%,VLOOKUP(A133,'Données projet'!$A$113:$I$133,7,0))</f>
        <v>0</v>
      </c>
      <c r="CK133" s="23">
        <f>EXP(-LN(2)/35)*CK132+(1-EXP(-LN(2)/35))/(LN(2)/35)*CG133*CH133*VLOOKUP('Données projet'!$B$12,Paramètres!$A$1:$I$88,3,0)*0.475*44/12</f>
        <v>18.075269956166181</v>
      </c>
      <c r="CL133" s="23">
        <f>EXP(-LN(2)/25)*CL132+(1-EXP(-LN(2)/25))/(LN(2)/25)*Calculateur!CG133*Calculateur!CI133*VLOOKUP('Données projet'!$B$12,Paramètres!$A$1:$I$88,3,0)*0.475*44/12</f>
        <v>0</v>
      </c>
      <c r="CM133" s="23">
        <f>EXP(-LN(2)/2)*CM132+(1-EXP(-LN(2)/2))/(LN(2)/2)*CG133*CJ133*VLOOKUP('Données projet'!$B$12,Paramètres!$A$1:$I$88,3,0)*0.475*44/12</f>
        <v>0</v>
      </c>
      <c r="CN133" s="24">
        <f t="shared" si="120"/>
        <v>18.075269956166181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69.10052705119125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projet'!$B$13,Paramètres!$A$1:$I$88,3,0)*VLOOKUP('Données projet'!$B$13,Paramètres!$A$1:$I$88,5,0)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projet'!$B$13,Paramètres!$A$1:$I$88,7,0))</f>
        <v>0</v>
      </c>
      <c r="DD133" s="17">
        <f>IF(ISNA(VLOOKUP(A133,'Données projet'!$A$139:$I$159,6,0)),0%,VLOOKUP(A133,'Données projet'!$A$139:$I$159,6,0)*VLOOKUP('Données projet'!$B$13,Paramètres!$A$1:$I$88,7,0))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projet'!$B$13,Paramètres!$A$1:$I$88,3,0)*0.475*44/12</f>
        <v>#N/A</v>
      </c>
      <c r="DG133" s="23" t="e">
        <f>EXP(-LN(2)/25)*DG132+(1-EXP(-LN(2)/25))/(LN(2)/25)*Calculateur!DB133*Calculateur!DD133*VLOOKUP('Données projet'!$B$13,Paramètres!$A$1:$I$88,3,0)*0.475*44/12</f>
        <v>#N/A</v>
      </c>
      <c r="DH133" s="23" t="e">
        <f>EXP(-LN(2)/2)*DH132+(1-EXP(-LN(2)/2))/(LN(2)/2)*DB133*DE133*VLOOKUP('Données projet'!$B$13,Paramètres!$A$1:$I$88,3,0)*0.475*44/12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69.10052705119125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projet'!$B$14,Paramètres!$A$1:$I$88,3,0)*VLOOKUP('Données projet'!$B$14,Paramètres!$A$1:$I$88,5,0)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projet'!$B$14,Paramètres!$A$1:$I$88,7,0))</f>
        <v>0</v>
      </c>
      <c r="DY133" s="17">
        <f>IF(ISNA(VLOOKUP(A133,'Données projet'!$A$165:$I$185,6,0)),0%,VLOOKUP(A133,'Données projet'!$A$165:$I$185,6,0)*VLOOKUP('Données projet'!$B$14,Paramètres!$A$1:$I$88,7,0))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projet'!$B$14,Paramètres!$A$1:$I$88,3,0)*0.475*44/12</f>
        <v>#N/A</v>
      </c>
      <c r="EB133" s="23" t="e">
        <f>EXP(-LN(2)/25)*EB132+(1-EXP(-LN(2)/25))/(LN(2)/25)*Calculateur!DW133*Calculateur!DY133*VLOOKUP('Données projet'!$B$14,Paramètres!$A$1:$I$88,3,0)*0.475*44/12</f>
        <v>#N/A</v>
      </c>
      <c r="EC133" s="23" t="e">
        <f>EXP(-LN(2)/2)*EC132+(1-EXP(-LN(2)/2))/(LN(2)/2)*DW133*DZ133*VLOOKUP('Données projet'!$B$14,Paramètres!$A$1:$I$88,3,0)*0.475*44/12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69.10052705119125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projet'!$B$15,Paramètres!$A$1:$I$88,3,0)*VLOOKUP('Données projet'!$B$15,Paramètres!$A$1:$I$88,5,0)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projet'!$B$15,Paramètres!$A$1:$I$88,7,0))</f>
        <v>0</v>
      </c>
      <c r="ET133" s="17">
        <f>IF(ISNA(VLOOKUP(A133,'Données projet'!$A$191:$I$211,6,0)),0%,VLOOKUP(A133,'Données projet'!$A$191:$I$211,6,0)*VLOOKUP('Données projet'!$B$15,Paramètres!$A$1:$I$88,7,0))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projet'!$B$15,Paramètres!$A$1:$I$88,3,0)*0.475*44/12</f>
        <v>#N/A</v>
      </c>
      <c r="EW133" s="23" t="e">
        <f>EXP(-LN(2)/25)*EW132+(1-EXP(-LN(2)/25))/(LN(2)/25)*Calculateur!ER133*Calculateur!ET133*VLOOKUP('Données projet'!$B$15,Paramètres!$A$1:$I$88,3,0)*0.475*44/12</f>
        <v>#N/A</v>
      </c>
      <c r="EX133" s="23" t="e">
        <f>EXP(-LN(2)/2)*EX132+(1-EXP(-LN(2)/2))/(LN(2)/2)*ER133*EU133*VLOOKUP('Données projet'!$B$15,Paramètres!$A$1:$I$88,3,0)*0.475*44/12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69.10052705119125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projet'!$B$16,Paramètres!$A$1:$I$88,3,0)*VLOOKUP('Données projet'!$B$16,Paramètres!$A$1:$I$88,5,0)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projet'!$B$16,Paramètres!$A$1:$I$88,7,0))</f>
        <v>0</v>
      </c>
      <c r="FO133" s="17">
        <f>IF(ISNA(VLOOKUP(A133,'Données projet'!$A$217:$I$237,6,0)),0%,VLOOKUP(A133,'Données projet'!$A$217:$I$237,6,0)*VLOOKUP('Données projet'!$B$16,Paramètres!$A$1:$I$88,7,0))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projet'!$B$16,Paramètres!$A$1:$I$88,3,0)*0.475*44/12</f>
        <v>#N/A</v>
      </c>
      <c r="FR133" s="23" t="e">
        <f>EXP(-LN(2)/25)*FR132+(1-EXP(-LN(2)/25))/(LN(2)/25)*Calculateur!FM133*Calculateur!FO133*VLOOKUP('Données projet'!$B$16,Paramètres!$A$1:$I$88,3,0)*0.475*44/12</f>
        <v>#N/A</v>
      </c>
      <c r="FS133" s="23" t="e">
        <f>EXP(-LN(2)/2)*FS132+(1-EXP(-LN(2)/2))/(LN(2)/2)*FM133*FP133*VLOOKUP('Données projet'!$B$16,Paramètres!$A$1:$I$88,3,0)*0.475*44/12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69.10052705119125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projet'!$B$17,Paramètres!$A$1:$I$88,3,0)*VLOOKUP('Données projet'!$B$17,Paramètres!$A$1:$I$88,5,0)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projet'!$B$17,Paramètres!$A$1:$I$88,7,0))</f>
        <v>0</v>
      </c>
      <c r="GJ133" s="17">
        <f>IF(ISNA(VLOOKUP(A133,'Données projet'!$A$243:$I$263,6,0)),0%,VLOOKUP(A133,'Données projet'!$A$243:$I$263,6,0)*VLOOKUP('Données projet'!$B$17,Paramètres!$A$1:$I$88,7,0))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projet'!$B$17,Paramètres!$A$1:$I$88,3,0)*0.475*44/12</f>
        <v>#N/A</v>
      </c>
      <c r="GM133" s="23" t="e">
        <f>EXP(-LN(2)/25)*GM132+(1-EXP(-LN(2)/25))/(LN(2)/25)*Calculateur!GH133*Calculateur!GJ133*VLOOKUP('Données projet'!$B$17,Paramètres!$A$1:$I$88,3,0)*0.475*44/12</f>
        <v>#N/A</v>
      </c>
      <c r="GN133" s="23" t="e">
        <f>EXP(-LN(2)/2)*GN132+(1-EXP(-LN(2)/2))/(LN(2)/2)*GH133*GK133*VLOOKUP('Données projet'!$B$17,Paramètres!$A$1:$I$88,3,0)*0.475*44/12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69.10052705119125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projet'!$B$18,Paramètres!$A$1:$I$88,3,0)*VLOOKUP('Données projet'!$B$18,Paramètres!$A$1:$I$88,5,0)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projet'!$B$18,Paramètres!$A$1:$I$88,7,0))</f>
        <v>0</v>
      </c>
      <c r="HE133" s="17">
        <f>IF(ISNA(VLOOKUP(A133,'Données projet'!$A$269:$I$289,6,0)),0%,VLOOKUP(A133,'Données projet'!$A$269:$I$289,6,0)*VLOOKUP('Données projet'!$B$18,Paramètres!$A$1:$I$88,7,0))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projet'!$B$18,Paramètres!$A$1:$I$88,3,0)*0.475*44/12</f>
        <v>#N/A</v>
      </c>
      <c r="HH133" s="23" t="e">
        <f>EXP(-LN(2)/25)*HH132+(1-EXP(-LN(2)/25))/(LN(2)/25)*Calculateur!HC133*Calculateur!HE133*VLOOKUP('Données projet'!$B$18,Paramètres!$A$1:$I$88,3,0)*0.475*44/12</f>
        <v>#N/A</v>
      </c>
      <c r="HI133" s="23" t="e">
        <f>EXP(-LN(2)/2)*HI132+(1-EXP(-LN(2)/2))/(LN(2)/2)*HC133*HF133*VLOOKUP('Données projet'!$B$18,Paramètres!$A$1:$I$88,3,0)*0.475*44/12</f>
        <v>#N/A</v>
      </c>
      <c r="HJ133" s="24" t="e">
        <f t="shared" si="138"/>
        <v>#N/A</v>
      </c>
    </row>
    <row r="134" spans="1:218" s="5" customFormat="1" x14ac:dyDescent="0.35">
      <c r="A134" s="11">
        <f t="shared" si="139"/>
        <v>131</v>
      </c>
      <c r="B134" s="77">
        <f>'Scénario référence'!$B$16*5+'Scénario référence'!$B$17*0+'Scénario référence'!$B$18*5</f>
        <v>1.75</v>
      </c>
      <c r="C134" s="20">
        <f>Calculateur!C133+'Scénario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34" s="12">
        <f t="shared" si="140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6.416666666666667</v>
      </c>
      <c r="H134" s="70">
        <f t="shared" si="110"/>
        <v>231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69.116130895932827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3.4106051316484809E-13</v>
      </c>
      <c r="O134" s="14">
        <f>N134*VLOOKUP('Données projet'!$B$9,Paramètres!$A$1:$I$88,3,0)*VLOOKUP('Données projet'!$B$9,Paramètres!$A$1:$I$88,5,0)</f>
        <v>1.9065282685915009E-13</v>
      </c>
      <c r="P134" s="14">
        <f t="shared" si="141"/>
        <v>2.6568987209435707E-12</v>
      </c>
      <c r="Q134" s="22">
        <f t="shared" si="108"/>
        <v>4.959485612423072E-12</v>
      </c>
      <c r="R134" s="62">
        <f t="shared" si="109"/>
        <v>290.09247995175861</v>
      </c>
      <c r="S134" s="62">
        <f ca="1">AVERAGE(OFFSET($R$3,0,0,'Données projet'!$E$9+1,1))-AVERAGE(OFFSET($H$3,0,0,'Données projet'!$E$9+1,1))</f>
        <v>341.05096821796769</v>
      </c>
      <c r="T134" s="62">
        <f t="shared" si="142"/>
        <v>400.72519822215168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projet'!$B$9,Paramètres!$A$1:$I$88,7,0))</f>
        <v>0</v>
      </c>
      <c r="X134" s="17">
        <f>IF(ISNA(VLOOKUP(A134,'Données projet'!$A$35:$I$55,6,0)),0%,VLOOKUP(A134,'Données projet'!$A$35:$I$55,6,0)*VLOOKUP('Données projet'!$B$9,Paramètres!$A$1:$I$88,7,0))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projet'!$B$9,Paramètres!$A$1:$I$88,3,0)*0.475*44/12</f>
        <v>58.731633364408509</v>
      </c>
      <c r="AA134" s="23">
        <f>EXP(-LN(2)/25)*AA133+(1-EXP(-LN(2)/25))/(LN(2)/25)*Calculateur!V134*Calculateur!X134*VLOOKUP('Données projet'!$B$9,Paramètres!$A$1:$I$88,3,0)*0.475*44/12</f>
        <v>18.508471489955635</v>
      </c>
      <c r="AB134" s="23">
        <f>EXP(-LN(2)/2)*AB133+(1-EXP(-LN(2)/2))/(LN(2)/2)*V134*Y134*VLOOKUP('Données projet'!$B$9,Paramètres!$A$1:$I$88,3,0)*0.475*44/12</f>
        <v>0</v>
      </c>
      <c r="AC134" s="24">
        <f t="shared" si="111"/>
        <v>77.240104854364148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69.116130895932827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5.6843418860808015E-14</v>
      </c>
      <c r="AJ134" s="14">
        <f>AI134*VLOOKUP('Données projet'!$B$10,Paramètres!$A$1:$I$88,3,0)*VLOOKUP('Données projet'!$B$10,Paramètres!$A$1:$I$88,5,0)</f>
        <v>3.3992364478763198E-14</v>
      </c>
      <c r="AK134" s="14">
        <f t="shared" si="143"/>
        <v>5.790027782444094E-13</v>
      </c>
      <c r="AL134" s="22">
        <f t="shared" si="112"/>
        <v>1.0676332069095257E-12</v>
      </c>
      <c r="AM134" s="62">
        <f t="shared" si="113"/>
        <v>290.09247995175474</v>
      </c>
      <c r="AN134" s="62">
        <f ca="1">AVERAGE(OFFSET($AM$3,0,0,'Données projet'!$E$10+1,1))-AVERAGE(OFFSET($H$3,0,0,'Données projet'!$E$10+1,1))</f>
        <v>231.96474801342879</v>
      </c>
      <c r="AO134" s="62">
        <f t="shared" si="144"/>
        <v>237.75726086383668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projet'!$B$10,Paramètres!$A$1:$I$88,7,0))</f>
        <v>0</v>
      </c>
      <c r="AS134" s="17">
        <f>IF(ISNA(VLOOKUP(A134,'Données projet'!$A$61:$I$81,6,0)),0%,VLOOKUP(A134,'Données projet'!$A$61:$I$81,6,0)*VLOOKUP('Données projet'!$B$10,Paramètres!$A$1:$I$88,7,0))</f>
        <v>0</v>
      </c>
      <c r="AT134" s="17">
        <f>IF(ISNA(VLOOKUP(A134,'Données projet'!$A$61:$I$81,7,0)),0%,VLOOKUP(A134,'Données projet'!$A$61:$I$81,7,0))</f>
        <v>0</v>
      </c>
      <c r="AU134" s="23">
        <f>EXP(-LN(2)/35)*AU133+(1-EXP(-LN(2)/35))/(LN(2)/35)*AQ134*AR134*VLOOKUP('Données projet'!$B$10,Paramètres!$A$1:$I$88,3,0)*0.475*44/12</f>
        <v>23.160792085014982</v>
      </c>
      <c r="AV134" s="23">
        <f>EXP(-LN(2)/25)*AV133+(1-EXP(-LN(2)/25))/(LN(2)/25)*Calculateur!AQ134*Calculateur!AS134*VLOOKUP('Données projet'!$B$10,Paramètres!$A$1:$I$88,3,0)*0.475*44/12</f>
        <v>7.8156595502293005</v>
      </c>
      <c r="AW134" s="23">
        <f>EXP(-LN(2)/2)*AW133+(1-EXP(-LN(2)/2))/(LN(2)/2)*AQ134*AT134*VLOOKUP('Données projet'!$B$10,Paramètres!$A$1:$I$88,3,0)*0.475*44/12</f>
        <v>0</v>
      </c>
      <c r="AX134" s="23">
        <f t="shared" si="114"/>
        <v>30.976451635244281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69.116130895932827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6.8212102632969618E-13</v>
      </c>
      <c r="BE134" s="14">
        <f>BD134*VLOOKUP('Données projet'!$B$11,Paramètres!$A$1:$I$88,3,0)*VLOOKUP('Données projet'!$B$11,Paramètres!$A$1:$I$88,5,0)</f>
        <v>3.1923264032229784E-13</v>
      </c>
      <c r="BF134" s="14">
        <f t="shared" si="145"/>
        <v>4.1896839804541558E-12</v>
      </c>
      <c r="BG134" s="22">
        <f t="shared" si="115"/>
        <v>7.8530297811856558E-12</v>
      </c>
      <c r="BH134" s="62">
        <f t="shared" si="116"/>
        <v>290.0924799517615</v>
      </c>
      <c r="BI134" s="62">
        <f ca="1">AVERAGE(OFFSET($BH$3,0,0,'Données projet'!$E$11+1,1))-AVERAGE(OFFSET($H$3,0,0,'Données projet'!$E$11+1,1))</f>
        <v>364.96458059055169</v>
      </c>
      <c r="BJ134" s="62">
        <f t="shared" si="146"/>
        <v>246.27159120786257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projet'!$B$11,Paramètres!$A$1:$I$88,7,0))</f>
        <v>0</v>
      </c>
      <c r="BN134" s="17">
        <f>IF(ISNA(VLOOKUP(A134,'Données projet'!$A$87:$I$107,6,0)),0%,VLOOKUP(A134,'Données projet'!$A$87:$I$107,6,0)*VLOOKUP('Données projet'!$B$11,Paramètres!$A$1:$I$88,7,0))</f>
        <v>0</v>
      </c>
      <c r="BO134" s="17">
        <f>IF(ISNA(VLOOKUP(A134,'Données projet'!$A$87:$I$107,7,0)),0%,VLOOKUP(A134,'Données projet'!$A$87:$I$107,7,0))</f>
        <v>0</v>
      </c>
      <c r="BP134" s="23">
        <f>EXP(-LN(2)/35)*BP133+(1-EXP(-LN(2)/35))/(LN(2)/35)*BL134*BM134*VLOOKUP('Données projet'!$B$11,Paramètres!$A$1:$I$88,3,0)*0.475*44/12</f>
        <v>128.84465081280661</v>
      </c>
      <c r="BQ134" s="23">
        <f>EXP(-LN(2)/25)*BQ133+(1-EXP(-LN(2)/25))/(LN(2)/25)*Calculateur!BL134*Calculateur!BN134*VLOOKUP('Données projet'!$B$11,Paramètres!$A$1:$I$88,3,0)*0.475*44/12</f>
        <v>42.676228214167324</v>
      </c>
      <c r="BR134" s="23">
        <f>EXP(-LN(2)/2)*BR133+(1-EXP(-LN(2)/2))/(LN(2)/2)*BL134*BO134*VLOOKUP('Données projet'!$B$11,Paramètres!$A$1:$I$88,3,0)*0.475*44/12</f>
        <v>0</v>
      </c>
      <c r="BS134" s="24">
        <f t="shared" si="117"/>
        <v>171.52087902697394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69.116130895932827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-1.1368683772161603E-13</v>
      </c>
      <c r="BZ134" s="14">
        <f>BY134*VLOOKUP('Données projet'!$B$12,Paramètres!$A$1:$I$88,3,0)*VLOOKUP('Données projet'!$B$12,Paramètres!$A$1:$I$88,5,0)</f>
        <v>-1.1527845344971866E-13</v>
      </c>
      <c r="CA134" s="14" t="e">
        <f t="shared" si="147"/>
        <v>#NUM!</v>
      </c>
      <c r="CB134" s="22" t="e">
        <f t="shared" si="118"/>
        <v>#NUM!</v>
      </c>
      <c r="CC134" s="62" t="e">
        <f t="shared" si="119"/>
        <v>#NUM!</v>
      </c>
      <c r="CD134" s="62">
        <f ca="1">AVERAGE(OFFSET($CC$3,0,0,'Données projet'!$E$12+1,1))-AVERAGE(OFFSET($H$3,0,0,'Données projet'!$E$12+1,1))</f>
        <v>310.53598044763282</v>
      </c>
      <c r="CE134" s="62">
        <f t="shared" si="148"/>
        <v>322.01096634040596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projet'!$B$12,Paramètres!$A$1:$I$88,7,0))</f>
        <v>0</v>
      </c>
      <c r="CI134" s="17">
        <f>IF(ISNA(VLOOKUP(A134,'Données projet'!$A$113:$I$133,6,0)),0%,VLOOKUP(A134,'Données projet'!$A$113:$I$133,6,0)*VLOOKUP('Données projet'!$B$12,Paramètres!$A$1:$I$88,7,0))</f>
        <v>0</v>
      </c>
      <c r="CJ134" s="17">
        <f>IF(ISNA(VLOOKUP(A134,'Données projet'!$A$113:$I$133,7,0)),0%,VLOOKUP(A134,'Données projet'!$A$113:$I$133,7,0))</f>
        <v>0</v>
      </c>
      <c r="CK134" s="23">
        <f>EXP(-LN(2)/35)*CK133+(1-EXP(-LN(2)/35))/(LN(2)/35)*CG134*CH134*VLOOKUP('Données projet'!$B$12,Paramètres!$A$1:$I$88,3,0)*0.475*44/12</f>
        <v>17.720824937151825</v>
      </c>
      <c r="CL134" s="23">
        <f>EXP(-LN(2)/25)*CL133+(1-EXP(-LN(2)/25))/(LN(2)/25)*Calculateur!CG134*Calculateur!CI134*VLOOKUP('Données projet'!$B$12,Paramètres!$A$1:$I$88,3,0)*0.475*44/12</f>
        <v>0</v>
      </c>
      <c r="CM134" s="23">
        <f>EXP(-LN(2)/2)*CM133+(1-EXP(-LN(2)/2))/(LN(2)/2)*CG134*CJ134*VLOOKUP('Données projet'!$B$12,Paramètres!$A$1:$I$88,3,0)*0.475*44/12</f>
        <v>0</v>
      </c>
      <c r="CN134" s="24">
        <f t="shared" si="120"/>
        <v>17.720824937151825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69.116130895932827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projet'!$B$13,Paramètres!$A$1:$I$88,3,0)*VLOOKUP('Données projet'!$B$13,Paramètres!$A$1:$I$88,5,0)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projet'!$B$13,Paramètres!$A$1:$I$88,7,0))</f>
        <v>0</v>
      </c>
      <c r="DD134" s="17">
        <f>IF(ISNA(VLOOKUP(A134,'Données projet'!$A$139:$I$159,6,0)),0%,VLOOKUP(A134,'Données projet'!$A$139:$I$159,6,0)*VLOOKUP('Données projet'!$B$13,Paramètres!$A$1:$I$88,7,0))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projet'!$B$13,Paramètres!$A$1:$I$88,3,0)*0.475*44/12</f>
        <v>#N/A</v>
      </c>
      <c r="DG134" s="23" t="e">
        <f>EXP(-LN(2)/25)*DG133+(1-EXP(-LN(2)/25))/(LN(2)/25)*Calculateur!DB134*Calculateur!DD134*VLOOKUP('Données projet'!$B$13,Paramètres!$A$1:$I$88,3,0)*0.475*44/12</f>
        <v>#N/A</v>
      </c>
      <c r="DH134" s="23" t="e">
        <f>EXP(-LN(2)/2)*DH133+(1-EXP(-LN(2)/2))/(LN(2)/2)*DB134*DE134*VLOOKUP('Données projet'!$B$13,Paramètres!$A$1:$I$88,3,0)*0.475*44/12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69.116130895932827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projet'!$B$14,Paramètres!$A$1:$I$88,3,0)*VLOOKUP('Données projet'!$B$14,Paramètres!$A$1:$I$88,5,0)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projet'!$B$14,Paramètres!$A$1:$I$88,7,0))</f>
        <v>0</v>
      </c>
      <c r="DY134" s="17">
        <f>IF(ISNA(VLOOKUP(A134,'Données projet'!$A$165:$I$185,6,0)),0%,VLOOKUP(A134,'Données projet'!$A$165:$I$185,6,0)*VLOOKUP('Données projet'!$B$14,Paramètres!$A$1:$I$88,7,0))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projet'!$B$14,Paramètres!$A$1:$I$88,3,0)*0.475*44/12</f>
        <v>#N/A</v>
      </c>
      <c r="EB134" s="23" t="e">
        <f>EXP(-LN(2)/25)*EB133+(1-EXP(-LN(2)/25))/(LN(2)/25)*Calculateur!DW134*Calculateur!DY134*VLOOKUP('Données projet'!$B$14,Paramètres!$A$1:$I$88,3,0)*0.475*44/12</f>
        <v>#N/A</v>
      </c>
      <c r="EC134" s="23" t="e">
        <f>EXP(-LN(2)/2)*EC133+(1-EXP(-LN(2)/2))/(LN(2)/2)*DW134*DZ134*VLOOKUP('Données projet'!$B$14,Paramètres!$A$1:$I$88,3,0)*0.475*44/12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69.116130895932827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projet'!$B$15,Paramètres!$A$1:$I$88,3,0)*VLOOKUP('Données projet'!$B$15,Paramètres!$A$1:$I$88,5,0)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projet'!$B$15,Paramètres!$A$1:$I$88,7,0))</f>
        <v>0</v>
      </c>
      <c r="ET134" s="17">
        <f>IF(ISNA(VLOOKUP(A134,'Données projet'!$A$191:$I$211,6,0)),0%,VLOOKUP(A134,'Données projet'!$A$191:$I$211,6,0)*VLOOKUP('Données projet'!$B$15,Paramètres!$A$1:$I$88,7,0))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projet'!$B$15,Paramètres!$A$1:$I$88,3,0)*0.475*44/12</f>
        <v>#N/A</v>
      </c>
      <c r="EW134" s="23" t="e">
        <f>EXP(-LN(2)/25)*EW133+(1-EXP(-LN(2)/25))/(LN(2)/25)*Calculateur!ER134*Calculateur!ET134*VLOOKUP('Données projet'!$B$15,Paramètres!$A$1:$I$88,3,0)*0.475*44/12</f>
        <v>#N/A</v>
      </c>
      <c r="EX134" s="23" t="e">
        <f>EXP(-LN(2)/2)*EX133+(1-EXP(-LN(2)/2))/(LN(2)/2)*ER134*EU134*VLOOKUP('Données projet'!$B$15,Paramètres!$A$1:$I$88,3,0)*0.475*44/12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69.116130895932827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projet'!$B$16,Paramètres!$A$1:$I$88,3,0)*VLOOKUP('Données projet'!$B$16,Paramètres!$A$1:$I$88,5,0)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projet'!$B$16,Paramètres!$A$1:$I$88,7,0))</f>
        <v>0</v>
      </c>
      <c r="FO134" s="17">
        <f>IF(ISNA(VLOOKUP(A134,'Données projet'!$A$217:$I$237,6,0)),0%,VLOOKUP(A134,'Données projet'!$A$217:$I$237,6,0)*VLOOKUP('Données projet'!$B$16,Paramètres!$A$1:$I$88,7,0))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projet'!$B$16,Paramètres!$A$1:$I$88,3,0)*0.475*44/12</f>
        <v>#N/A</v>
      </c>
      <c r="FR134" s="23" t="e">
        <f>EXP(-LN(2)/25)*FR133+(1-EXP(-LN(2)/25))/(LN(2)/25)*Calculateur!FM134*Calculateur!FO134*VLOOKUP('Données projet'!$B$16,Paramètres!$A$1:$I$88,3,0)*0.475*44/12</f>
        <v>#N/A</v>
      </c>
      <c r="FS134" s="23" t="e">
        <f>EXP(-LN(2)/2)*FS133+(1-EXP(-LN(2)/2))/(LN(2)/2)*FM134*FP134*VLOOKUP('Données projet'!$B$16,Paramètres!$A$1:$I$88,3,0)*0.475*44/12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69.116130895932827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projet'!$B$17,Paramètres!$A$1:$I$88,3,0)*VLOOKUP('Données projet'!$B$17,Paramètres!$A$1:$I$88,5,0)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projet'!$B$17,Paramètres!$A$1:$I$88,7,0))</f>
        <v>0</v>
      </c>
      <c r="GJ134" s="17">
        <f>IF(ISNA(VLOOKUP(A134,'Données projet'!$A$243:$I$263,6,0)),0%,VLOOKUP(A134,'Données projet'!$A$243:$I$263,6,0)*VLOOKUP('Données projet'!$B$17,Paramètres!$A$1:$I$88,7,0))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projet'!$B$17,Paramètres!$A$1:$I$88,3,0)*0.475*44/12</f>
        <v>#N/A</v>
      </c>
      <c r="GM134" s="23" t="e">
        <f>EXP(-LN(2)/25)*GM133+(1-EXP(-LN(2)/25))/(LN(2)/25)*Calculateur!GH134*Calculateur!GJ134*VLOOKUP('Données projet'!$B$17,Paramètres!$A$1:$I$88,3,0)*0.475*44/12</f>
        <v>#N/A</v>
      </c>
      <c r="GN134" s="23" t="e">
        <f>EXP(-LN(2)/2)*GN133+(1-EXP(-LN(2)/2))/(LN(2)/2)*GH134*GK134*VLOOKUP('Données projet'!$B$17,Paramètres!$A$1:$I$88,3,0)*0.475*44/12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69.116130895932827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projet'!$B$18,Paramètres!$A$1:$I$88,3,0)*VLOOKUP('Données projet'!$B$18,Paramètres!$A$1:$I$88,5,0)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projet'!$B$18,Paramètres!$A$1:$I$88,7,0))</f>
        <v>0</v>
      </c>
      <c r="HE134" s="17">
        <f>IF(ISNA(VLOOKUP(A134,'Données projet'!$A$269:$I$289,6,0)),0%,VLOOKUP(A134,'Données projet'!$A$269:$I$289,6,0)*VLOOKUP('Données projet'!$B$18,Paramètres!$A$1:$I$88,7,0))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projet'!$B$18,Paramètres!$A$1:$I$88,3,0)*0.475*44/12</f>
        <v>#N/A</v>
      </c>
      <c r="HH134" s="23" t="e">
        <f>EXP(-LN(2)/25)*HH133+(1-EXP(-LN(2)/25))/(LN(2)/25)*Calculateur!HC134*Calculateur!HE134*VLOOKUP('Données projet'!$B$18,Paramètres!$A$1:$I$88,3,0)*0.475*44/12</f>
        <v>#N/A</v>
      </c>
      <c r="HI134" s="23" t="e">
        <f>EXP(-LN(2)/2)*HI133+(1-EXP(-LN(2)/2))/(LN(2)/2)*HC134*HF134*VLOOKUP('Données projet'!$B$18,Paramètres!$A$1:$I$88,3,0)*0.475*44/12</f>
        <v>#N/A</v>
      </c>
      <c r="HJ134" s="24" t="e">
        <f t="shared" si="138"/>
        <v>#N/A</v>
      </c>
    </row>
    <row r="135" spans="1:218" s="5" customFormat="1" x14ac:dyDescent="0.35">
      <c r="A135" s="11">
        <f t="shared" si="139"/>
        <v>132</v>
      </c>
      <c r="B135" s="77">
        <f>'Scénario référence'!$B$16*5+'Scénario référence'!$B$17*0+'Scénario référence'!$B$18*5</f>
        <v>1.75</v>
      </c>
      <c r="C135" s="20">
        <f>Calculateur!C134+'Scénario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35" s="12">
        <f t="shared" si="140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6.416666666666667</v>
      </c>
      <c r="H135" s="70">
        <f t="shared" si="110"/>
        <v>231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69.131464048853104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3.4106051316484809E-13</v>
      </c>
      <c r="O135" s="14">
        <f>N135*VLOOKUP('Données projet'!$B$9,Paramètres!$A$1:$I$88,3,0)*VLOOKUP('Données projet'!$B$9,Paramètres!$A$1:$I$88,5,0)</f>
        <v>1.9065282685915009E-13</v>
      </c>
      <c r="P135" s="14">
        <f t="shared" si="141"/>
        <v>2.6568987209435707E-12</v>
      </c>
      <c r="Q135" s="22">
        <f t="shared" si="108"/>
        <v>4.959485612423072E-12</v>
      </c>
      <c r="R135" s="62">
        <f t="shared" si="109"/>
        <v>290.14870151246635</v>
      </c>
      <c r="S135" s="62">
        <f ca="1">AVERAGE(OFFSET($R$3,0,0,'Données projet'!$E$9+1,1))-AVERAGE(OFFSET($H$3,0,0,'Données projet'!$E$9+1,1))</f>
        <v>341.05096821796769</v>
      </c>
      <c r="T135" s="62">
        <f t="shared" si="142"/>
        <v>400.72519822215168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projet'!$B$9,Paramètres!$A$1:$I$88,7,0))</f>
        <v>0</v>
      </c>
      <c r="X135" s="17">
        <f>IF(ISNA(VLOOKUP(A135,'Données projet'!$A$35:$I$55,6,0)),0%,VLOOKUP(A135,'Données projet'!$A$35:$I$55,6,0)*VLOOKUP('Données projet'!$B$9,Paramètres!$A$1:$I$88,7,0))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projet'!$B$9,Paramètres!$A$1:$I$88,3,0)*0.475*44/12</f>
        <v>57.579941856891608</v>
      </c>
      <c r="AA135" s="23">
        <f>EXP(-LN(2)/25)*AA134+(1-EXP(-LN(2)/25))/(LN(2)/25)*Calculateur!V135*Calculateur!X135*VLOOKUP('Données projet'!$B$9,Paramètres!$A$1:$I$88,3,0)*0.475*44/12</f>
        <v>18.002356363744585</v>
      </c>
      <c r="AB135" s="23">
        <f>EXP(-LN(2)/2)*AB134+(1-EXP(-LN(2)/2))/(LN(2)/2)*V135*Y135*VLOOKUP('Données projet'!$B$9,Paramètres!$A$1:$I$88,3,0)*0.475*44/12</f>
        <v>0</v>
      </c>
      <c r="AC135" s="24">
        <f t="shared" si="111"/>
        <v>75.58229822063619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69.131464048853104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5.6843418860808015E-14</v>
      </c>
      <c r="AJ135" s="14">
        <f>AI135*VLOOKUP('Données projet'!$B$10,Paramètres!$A$1:$I$88,3,0)*VLOOKUP('Données projet'!$B$10,Paramètres!$A$1:$I$88,5,0)</f>
        <v>3.3992364478763198E-14</v>
      </c>
      <c r="AK135" s="14">
        <f t="shared" si="143"/>
        <v>5.790027782444094E-13</v>
      </c>
      <c r="AL135" s="22">
        <f t="shared" si="112"/>
        <v>1.0676332069095257E-12</v>
      </c>
      <c r="AM135" s="62">
        <f t="shared" si="113"/>
        <v>290.14870151246248</v>
      </c>
      <c r="AN135" s="62">
        <f ca="1">AVERAGE(OFFSET($AM$3,0,0,'Données projet'!$E$10+1,1))-AVERAGE(OFFSET($H$3,0,0,'Données projet'!$E$10+1,1))</f>
        <v>231.96474801342879</v>
      </c>
      <c r="AO135" s="62">
        <f t="shared" si="144"/>
        <v>237.75726086383668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projet'!$B$10,Paramètres!$A$1:$I$88,7,0))</f>
        <v>0</v>
      </c>
      <c r="AS135" s="17">
        <f>IF(ISNA(VLOOKUP(A135,'Données projet'!$A$61:$I$81,6,0)),0%,VLOOKUP(A135,'Données projet'!$A$61:$I$81,6,0)*VLOOKUP('Données projet'!$B$10,Paramètres!$A$1:$I$88,7,0))</f>
        <v>0</v>
      </c>
      <c r="AT135" s="17">
        <f>IF(ISNA(VLOOKUP(A135,'Données projet'!$A$61:$I$81,7,0)),0%,VLOOKUP(A135,'Données projet'!$A$61:$I$81,7,0))</f>
        <v>0</v>
      </c>
      <c r="AU135" s="23">
        <f>EXP(-LN(2)/35)*AU134+(1-EXP(-LN(2)/35))/(LN(2)/35)*AQ135*AR135*VLOOKUP('Données projet'!$B$10,Paramètres!$A$1:$I$88,3,0)*0.475*44/12</f>
        <v>22.706623078916117</v>
      </c>
      <c r="AV135" s="23">
        <f>EXP(-LN(2)/25)*AV134+(1-EXP(-LN(2)/25))/(LN(2)/25)*Calculateur!AQ135*Calculateur!AS135*VLOOKUP('Données projet'!$B$10,Paramètres!$A$1:$I$88,3,0)*0.475*44/12</f>
        <v>7.6019399288206078</v>
      </c>
      <c r="AW135" s="23">
        <f>EXP(-LN(2)/2)*AW134+(1-EXP(-LN(2)/2))/(LN(2)/2)*AQ135*AT135*VLOOKUP('Données projet'!$B$10,Paramètres!$A$1:$I$88,3,0)*0.475*44/12</f>
        <v>0</v>
      </c>
      <c r="AX135" s="23">
        <f t="shared" si="114"/>
        <v>30.308563007736723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69.131464048853104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6.8212102632969618E-13</v>
      </c>
      <c r="BE135" s="14">
        <f>BD135*VLOOKUP('Données projet'!$B$11,Paramètres!$A$1:$I$88,3,0)*VLOOKUP('Données projet'!$B$11,Paramètres!$A$1:$I$88,5,0)</f>
        <v>3.1923264032229784E-13</v>
      </c>
      <c r="BF135" s="14">
        <f t="shared" si="145"/>
        <v>4.1896839804541558E-12</v>
      </c>
      <c r="BG135" s="22">
        <f t="shared" si="115"/>
        <v>7.8530297811856558E-12</v>
      </c>
      <c r="BH135" s="62">
        <f t="shared" si="116"/>
        <v>290.14870151246924</v>
      </c>
      <c r="BI135" s="62">
        <f ca="1">AVERAGE(OFFSET($BH$3,0,0,'Données projet'!$E$11+1,1))-AVERAGE(OFFSET($H$3,0,0,'Données projet'!$E$11+1,1))</f>
        <v>364.96458059055169</v>
      </c>
      <c r="BJ135" s="62">
        <f t="shared" si="146"/>
        <v>246.27159120786257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projet'!$B$11,Paramètres!$A$1:$I$88,7,0))</f>
        <v>0</v>
      </c>
      <c r="BN135" s="17">
        <f>IF(ISNA(VLOOKUP(A135,'Données projet'!$A$87:$I$107,6,0)),0%,VLOOKUP(A135,'Données projet'!$A$87:$I$107,6,0)*VLOOKUP('Données projet'!$B$11,Paramètres!$A$1:$I$88,7,0))</f>
        <v>0</v>
      </c>
      <c r="BO135" s="17">
        <f>IF(ISNA(VLOOKUP(A135,'Données projet'!$A$87:$I$107,7,0)),0%,VLOOKUP(A135,'Données projet'!$A$87:$I$107,7,0))</f>
        <v>0</v>
      </c>
      <c r="BP135" s="23">
        <f>EXP(-LN(2)/35)*BP134+(1-EXP(-LN(2)/35))/(LN(2)/35)*BL135*BM135*VLOOKUP('Données projet'!$B$11,Paramètres!$A$1:$I$88,3,0)*0.475*44/12</f>
        <v>126.31808579784459</v>
      </c>
      <c r="BQ135" s="23">
        <f>EXP(-LN(2)/25)*BQ134+(1-EXP(-LN(2)/25))/(LN(2)/25)*Calculateur!BL135*Calculateur!BN135*VLOOKUP('Données projet'!$B$11,Paramètres!$A$1:$I$88,3,0)*0.475*44/12</f>
        <v>41.509244509405612</v>
      </c>
      <c r="BR135" s="23">
        <f>EXP(-LN(2)/2)*BR134+(1-EXP(-LN(2)/2))/(LN(2)/2)*BL135*BO135*VLOOKUP('Données projet'!$B$11,Paramètres!$A$1:$I$88,3,0)*0.475*44/12</f>
        <v>0</v>
      </c>
      <c r="BS135" s="24">
        <f t="shared" si="117"/>
        <v>167.82733030725021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69.131464048853104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-1.1368683772161603E-13</v>
      </c>
      <c r="BZ135" s="14">
        <f>BY135*VLOOKUP('Données projet'!$B$12,Paramètres!$A$1:$I$88,3,0)*VLOOKUP('Données projet'!$B$12,Paramètres!$A$1:$I$88,5,0)</f>
        <v>-1.1527845344971866E-13</v>
      </c>
      <c r="CA135" s="14" t="e">
        <f t="shared" si="147"/>
        <v>#NUM!</v>
      </c>
      <c r="CB135" s="22" t="e">
        <f t="shared" si="118"/>
        <v>#NUM!</v>
      </c>
      <c r="CC135" s="62" t="e">
        <f t="shared" si="119"/>
        <v>#NUM!</v>
      </c>
      <c r="CD135" s="62">
        <f ca="1">AVERAGE(OFFSET($CC$3,0,0,'Données projet'!$E$12+1,1))-AVERAGE(OFFSET($H$3,0,0,'Données projet'!$E$12+1,1))</f>
        <v>310.53598044763282</v>
      </c>
      <c r="CE135" s="62">
        <f t="shared" si="148"/>
        <v>322.01096634040596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projet'!$B$12,Paramètres!$A$1:$I$88,7,0))</f>
        <v>0</v>
      </c>
      <c r="CI135" s="17">
        <f>IF(ISNA(VLOOKUP(A135,'Données projet'!$A$113:$I$133,6,0)),0%,VLOOKUP(A135,'Données projet'!$A$113:$I$133,6,0)*VLOOKUP('Données projet'!$B$12,Paramètres!$A$1:$I$88,7,0))</f>
        <v>0</v>
      </c>
      <c r="CJ135" s="17">
        <f>IF(ISNA(VLOOKUP(A135,'Données projet'!$A$113:$I$133,7,0)),0%,VLOOKUP(A135,'Données projet'!$A$113:$I$133,7,0))</f>
        <v>0</v>
      </c>
      <c r="CK135" s="23">
        <f>EXP(-LN(2)/35)*CK134+(1-EXP(-LN(2)/35))/(LN(2)/35)*CG135*CH135*VLOOKUP('Données projet'!$B$12,Paramètres!$A$1:$I$88,3,0)*0.475*44/12</f>
        <v>17.373330368770226</v>
      </c>
      <c r="CL135" s="23">
        <f>EXP(-LN(2)/25)*CL134+(1-EXP(-LN(2)/25))/(LN(2)/25)*Calculateur!CG135*Calculateur!CI135*VLOOKUP('Données projet'!$B$12,Paramètres!$A$1:$I$88,3,0)*0.475*44/12</f>
        <v>0</v>
      </c>
      <c r="CM135" s="23">
        <f>EXP(-LN(2)/2)*CM134+(1-EXP(-LN(2)/2))/(LN(2)/2)*CG135*CJ135*VLOOKUP('Données projet'!$B$12,Paramètres!$A$1:$I$88,3,0)*0.475*44/12</f>
        <v>0</v>
      </c>
      <c r="CN135" s="24">
        <f t="shared" si="120"/>
        <v>17.373330368770226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69.131464048853104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projet'!$B$13,Paramètres!$A$1:$I$88,3,0)*VLOOKUP('Données projet'!$B$13,Paramètres!$A$1:$I$88,5,0)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projet'!$B$13,Paramètres!$A$1:$I$88,7,0))</f>
        <v>0</v>
      </c>
      <c r="DD135" s="17">
        <f>IF(ISNA(VLOOKUP(A135,'Données projet'!$A$139:$I$159,6,0)),0%,VLOOKUP(A135,'Données projet'!$A$139:$I$159,6,0)*VLOOKUP('Données projet'!$B$13,Paramètres!$A$1:$I$88,7,0))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projet'!$B$13,Paramètres!$A$1:$I$88,3,0)*0.475*44/12</f>
        <v>#N/A</v>
      </c>
      <c r="DG135" s="23" t="e">
        <f>EXP(-LN(2)/25)*DG134+(1-EXP(-LN(2)/25))/(LN(2)/25)*Calculateur!DB135*Calculateur!DD135*VLOOKUP('Données projet'!$B$13,Paramètres!$A$1:$I$88,3,0)*0.475*44/12</f>
        <v>#N/A</v>
      </c>
      <c r="DH135" s="23" t="e">
        <f>EXP(-LN(2)/2)*DH134+(1-EXP(-LN(2)/2))/(LN(2)/2)*DB135*DE135*VLOOKUP('Données projet'!$B$13,Paramètres!$A$1:$I$88,3,0)*0.475*44/12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69.131464048853104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projet'!$B$14,Paramètres!$A$1:$I$88,3,0)*VLOOKUP('Données projet'!$B$14,Paramètres!$A$1:$I$88,5,0)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projet'!$B$14,Paramètres!$A$1:$I$88,7,0))</f>
        <v>0</v>
      </c>
      <c r="DY135" s="17">
        <f>IF(ISNA(VLOOKUP(A135,'Données projet'!$A$165:$I$185,6,0)),0%,VLOOKUP(A135,'Données projet'!$A$165:$I$185,6,0)*VLOOKUP('Données projet'!$B$14,Paramètres!$A$1:$I$88,7,0))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projet'!$B$14,Paramètres!$A$1:$I$88,3,0)*0.475*44/12</f>
        <v>#N/A</v>
      </c>
      <c r="EB135" s="23" t="e">
        <f>EXP(-LN(2)/25)*EB134+(1-EXP(-LN(2)/25))/(LN(2)/25)*Calculateur!DW135*Calculateur!DY135*VLOOKUP('Données projet'!$B$14,Paramètres!$A$1:$I$88,3,0)*0.475*44/12</f>
        <v>#N/A</v>
      </c>
      <c r="EC135" s="23" t="e">
        <f>EXP(-LN(2)/2)*EC134+(1-EXP(-LN(2)/2))/(LN(2)/2)*DW135*DZ135*VLOOKUP('Données projet'!$B$14,Paramètres!$A$1:$I$88,3,0)*0.475*44/12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69.131464048853104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projet'!$B$15,Paramètres!$A$1:$I$88,3,0)*VLOOKUP('Données projet'!$B$15,Paramètres!$A$1:$I$88,5,0)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projet'!$B$15,Paramètres!$A$1:$I$88,7,0))</f>
        <v>0</v>
      </c>
      <c r="ET135" s="17">
        <f>IF(ISNA(VLOOKUP(A135,'Données projet'!$A$191:$I$211,6,0)),0%,VLOOKUP(A135,'Données projet'!$A$191:$I$211,6,0)*VLOOKUP('Données projet'!$B$15,Paramètres!$A$1:$I$88,7,0))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projet'!$B$15,Paramètres!$A$1:$I$88,3,0)*0.475*44/12</f>
        <v>#N/A</v>
      </c>
      <c r="EW135" s="23" t="e">
        <f>EXP(-LN(2)/25)*EW134+(1-EXP(-LN(2)/25))/(LN(2)/25)*Calculateur!ER135*Calculateur!ET135*VLOOKUP('Données projet'!$B$15,Paramètres!$A$1:$I$88,3,0)*0.475*44/12</f>
        <v>#N/A</v>
      </c>
      <c r="EX135" s="23" t="e">
        <f>EXP(-LN(2)/2)*EX134+(1-EXP(-LN(2)/2))/(LN(2)/2)*ER135*EU135*VLOOKUP('Données projet'!$B$15,Paramètres!$A$1:$I$88,3,0)*0.475*44/12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69.131464048853104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projet'!$B$16,Paramètres!$A$1:$I$88,3,0)*VLOOKUP('Données projet'!$B$16,Paramètres!$A$1:$I$88,5,0)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projet'!$B$16,Paramètres!$A$1:$I$88,7,0))</f>
        <v>0</v>
      </c>
      <c r="FO135" s="17">
        <f>IF(ISNA(VLOOKUP(A135,'Données projet'!$A$217:$I$237,6,0)),0%,VLOOKUP(A135,'Données projet'!$A$217:$I$237,6,0)*VLOOKUP('Données projet'!$B$16,Paramètres!$A$1:$I$88,7,0))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projet'!$B$16,Paramètres!$A$1:$I$88,3,0)*0.475*44/12</f>
        <v>#N/A</v>
      </c>
      <c r="FR135" s="23" t="e">
        <f>EXP(-LN(2)/25)*FR134+(1-EXP(-LN(2)/25))/(LN(2)/25)*Calculateur!FM135*Calculateur!FO135*VLOOKUP('Données projet'!$B$16,Paramètres!$A$1:$I$88,3,0)*0.475*44/12</f>
        <v>#N/A</v>
      </c>
      <c r="FS135" s="23" t="e">
        <f>EXP(-LN(2)/2)*FS134+(1-EXP(-LN(2)/2))/(LN(2)/2)*FM135*FP135*VLOOKUP('Données projet'!$B$16,Paramètres!$A$1:$I$88,3,0)*0.475*44/12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69.131464048853104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projet'!$B$17,Paramètres!$A$1:$I$88,3,0)*VLOOKUP('Données projet'!$B$17,Paramètres!$A$1:$I$88,5,0)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projet'!$B$17,Paramètres!$A$1:$I$88,7,0))</f>
        <v>0</v>
      </c>
      <c r="GJ135" s="17">
        <f>IF(ISNA(VLOOKUP(A135,'Données projet'!$A$243:$I$263,6,0)),0%,VLOOKUP(A135,'Données projet'!$A$243:$I$263,6,0)*VLOOKUP('Données projet'!$B$17,Paramètres!$A$1:$I$88,7,0))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projet'!$B$17,Paramètres!$A$1:$I$88,3,0)*0.475*44/12</f>
        <v>#N/A</v>
      </c>
      <c r="GM135" s="23" t="e">
        <f>EXP(-LN(2)/25)*GM134+(1-EXP(-LN(2)/25))/(LN(2)/25)*Calculateur!GH135*Calculateur!GJ135*VLOOKUP('Données projet'!$B$17,Paramètres!$A$1:$I$88,3,0)*0.475*44/12</f>
        <v>#N/A</v>
      </c>
      <c r="GN135" s="23" t="e">
        <f>EXP(-LN(2)/2)*GN134+(1-EXP(-LN(2)/2))/(LN(2)/2)*GH135*GK135*VLOOKUP('Données projet'!$B$17,Paramètres!$A$1:$I$88,3,0)*0.475*44/12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69.131464048853104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projet'!$B$18,Paramètres!$A$1:$I$88,3,0)*VLOOKUP('Données projet'!$B$18,Paramètres!$A$1:$I$88,5,0)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projet'!$B$18,Paramètres!$A$1:$I$88,7,0))</f>
        <v>0</v>
      </c>
      <c r="HE135" s="17">
        <f>IF(ISNA(VLOOKUP(A135,'Données projet'!$A$269:$I$289,6,0)),0%,VLOOKUP(A135,'Données projet'!$A$269:$I$289,6,0)*VLOOKUP('Données projet'!$B$18,Paramètres!$A$1:$I$88,7,0))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projet'!$B$18,Paramètres!$A$1:$I$88,3,0)*0.475*44/12</f>
        <v>#N/A</v>
      </c>
      <c r="HH135" s="23" t="e">
        <f>EXP(-LN(2)/25)*HH134+(1-EXP(-LN(2)/25))/(LN(2)/25)*Calculateur!HC135*Calculateur!HE135*VLOOKUP('Données projet'!$B$18,Paramètres!$A$1:$I$88,3,0)*0.475*44/12</f>
        <v>#N/A</v>
      </c>
      <c r="HI135" s="23" t="e">
        <f>EXP(-LN(2)/2)*HI134+(1-EXP(-LN(2)/2))/(LN(2)/2)*HC135*HF135*VLOOKUP('Données projet'!$B$18,Paramètres!$A$1:$I$88,3,0)*0.475*44/12</f>
        <v>#N/A</v>
      </c>
      <c r="HJ135" s="24" t="e">
        <f t="shared" si="138"/>
        <v>#N/A</v>
      </c>
    </row>
    <row r="136" spans="1:218" s="5" customFormat="1" x14ac:dyDescent="0.35">
      <c r="A136" s="11">
        <f t="shared" si="139"/>
        <v>133</v>
      </c>
      <c r="B136" s="77">
        <f>'Scénario référence'!$B$16*5+'Scénario référence'!$B$17*0+'Scénario référence'!$B$18*5</f>
        <v>1.75</v>
      </c>
      <c r="C136" s="20">
        <f>Calculateur!C135+'Scénario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36" s="12">
        <f t="shared" si="140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6.416666666666667</v>
      </c>
      <c r="H136" s="70">
        <f t="shared" si="110"/>
        <v>231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69.14653120585001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3.4106051316484809E-13</v>
      </c>
      <c r="O136" s="14">
        <f>N136*VLOOKUP('Données projet'!$B$9,Paramètres!$A$1:$I$88,3,0)*VLOOKUP('Données projet'!$B$9,Paramètres!$A$1:$I$88,5,0)</f>
        <v>1.9065282685915009E-13</v>
      </c>
      <c r="P136" s="14">
        <f t="shared" si="141"/>
        <v>2.6568987209435707E-12</v>
      </c>
      <c r="Q136" s="22">
        <f t="shared" si="108"/>
        <v>4.959485612423072E-12</v>
      </c>
      <c r="R136" s="62">
        <f t="shared" si="109"/>
        <v>290.20394775478832</v>
      </c>
      <c r="S136" s="62">
        <f ca="1">AVERAGE(OFFSET($R$3,0,0,'Données projet'!$E$9+1,1))-AVERAGE(OFFSET($H$3,0,0,'Données projet'!$E$9+1,1))</f>
        <v>341.05096821796769</v>
      </c>
      <c r="T136" s="62">
        <f t="shared" si="142"/>
        <v>400.72519822215168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projet'!$B$9,Paramètres!$A$1:$I$88,7,0))</f>
        <v>0</v>
      </c>
      <c r="X136" s="17">
        <f>IF(ISNA(VLOOKUP(A136,'Données projet'!$A$35:$I$55,6,0)),0%,VLOOKUP(A136,'Données projet'!$A$35:$I$55,6,0)*VLOOKUP('Données projet'!$B$9,Paramètres!$A$1:$I$88,7,0))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projet'!$B$9,Paramètres!$A$1:$I$88,3,0)*0.475*44/12</f>
        <v>56.450834317374657</v>
      </c>
      <c r="AA136" s="23">
        <f>EXP(-LN(2)/25)*AA135+(1-EXP(-LN(2)/25))/(LN(2)/25)*Calculateur!V136*Calculateur!X136*VLOOKUP('Données projet'!$B$9,Paramètres!$A$1:$I$88,3,0)*0.475*44/12</f>
        <v>17.510080982275213</v>
      </c>
      <c r="AB136" s="23">
        <f>EXP(-LN(2)/2)*AB135+(1-EXP(-LN(2)/2))/(LN(2)/2)*V136*Y136*VLOOKUP('Données projet'!$B$9,Paramètres!$A$1:$I$88,3,0)*0.475*44/12</f>
        <v>0</v>
      </c>
      <c r="AC136" s="24">
        <f t="shared" si="111"/>
        <v>73.960915299649869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69.14653120585001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5.6843418860808015E-14</v>
      </c>
      <c r="AJ136" s="14">
        <f>AI136*VLOOKUP('Données projet'!$B$10,Paramètres!$A$1:$I$88,3,0)*VLOOKUP('Données projet'!$B$10,Paramètres!$A$1:$I$88,5,0)</f>
        <v>3.3992364478763198E-14</v>
      </c>
      <c r="AK136" s="14">
        <f t="shared" si="143"/>
        <v>5.790027782444094E-13</v>
      </c>
      <c r="AL136" s="22">
        <f t="shared" si="112"/>
        <v>1.0676332069095257E-12</v>
      </c>
      <c r="AM136" s="62">
        <f t="shared" si="113"/>
        <v>290.20394775478445</v>
      </c>
      <c r="AN136" s="62">
        <f ca="1">AVERAGE(OFFSET($AM$3,0,0,'Données projet'!$E$10+1,1))-AVERAGE(OFFSET($H$3,0,0,'Données projet'!$E$10+1,1))</f>
        <v>231.96474801342879</v>
      </c>
      <c r="AO136" s="62">
        <f t="shared" si="144"/>
        <v>237.75726086383668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projet'!$B$10,Paramètres!$A$1:$I$88,7,0))</f>
        <v>0</v>
      </c>
      <c r="AS136" s="17">
        <f>IF(ISNA(VLOOKUP(A136,'Données projet'!$A$61:$I$81,6,0)),0%,VLOOKUP(A136,'Données projet'!$A$61:$I$81,6,0)*VLOOKUP('Données projet'!$B$10,Paramètres!$A$1:$I$88,7,0))</f>
        <v>0</v>
      </c>
      <c r="AT136" s="17">
        <f>IF(ISNA(VLOOKUP(A136,'Données projet'!$A$61:$I$81,7,0)),0%,VLOOKUP(A136,'Données projet'!$A$61:$I$81,7,0))</f>
        <v>0</v>
      </c>
      <c r="AU136" s="23">
        <f>EXP(-LN(2)/35)*AU135+(1-EXP(-LN(2)/35))/(LN(2)/35)*AQ136*AR136*VLOOKUP('Données projet'!$B$10,Paramètres!$A$1:$I$88,3,0)*0.475*44/12</f>
        <v>22.26136005001111</v>
      </c>
      <c r="AV136" s="23">
        <f>EXP(-LN(2)/25)*AV135+(1-EXP(-LN(2)/25))/(LN(2)/25)*Calculateur!AQ136*Calculateur!AS136*VLOOKUP('Données projet'!$B$10,Paramètres!$A$1:$I$88,3,0)*0.475*44/12</f>
        <v>7.3940644816983623</v>
      </c>
      <c r="AW136" s="23">
        <f>EXP(-LN(2)/2)*AW135+(1-EXP(-LN(2)/2))/(LN(2)/2)*AQ136*AT136*VLOOKUP('Données projet'!$B$10,Paramètres!$A$1:$I$88,3,0)*0.475*44/12</f>
        <v>0</v>
      </c>
      <c r="AX136" s="23">
        <f t="shared" si="114"/>
        <v>29.655424531709471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69.14653120585001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6.8212102632969618E-13</v>
      </c>
      <c r="BE136" s="14">
        <f>BD136*VLOOKUP('Données projet'!$B$11,Paramètres!$A$1:$I$88,3,0)*VLOOKUP('Données projet'!$B$11,Paramètres!$A$1:$I$88,5,0)</f>
        <v>3.1923264032229784E-13</v>
      </c>
      <c r="BF136" s="14">
        <f t="shared" si="145"/>
        <v>4.1896839804541558E-12</v>
      </c>
      <c r="BG136" s="22">
        <f t="shared" si="115"/>
        <v>7.8530297811856558E-12</v>
      </c>
      <c r="BH136" s="62">
        <f t="shared" si="116"/>
        <v>290.20394775479122</v>
      </c>
      <c r="BI136" s="62">
        <f ca="1">AVERAGE(OFFSET($BH$3,0,0,'Données projet'!$E$11+1,1))-AVERAGE(OFFSET($H$3,0,0,'Données projet'!$E$11+1,1))</f>
        <v>364.96458059055169</v>
      </c>
      <c r="BJ136" s="62">
        <f t="shared" si="146"/>
        <v>246.27159120786257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projet'!$B$11,Paramètres!$A$1:$I$88,7,0))</f>
        <v>0</v>
      </c>
      <c r="BN136" s="17">
        <f>IF(ISNA(VLOOKUP(A136,'Données projet'!$A$87:$I$107,6,0)),0%,VLOOKUP(A136,'Données projet'!$A$87:$I$107,6,0)*VLOOKUP('Données projet'!$B$11,Paramètres!$A$1:$I$88,7,0))</f>
        <v>0</v>
      </c>
      <c r="BO136" s="17">
        <f>IF(ISNA(VLOOKUP(A136,'Données projet'!$A$87:$I$107,7,0)),0%,VLOOKUP(A136,'Données projet'!$A$87:$I$107,7,0))</f>
        <v>0</v>
      </c>
      <c r="BP136" s="23">
        <f>EXP(-LN(2)/35)*BP135+(1-EXP(-LN(2)/35))/(LN(2)/35)*BL136*BM136*VLOOKUP('Données projet'!$B$11,Paramètres!$A$1:$I$88,3,0)*0.475*44/12</f>
        <v>123.84106518177349</v>
      </c>
      <c r="BQ136" s="23">
        <f>EXP(-LN(2)/25)*BQ135+(1-EXP(-LN(2)/25))/(LN(2)/25)*Calculateur!BL136*Calculateur!BN136*VLOOKUP('Données projet'!$B$11,Paramètres!$A$1:$I$88,3,0)*0.475*44/12</f>
        <v>40.374172035419619</v>
      </c>
      <c r="BR136" s="23">
        <f>EXP(-LN(2)/2)*BR135+(1-EXP(-LN(2)/2))/(LN(2)/2)*BL136*BO136*VLOOKUP('Données projet'!$B$11,Paramètres!$A$1:$I$88,3,0)*0.475*44/12</f>
        <v>0</v>
      </c>
      <c r="BS136" s="24">
        <f t="shared" si="117"/>
        <v>164.21523721719311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69.14653120585001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-1.1368683772161603E-13</v>
      </c>
      <c r="BZ136" s="14">
        <f>BY136*VLOOKUP('Données projet'!$B$12,Paramètres!$A$1:$I$88,3,0)*VLOOKUP('Données projet'!$B$12,Paramètres!$A$1:$I$88,5,0)</f>
        <v>-1.1527845344971866E-13</v>
      </c>
      <c r="CA136" s="14" t="e">
        <f t="shared" si="147"/>
        <v>#NUM!</v>
      </c>
      <c r="CB136" s="22" t="e">
        <f t="shared" si="118"/>
        <v>#NUM!</v>
      </c>
      <c r="CC136" s="62" t="e">
        <f t="shared" si="119"/>
        <v>#NUM!</v>
      </c>
      <c r="CD136" s="62">
        <f ca="1">AVERAGE(OFFSET($CC$3,0,0,'Données projet'!$E$12+1,1))-AVERAGE(OFFSET($H$3,0,0,'Données projet'!$E$12+1,1))</f>
        <v>310.53598044763282</v>
      </c>
      <c r="CE136" s="62">
        <f t="shared" si="148"/>
        <v>322.01096634040596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projet'!$B$12,Paramètres!$A$1:$I$88,7,0))</f>
        <v>0</v>
      </c>
      <c r="CI136" s="17">
        <f>IF(ISNA(VLOOKUP(A136,'Données projet'!$A$113:$I$133,6,0)),0%,VLOOKUP(A136,'Données projet'!$A$113:$I$133,6,0)*VLOOKUP('Données projet'!$B$12,Paramètres!$A$1:$I$88,7,0))</f>
        <v>0</v>
      </c>
      <c r="CJ136" s="17">
        <f>IF(ISNA(VLOOKUP(A136,'Données projet'!$A$113:$I$133,7,0)),0%,VLOOKUP(A136,'Données projet'!$A$113:$I$133,7,0))</f>
        <v>0</v>
      </c>
      <c r="CK136" s="23">
        <f>EXP(-LN(2)/35)*CK135+(1-EXP(-LN(2)/35))/(LN(2)/35)*CG136*CH136*VLOOKUP('Données projet'!$B$12,Paramètres!$A$1:$I$88,3,0)*0.475*44/12</f>
        <v>17.03264995692383</v>
      </c>
      <c r="CL136" s="23">
        <f>EXP(-LN(2)/25)*CL135+(1-EXP(-LN(2)/25))/(LN(2)/25)*Calculateur!CG136*Calculateur!CI136*VLOOKUP('Données projet'!$B$12,Paramètres!$A$1:$I$88,3,0)*0.475*44/12</f>
        <v>0</v>
      </c>
      <c r="CM136" s="23">
        <f>EXP(-LN(2)/2)*CM135+(1-EXP(-LN(2)/2))/(LN(2)/2)*CG136*CJ136*VLOOKUP('Données projet'!$B$12,Paramètres!$A$1:$I$88,3,0)*0.475*44/12</f>
        <v>0</v>
      </c>
      <c r="CN136" s="24">
        <f t="shared" si="120"/>
        <v>17.03264995692383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69.14653120585001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projet'!$B$13,Paramètres!$A$1:$I$88,3,0)*VLOOKUP('Données projet'!$B$13,Paramètres!$A$1:$I$88,5,0)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projet'!$B$13,Paramètres!$A$1:$I$88,7,0))</f>
        <v>0</v>
      </c>
      <c r="DD136" s="17">
        <f>IF(ISNA(VLOOKUP(A136,'Données projet'!$A$139:$I$159,6,0)),0%,VLOOKUP(A136,'Données projet'!$A$139:$I$159,6,0)*VLOOKUP('Données projet'!$B$13,Paramètres!$A$1:$I$88,7,0))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projet'!$B$13,Paramètres!$A$1:$I$88,3,0)*0.475*44/12</f>
        <v>#N/A</v>
      </c>
      <c r="DG136" s="23" t="e">
        <f>EXP(-LN(2)/25)*DG135+(1-EXP(-LN(2)/25))/(LN(2)/25)*Calculateur!DB136*Calculateur!DD136*VLOOKUP('Données projet'!$B$13,Paramètres!$A$1:$I$88,3,0)*0.475*44/12</f>
        <v>#N/A</v>
      </c>
      <c r="DH136" s="23" t="e">
        <f>EXP(-LN(2)/2)*DH135+(1-EXP(-LN(2)/2))/(LN(2)/2)*DB136*DE136*VLOOKUP('Données projet'!$B$13,Paramètres!$A$1:$I$88,3,0)*0.475*44/12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69.14653120585001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projet'!$B$14,Paramètres!$A$1:$I$88,3,0)*VLOOKUP('Données projet'!$B$14,Paramètres!$A$1:$I$88,5,0)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projet'!$B$14,Paramètres!$A$1:$I$88,7,0))</f>
        <v>0</v>
      </c>
      <c r="DY136" s="17">
        <f>IF(ISNA(VLOOKUP(A136,'Données projet'!$A$165:$I$185,6,0)),0%,VLOOKUP(A136,'Données projet'!$A$165:$I$185,6,0)*VLOOKUP('Données projet'!$B$14,Paramètres!$A$1:$I$88,7,0))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projet'!$B$14,Paramètres!$A$1:$I$88,3,0)*0.475*44/12</f>
        <v>#N/A</v>
      </c>
      <c r="EB136" s="23" t="e">
        <f>EXP(-LN(2)/25)*EB135+(1-EXP(-LN(2)/25))/(LN(2)/25)*Calculateur!DW136*Calculateur!DY136*VLOOKUP('Données projet'!$B$14,Paramètres!$A$1:$I$88,3,0)*0.475*44/12</f>
        <v>#N/A</v>
      </c>
      <c r="EC136" s="23" t="e">
        <f>EXP(-LN(2)/2)*EC135+(1-EXP(-LN(2)/2))/(LN(2)/2)*DW136*DZ136*VLOOKUP('Données projet'!$B$14,Paramètres!$A$1:$I$88,3,0)*0.475*44/12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69.14653120585001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projet'!$B$15,Paramètres!$A$1:$I$88,3,0)*VLOOKUP('Données projet'!$B$15,Paramètres!$A$1:$I$88,5,0)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projet'!$B$15,Paramètres!$A$1:$I$88,7,0))</f>
        <v>0</v>
      </c>
      <c r="ET136" s="17">
        <f>IF(ISNA(VLOOKUP(A136,'Données projet'!$A$191:$I$211,6,0)),0%,VLOOKUP(A136,'Données projet'!$A$191:$I$211,6,0)*VLOOKUP('Données projet'!$B$15,Paramètres!$A$1:$I$88,7,0))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projet'!$B$15,Paramètres!$A$1:$I$88,3,0)*0.475*44/12</f>
        <v>#N/A</v>
      </c>
      <c r="EW136" s="23" t="e">
        <f>EXP(-LN(2)/25)*EW135+(1-EXP(-LN(2)/25))/(LN(2)/25)*Calculateur!ER136*Calculateur!ET136*VLOOKUP('Données projet'!$B$15,Paramètres!$A$1:$I$88,3,0)*0.475*44/12</f>
        <v>#N/A</v>
      </c>
      <c r="EX136" s="23" t="e">
        <f>EXP(-LN(2)/2)*EX135+(1-EXP(-LN(2)/2))/(LN(2)/2)*ER136*EU136*VLOOKUP('Données projet'!$B$15,Paramètres!$A$1:$I$88,3,0)*0.475*44/12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69.14653120585001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projet'!$B$16,Paramètres!$A$1:$I$88,3,0)*VLOOKUP('Données projet'!$B$16,Paramètres!$A$1:$I$88,5,0)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projet'!$B$16,Paramètres!$A$1:$I$88,7,0))</f>
        <v>0</v>
      </c>
      <c r="FO136" s="17">
        <f>IF(ISNA(VLOOKUP(A136,'Données projet'!$A$217:$I$237,6,0)),0%,VLOOKUP(A136,'Données projet'!$A$217:$I$237,6,0)*VLOOKUP('Données projet'!$B$16,Paramètres!$A$1:$I$88,7,0))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projet'!$B$16,Paramètres!$A$1:$I$88,3,0)*0.475*44/12</f>
        <v>#N/A</v>
      </c>
      <c r="FR136" s="23" t="e">
        <f>EXP(-LN(2)/25)*FR135+(1-EXP(-LN(2)/25))/(LN(2)/25)*Calculateur!FM136*Calculateur!FO136*VLOOKUP('Données projet'!$B$16,Paramètres!$A$1:$I$88,3,0)*0.475*44/12</f>
        <v>#N/A</v>
      </c>
      <c r="FS136" s="23" t="e">
        <f>EXP(-LN(2)/2)*FS135+(1-EXP(-LN(2)/2))/(LN(2)/2)*FM136*FP136*VLOOKUP('Données projet'!$B$16,Paramètres!$A$1:$I$88,3,0)*0.475*44/12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69.14653120585001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projet'!$B$17,Paramètres!$A$1:$I$88,3,0)*VLOOKUP('Données projet'!$B$17,Paramètres!$A$1:$I$88,5,0)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projet'!$B$17,Paramètres!$A$1:$I$88,7,0))</f>
        <v>0</v>
      </c>
      <c r="GJ136" s="17">
        <f>IF(ISNA(VLOOKUP(A136,'Données projet'!$A$243:$I$263,6,0)),0%,VLOOKUP(A136,'Données projet'!$A$243:$I$263,6,0)*VLOOKUP('Données projet'!$B$17,Paramètres!$A$1:$I$88,7,0))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projet'!$B$17,Paramètres!$A$1:$I$88,3,0)*0.475*44/12</f>
        <v>#N/A</v>
      </c>
      <c r="GM136" s="23" t="e">
        <f>EXP(-LN(2)/25)*GM135+(1-EXP(-LN(2)/25))/(LN(2)/25)*Calculateur!GH136*Calculateur!GJ136*VLOOKUP('Données projet'!$B$17,Paramètres!$A$1:$I$88,3,0)*0.475*44/12</f>
        <v>#N/A</v>
      </c>
      <c r="GN136" s="23" t="e">
        <f>EXP(-LN(2)/2)*GN135+(1-EXP(-LN(2)/2))/(LN(2)/2)*GH136*GK136*VLOOKUP('Données projet'!$B$17,Paramètres!$A$1:$I$88,3,0)*0.475*44/12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69.14653120585001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projet'!$B$18,Paramètres!$A$1:$I$88,3,0)*VLOOKUP('Données projet'!$B$18,Paramètres!$A$1:$I$88,5,0)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projet'!$B$18,Paramètres!$A$1:$I$88,7,0))</f>
        <v>0</v>
      </c>
      <c r="HE136" s="17">
        <f>IF(ISNA(VLOOKUP(A136,'Données projet'!$A$269:$I$289,6,0)),0%,VLOOKUP(A136,'Données projet'!$A$269:$I$289,6,0)*VLOOKUP('Données projet'!$B$18,Paramètres!$A$1:$I$88,7,0))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projet'!$B$18,Paramètres!$A$1:$I$88,3,0)*0.475*44/12</f>
        <v>#N/A</v>
      </c>
      <c r="HH136" s="23" t="e">
        <f>EXP(-LN(2)/25)*HH135+(1-EXP(-LN(2)/25))/(LN(2)/25)*Calculateur!HC136*Calculateur!HE136*VLOOKUP('Données projet'!$B$18,Paramètres!$A$1:$I$88,3,0)*0.475*44/12</f>
        <v>#N/A</v>
      </c>
      <c r="HI136" s="23" t="e">
        <f>EXP(-LN(2)/2)*HI135+(1-EXP(-LN(2)/2))/(LN(2)/2)*HC136*HF136*VLOOKUP('Données projet'!$B$18,Paramètres!$A$1:$I$88,3,0)*0.475*44/12</f>
        <v>#N/A</v>
      </c>
      <c r="HJ136" s="24" t="e">
        <f t="shared" si="138"/>
        <v>#N/A</v>
      </c>
    </row>
    <row r="137" spans="1:218" s="5" customFormat="1" x14ac:dyDescent="0.35">
      <c r="A137" s="11">
        <f t="shared" si="139"/>
        <v>134</v>
      </c>
      <c r="B137" s="77">
        <f>'Scénario référence'!$B$16*5+'Scénario référence'!$B$17*0+'Scénario référence'!$B$18*5</f>
        <v>1.75</v>
      </c>
      <c r="C137" s="20">
        <f>Calculateur!C136+'Scénario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37" s="12">
        <f t="shared" si="140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6.416666666666667</v>
      </c>
      <c r="H137" s="70">
        <f t="shared" si="110"/>
        <v>231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69.161336981358133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3.4106051316484809E-13</v>
      </c>
      <c r="O137" s="14">
        <f>N137*VLOOKUP('Données projet'!$B$9,Paramètres!$A$1:$I$88,3,0)*VLOOKUP('Données projet'!$B$9,Paramètres!$A$1:$I$88,5,0)</f>
        <v>1.9065282685915009E-13</v>
      </c>
      <c r="P137" s="14">
        <f t="shared" si="141"/>
        <v>2.6568987209435707E-12</v>
      </c>
      <c r="Q137" s="22">
        <f t="shared" si="108"/>
        <v>4.959485612423072E-12</v>
      </c>
      <c r="R137" s="62">
        <f t="shared" si="109"/>
        <v>290.25823559831809</v>
      </c>
      <c r="S137" s="62">
        <f ca="1">AVERAGE(OFFSET($R$3,0,0,'Données projet'!$E$9+1,1))-AVERAGE(OFFSET($H$3,0,0,'Données projet'!$E$9+1,1))</f>
        <v>341.05096821796769</v>
      </c>
      <c r="T137" s="62">
        <f t="shared" si="142"/>
        <v>400.72519822215168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projet'!$B$9,Paramètres!$A$1:$I$88,7,0))</f>
        <v>0</v>
      </c>
      <c r="X137" s="17">
        <f>IF(ISNA(VLOOKUP(A137,'Données projet'!$A$35:$I$55,6,0)),0%,VLOOKUP(A137,'Données projet'!$A$35:$I$55,6,0)*VLOOKUP('Données projet'!$B$9,Paramètres!$A$1:$I$88,7,0))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projet'!$B$9,Paramètres!$A$1:$I$88,3,0)*0.475*44/12</f>
        <v>55.343867888020036</v>
      </c>
      <c r="AA137" s="23">
        <f>EXP(-LN(2)/25)*AA136+(1-EXP(-LN(2)/25))/(LN(2)/25)*Calculateur!V137*Calculateur!X137*VLOOKUP('Données projet'!$B$9,Paramètres!$A$1:$I$88,3,0)*0.475*44/12</f>
        <v>17.031266896999757</v>
      </c>
      <c r="AB137" s="23">
        <f>EXP(-LN(2)/2)*AB136+(1-EXP(-LN(2)/2))/(LN(2)/2)*V137*Y137*VLOOKUP('Données projet'!$B$9,Paramètres!$A$1:$I$88,3,0)*0.475*44/12</f>
        <v>0</v>
      </c>
      <c r="AC137" s="24">
        <f t="shared" si="111"/>
        <v>72.375134785019796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69.161336981358133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5.6843418860808015E-14</v>
      </c>
      <c r="AJ137" s="14">
        <f>AI137*VLOOKUP('Données projet'!$B$10,Paramètres!$A$1:$I$88,3,0)*VLOOKUP('Données projet'!$B$10,Paramètres!$A$1:$I$88,5,0)</f>
        <v>3.3992364478763198E-14</v>
      </c>
      <c r="AK137" s="14">
        <f t="shared" si="143"/>
        <v>5.790027782444094E-13</v>
      </c>
      <c r="AL137" s="22">
        <f t="shared" si="112"/>
        <v>1.0676332069095257E-12</v>
      </c>
      <c r="AM137" s="62">
        <f t="shared" si="113"/>
        <v>290.25823559831423</v>
      </c>
      <c r="AN137" s="62">
        <f ca="1">AVERAGE(OFFSET($AM$3,0,0,'Données projet'!$E$10+1,1))-AVERAGE(OFFSET($H$3,0,0,'Données projet'!$E$10+1,1))</f>
        <v>231.96474801342879</v>
      </c>
      <c r="AO137" s="62">
        <f t="shared" si="144"/>
        <v>237.75726086383668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projet'!$B$10,Paramètres!$A$1:$I$88,7,0))</f>
        <v>0</v>
      </c>
      <c r="AS137" s="17">
        <f>IF(ISNA(VLOOKUP(A137,'Données projet'!$A$61:$I$81,6,0)),0%,VLOOKUP(A137,'Données projet'!$A$61:$I$81,6,0)*VLOOKUP('Données projet'!$B$10,Paramètres!$A$1:$I$88,7,0))</f>
        <v>0</v>
      </c>
      <c r="AT137" s="17">
        <f>IF(ISNA(VLOOKUP(A137,'Données projet'!$A$61:$I$81,7,0)),0%,VLOOKUP(A137,'Données projet'!$A$61:$I$81,7,0))</f>
        <v>0</v>
      </c>
      <c r="AU137" s="23">
        <f>EXP(-LN(2)/35)*AU136+(1-EXP(-LN(2)/35))/(LN(2)/35)*AQ137*AR137*VLOOKUP('Données projet'!$B$10,Paramètres!$A$1:$I$88,3,0)*0.475*44/12</f>
        <v>21.824828357519298</v>
      </c>
      <c r="AV137" s="23">
        <f>EXP(-LN(2)/25)*AV136+(1-EXP(-LN(2)/25))/(LN(2)/25)*Calculateur!AQ137*Calculateur!AS137*VLOOKUP('Données projet'!$B$10,Paramètres!$A$1:$I$88,3,0)*0.475*44/12</f>
        <v>7.1918733996093689</v>
      </c>
      <c r="AW137" s="23">
        <f>EXP(-LN(2)/2)*AW136+(1-EXP(-LN(2)/2))/(LN(2)/2)*AQ137*AT137*VLOOKUP('Données projet'!$B$10,Paramètres!$A$1:$I$88,3,0)*0.475*44/12</f>
        <v>0</v>
      </c>
      <c r="AX137" s="23">
        <f t="shared" si="114"/>
        <v>29.016701757128665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69.161336981358133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6.8212102632969618E-13</v>
      </c>
      <c r="BE137" s="14">
        <f>BD137*VLOOKUP('Données projet'!$B$11,Paramètres!$A$1:$I$88,3,0)*VLOOKUP('Données projet'!$B$11,Paramètres!$A$1:$I$88,5,0)</f>
        <v>3.1923264032229784E-13</v>
      </c>
      <c r="BF137" s="14">
        <f t="shared" si="145"/>
        <v>4.1896839804541558E-12</v>
      </c>
      <c r="BG137" s="22">
        <f t="shared" si="115"/>
        <v>7.8530297811856558E-12</v>
      </c>
      <c r="BH137" s="62">
        <f t="shared" si="116"/>
        <v>290.25823559832099</v>
      </c>
      <c r="BI137" s="62">
        <f ca="1">AVERAGE(OFFSET($BH$3,0,0,'Données projet'!$E$11+1,1))-AVERAGE(OFFSET($H$3,0,0,'Données projet'!$E$11+1,1))</f>
        <v>364.96458059055169</v>
      </c>
      <c r="BJ137" s="62">
        <f t="shared" si="146"/>
        <v>246.27159120786257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projet'!$B$11,Paramètres!$A$1:$I$88,7,0))</f>
        <v>0</v>
      </c>
      <c r="BN137" s="17">
        <f>IF(ISNA(VLOOKUP(A137,'Données projet'!$A$87:$I$107,6,0)),0%,VLOOKUP(A137,'Données projet'!$A$87:$I$107,6,0)*VLOOKUP('Données projet'!$B$11,Paramètres!$A$1:$I$88,7,0))</f>
        <v>0</v>
      </c>
      <c r="BO137" s="17">
        <f>IF(ISNA(VLOOKUP(A137,'Données projet'!$A$87:$I$107,7,0)),0%,VLOOKUP(A137,'Données projet'!$A$87:$I$107,7,0))</f>
        <v>0</v>
      </c>
      <c r="BP137" s="23">
        <f>EXP(-LN(2)/35)*BP136+(1-EXP(-LN(2)/35))/(LN(2)/35)*BL137*BM137*VLOOKUP('Données projet'!$B$11,Paramètres!$A$1:$I$88,3,0)*0.475*44/12</f>
        <v>121.41261742915015</v>
      </c>
      <c r="BQ137" s="23">
        <f>EXP(-LN(2)/25)*BQ136+(1-EXP(-LN(2)/25))/(LN(2)/25)*Calculateur!BL137*Calculateur!BN137*VLOOKUP('Données projet'!$B$11,Paramètres!$A$1:$I$88,3,0)*0.475*44/12</f>
        <v>39.270138177925638</v>
      </c>
      <c r="BR137" s="23">
        <f>EXP(-LN(2)/2)*BR136+(1-EXP(-LN(2)/2))/(LN(2)/2)*BL137*BO137*VLOOKUP('Données projet'!$B$11,Paramètres!$A$1:$I$88,3,0)*0.475*44/12</f>
        <v>0</v>
      </c>
      <c r="BS137" s="24">
        <f t="shared" si="117"/>
        <v>160.68275560707579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69.161336981358133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-1.1368683772161603E-13</v>
      </c>
      <c r="BZ137" s="14">
        <f>BY137*VLOOKUP('Données projet'!$B$12,Paramètres!$A$1:$I$88,3,0)*VLOOKUP('Données projet'!$B$12,Paramètres!$A$1:$I$88,5,0)</f>
        <v>-1.1527845344971866E-13</v>
      </c>
      <c r="CA137" s="14" t="e">
        <f t="shared" si="147"/>
        <v>#NUM!</v>
      </c>
      <c r="CB137" s="22" t="e">
        <f t="shared" si="118"/>
        <v>#NUM!</v>
      </c>
      <c r="CC137" s="62" t="e">
        <f t="shared" si="119"/>
        <v>#NUM!</v>
      </c>
      <c r="CD137" s="62">
        <f ca="1">AVERAGE(OFFSET($CC$3,0,0,'Données projet'!$E$12+1,1))-AVERAGE(OFFSET($H$3,0,0,'Données projet'!$E$12+1,1))</f>
        <v>310.53598044763282</v>
      </c>
      <c r="CE137" s="62">
        <f t="shared" si="148"/>
        <v>322.01096634040596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projet'!$B$12,Paramètres!$A$1:$I$88,7,0))</f>
        <v>0</v>
      </c>
      <c r="CI137" s="17">
        <f>IF(ISNA(VLOOKUP(A137,'Données projet'!$A$113:$I$133,6,0)),0%,VLOOKUP(A137,'Données projet'!$A$113:$I$133,6,0)*VLOOKUP('Données projet'!$B$12,Paramètres!$A$1:$I$88,7,0))</f>
        <v>0</v>
      </c>
      <c r="CJ137" s="17">
        <f>IF(ISNA(VLOOKUP(A137,'Données projet'!$A$113:$I$133,7,0)),0%,VLOOKUP(A137,'Données projet'!$A$113:$I$133,7,0))</f>
        <v>0</v>
      </c>
      <c r="CK137" s="23">
        <f>EXP(-LN(2)/35)*CK136+(1-EXP(-LN(2)/35))/(LN(2)/35)*CG137*CH137*VLOOKUP('Données projet'!$B$12,Paramètres!$A$1:$I$88,3,0)*0.475*44/12</f>
        <v>16.698650080159211</v>
      </c>
      <c r="CL137" s="23">
        <f>EXP(-LN(2)/25)*CL136+(1-EXP(-LN(2)/25))/(LN(2)/25)*Calculateur!CG137*Calculateur!CI137*VLOOKUP('Données projet'!$B$12,Paramètres!$A$1:$I$88,3,0)*0.475*44/12</f>
        <v>0</v>
      </c>
      <c r="CM137" s="23">
        <f>EXP(-LN(2)/2)*CM136+(1-EXP(-LN(2)/2))/(LN(2)/2)*CG137*CJ137*VLOOKUP('Données projet'!$B$12,Paramètres!$A$1:$I$88,3,0)*0.475*44/12</f>
        <v>0</v>
      </c>
      <c r="CN137" s="24">
        <f t="shared" si="120"/>
        <v>16.698650080159211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69.161336981358133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projet'!$B$13,Paramètres!$A$1:$I$88,3,0)*VLOOKUP('Données projet'!$B$13,Paramètres!$A$1:$I$88,5,0)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projet'!$B$13,Paramètres!$A$1:$I$88,7,0))</f>
        <v>0</v>
      </c>
      <c r="DD137" s="17">
        <f>IF(ISNA(VLOOKUP(A137,'Données projet'!$A$139:$I$159,6,0)),0%,VLOOKUP(A137,'Données projet'!$A$139:$I$159,6,0)*VLOOKUP('Données projet'!$B$13,Paramètres!$A$1:$I$88,7,0))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projet'!$B$13,Paramètres!$A$1:$I$88,3,0)*0.475*44/12</f>
        <v>#N/A</v>
      </c>
      <c r="DG137" s="23" t="e">
        <f>EXP(-LN(2)/25)*DG136+(1-EXP(-LN(2)/25))/(LN(2)/25)*Calculateur!DB137*Calculateur!DD137*VLOOKUP('Données projet'!$B$13,Paramètres!$A$1:$I$88,3,0)*0.475*44/12</f>
        <v>#N/A</v>
      </c>
      <c r="DH137" s="23" t="e">
        <f>EXP(-LN(2)/2)*DH136+(1-EXP(-LN(2)/2))/(LN(2)/2)*DB137*DE137*VLOOKUP('Données projet'!$B$13,Paramètres!$A$1:$I$88,3,0)*0.475*44/12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69.161336981358133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projet'!$B$14,Paramètres!$A$1:$I$88,3,0)*VLOOKUP('Données projet'!$B$14,Paramètres!$A$1:$I$88,5,0)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projet'!$B$14,Paramètres!$A$1:$I$88,7,0))</f>
        <v>0</v>
      </c>
      <c r="DY137" s="17">
        <f>IF(ISNA(VLOOKUP(A137,'Données projet'!$A$165:$I$185,6,0)),0%,VLOOKUP(A137,'Données projet'!$A$165:$I$185,6,0)*VLOOKUP('Données projet'!$B$14,Paramètres!$A$1:$I$88,7,0))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projet'!$B$14,Paramètres!$A$1:$I$88,3,0)*0.475*44/12</f>
        <v>#N/A</v>
      </c>
      <c r="EB137" s="23" t="e">
        <f>EXP(-LN(2)/25)*EB136+(1-EXP(-LN(2)/25))/(LN(2)/25)*Calculateur!DW137*Calculateur!DY137*VLOOKUP('Données projet'!$B$14,Paramètres!$A$1:$I$88,3,0)*0.475*44/12</f>
        <v>#N/A</v>
      </c>
      <c r="EC137" s="23" t="e">
        <f>EXP(-LN(2)/2)*EC136+(1-EXP(-LN(2)/2))/(LN(2)/2)*DW137*DZ137*VLOOKUP('Données projet'!$B$14,Paramètres!$A$1:$I$88,3,0)*0.475*44/12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69.161336981358133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projet'!$B$15,Paramètres!$A$1:$I$88,3,0)*VLOOKUP('Données projet'!$B$15,Paramètres!$A$1:$I$88,5,0)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projet'!$B$15,Paramètres!$A$1:$I$88,7,0))</f>
        <v>0</v>
      </c>
      <c r="ET137" s="17">
        <f>IF(ISNA(VLOOKUP(A137,'Données projet'!$A$191:$I$211,6,0)),0%,VLOOKUP(A137,'Données projet'!$A$191:$I$211,6,0)*VLOOKUP('Données projet'!$B$15,Paramètres!$A$1:$I$88,7,0))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projet'!$B$15,Paramètres!$A$1:$I$88,3,0)*0.475*44/12</f>
        <v>#N/A</v>
      </c>
      <c r="EW137" s="23" t="e">
        <f>EXP(-LN(2)/25)*EW136+(1-EXP(-LN(2)/25))/(LN(2)/25)*Calculateur!ER137*Calculateur!ET137*VLOOKUP('Données projet'!$B$15,Paramètres!$A$1:$I$88,3,0)*0.475*44/12</f>
        <v>#N/A</v>
      </c>
      <c r="EX137" s="23" t="e">
        <f>EXP(-LN(2)/2)*EX136+(1-EXP(-LN(2)/2))/(LN(2)/2)*ER137*EU137*VLOOKUP('Données projet'!$B$15,Paramètres!$A$1:$I$88,3,0)*0.475*44/12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69.161336981358133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projet'!$B$16,Paramètres!$A$1:$I$88,3,0)*VLOOKUP('Données projet'!$B$16,Paramètres!$A$1:$I$88,5,0)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projet'!$B$16,Paramètres!$A$1:$I$88,7,0))</f>
        <v>0</v>
      </c>
      <c r="FO137" s="17">
        <f>IF(ISNA(VLOOKUP(A137,'Données projet'!$A$217:$I$237,6,0)),0%,VLOOKUP(A137,'Données projet'!$A$217:$I$237,6,0)*VLOOKUP('Données projet'!$B$16,Paramètres!$A$1:$I$88,7,0))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projet'!$B$16,Paramètres!$A$1:$I$88,3,0)*0.475*44/12</f>
        <v>#N/A</v>
      </c>
      <c r="FR137" s="23" t="e">
        <f>EXP(-LN(2)/25)*FR136+(1-EXP(-LN(2)/25))/(LN(2)/25)*Calculateur!FM137*Calculateur!FO137*VLOOKUP('Données projet'!$B$16,Paramètres!$A$1:$I$88,3,0)*0.475*44/12</f>
        <v>#N/A</v>
      </c>
      <c r="FS137" s="23" t="e">
        <f>EXP(-LN(2)/2)*FS136+(1-EXP(-LN(2)/2))/(LN(2)/2)*FM137*FP137*VLOOKUP('Données projet'!$B$16,Paramètres!$A$1:$I$88,3,0)*0.475*44/12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69.161336981358133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projet'!$B$17,Paramètres!$A$1:$I$88,3,0)*VLOOKUP('Données projet'!$B$17,Paramètres!$A$1:$I$88,5,0)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projet'!$B$17,Paramètres!$A$1:$I$88,7,0))</f>
        <v>0</v>
      </c>
      <c r="GJ137" s="17">
        <f>IF(ISNA(VLOOKUP(A137,'Données projet'!$A$243:$I$263,6,0)),0%,VLOOKUP(A137,'Données projet'!$A$243:$I$263,6,0)*VLOOKUP('Données projet'!$B$17,Paramètres!$A$1:$I$88,7,0))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projet'!$B$17,Paramètres!$A$1:$I$88,3,0)*0.475*44/12</f>
        <v>#N/A</v>
      </c>
      <c r="GM137" s="23" t="e">
        <f>EXP(-LN(2)/25)*GM136+(1-EXP(-LN(2)/25))/(LN(2)/25)*Calculateur!GH137*Calculateur!GJ137*VLOOKUP('Données projet'!$B$17,Paramètres!$A$1:$I$88,3,0)*0.475*44/12</f>
        <v>#N/A</v>
      </c>
      <c r="GN137" s="23" t="e">
        <f>EXP(-LN(2)/2)*GN136+(1-EXP(-LN(2)/2))/(LN(2)/2)*GH137*GK137*VLOOKUP('Données projet'!$B$17,Paramètres!$A$1:$I$88,3,0)*0.475*44/12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69.161336981358133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projet'!$B$18,Paramètres!$A$1:$I$88,3,0)*VLOOKUP('Données projet'!$B$18,Paramètres!$A$1:$I$88,5,0)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projet'!$B$18,Paramètres!$A$1:$I$88,7,0))</f>
        <v>0</v>
      </c>
      <c r="HE137" s="17">
        <f>IF(ISNA(VLOOKUP(A137,'Données projet'!$A$269:$I$289,6,0)),0%,VLOOKUP(A137,'Données projet'!$A$269:$I$289,6,0)*VLOOKUP('Données projet'!$B$18,Paramètres!$A$1:$I$88,7,0))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projet'!$B$18,Paramètres!$A$1:$I$88,3,0)*0.475*44/12</f>
        <v>#N/A</v>
      </c>
      <c r="HH137" s="23" t="e">
        <f>EXP(-LN(2)/25)*HH136+(1-EXP(-LN(2)/25))/(LN(2)/25)*Calculateur!HC137*Calculateur!HE137*VLOOKUP('Données projet'!$B$18,Paramètres!$A$1:$I$88,3,0)*0.475*44/12</f>
        <v>#N/A</v>
      </c>
      <c r="HI137" s="23" t="e">
        <f>EXP(-LN(2)/2)*HI136+(1-EXP(-LN(2)/2))/(LN(2)/2)*HC137*HF137*VLOOKUP('Données projet'!$B$18,Paramètres!$A$1:$I$88,3,0)*0.475*44/12</f>
        <v>#N/A</v>
      </c>
      <c r="HJ137" s="24" t="e">
        <f t="shared" si="138"/>
        <v>#N/A</v>
      </c>
    </row>
    <row r="138" spans="1:218" s="5" customFormat="1" x14ac:dyDescent="0.35">
      <c r="A138" s="11">
        <f t="shared" si="139"/>
        <v>135</v>
      </c>
      <c r="B138" s="77">
        <f>'Scénario référence'!$B$16*5+'Scénario référence'!$B$17*0+'Scénario référence'!$B$18*5</f>
        <v>1.75</v>
      </c>
      <c r="C138" s="20">
        <f>Calculateur!C137+'Scénario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38" s="12">
        <f t="shared" si="140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6.416666666666667</v>
      </c>
      <c r="H138" s="70">
        <f t="shared" si="110"/>
        <v>231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69.175885909761945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3.4106051316484809E-13</v>
      </c>
      <c r="O138" s="14">
        <f>N138*VLOOKUP('Données projet'!$B$9,Paramètres!$A$1:$I$88,3,0)*VLOOKUP('Données projet'!$B$9,Paramètres!$A$1:$I$88,5,0)</f>
        <v>1.9065282685915009E-13</v>
      </c>
      <c r="P138" s="14">
        <f t="shared" si="141"/>
        <v>2.6568987209435707E-12</v>
      </c>
      <c r="Q138" s="22">
        <f t="shared" si="108"/>
        <v>4.959485612423072E-12</v>
      </c>
      <c r="R138" s="62">
        <f t="shared" si="109"/>
        <v>290.31158166913207</v>
      </c>
      <c r="S138" s="62">
        <f ca="1">AVERAGE(OFFSET($R$3,0,0,'Données projet'!$E$9+1,1))-AVERAGE(OFFSET($H$3,0,0,'Données projet'!$E$9+1,1))</f>
        <v>341.05096821796769</v>
      </c>
      <c r="T138" s="62">
        <f t="shared" si="142"/>
        <v>400.72519822215168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projet'!$B$9,Paramètres!$A$1:$I$88,7,0))</f>
        <v>0</v>
      </c>
      <c r="X138" s="17">
        <f>IF(ISNA(VLOOKUP(A138,'Données projet'!$A$35:$I$55,6,0)),0%,VLOOKUP(A138,'Données projet'!$A$35:$I$55,6,0)*VLOOKUP('Données projet'!$B$9,Paramètres!$A$1:$I$88,7,0))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projet'!$B$9,Paramètres!$A$1:$I$88,3,0)*0.475*44/12</f>
        <v>54.258608395162206</v>
      </c>
      <c r="AA138" s="23">
        <f>EXP(-LN(2)/25)*AA137+(1-EXP(-LN(2)/25))/(LN(2)/25)*Calculateur!V138*Calculateur!X138*VLOOKUP('Données projet'!$B$9,Paramètres!$A$1:$I$88,3,0)*0.475*44/12</f>
        <v>16.565546008065898</v>
      </c>
      <c r="AB138" s="23">
        <f>EXP(-LN(2)/2)*AB137+(1-EXP(-LN(2)/2))/(LN(2)/2)*V138*Y138*VLOOKUP('Données projet'!$B$9,Paramètres!$A$1:$I$88,3,0)*0.475*44/12</f>
        <v>0</v>
      </c>
      <c r="AC138" s="24">
        <f t="shared" si="111"/>
        <v>70.824154403228107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69.175885909761945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5.6843418860808015E-14</v>
      </c>
      <c r="AJ138" s="14">
        <f>AI138*VLOOKUP('Données projet'!$B$10,Paramètres!$A$1:$I$88,3,0)*VLOOKUP('Données projet'!$B$10,Paramètres!$A$1:$I$88,5,0)</f>
        <v>3.3992364478763198E-14</v>
      </c>
      <c r="AK138" s="14">
        <f t="shared" si="143"/>
        <v>5.790027782444094E-13</v>
      </c>
      <c r="AL138" s="22">
        <f t="shared" si="112"/>
        <v>1.0676332069095257E-12</v>
      </c>
      <c r="AM138" s="62">
        <f t="shared" si="113"/>
        <v>290.3115816691282</v>
      </c>
      <c r="AN138" s="62">
        <f ca="1">AVERAGE(OFFSET($AM$3,0,0,'Données projet'!$E$10+1,1))-AVERAGE(OFFSET($H$3,0,0,'Données projet'!$E$10+1,1))</f>
        <v>231.96474801342879</v>
      </c>
      <c r="AO138" s="62">
        <f t="shared" si="144"/>
        <v>237.75726086383668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projet'!$B$10,Paramètres!$A$1:$I$88,7,0))</f>
        <v>0</v>
      </c>
      <c r="AS138" s="17">
        <f>IF(ISNA(VLOOKUP(A138,'Données projet'!$A$61:$I$81,6,0)),0%,VLOOKUP(A138,'Données projet'!$A$61:$I$81,6,0)*VLOOKUP('Données projet'!$B$10,Paramètres!$A$1:$I$88,7,0))</f>
        <v>0</v>
      </c>
      <c r="AT138" s="17">
        <f>IF(ISNA(VLOOKUP(A138,'Données projet'!$A$61:$I$81,7,0)),0%,VLOOKUP(A138,'Données projet'!$A$61:$I$81,7,0))</f>
        <v>0</v>
      </c>
      <c r="AU138" s="23">
        <f>EXP(-LN(2)/35)*AU137+(1-EXP(-LN(2)/35))/(LN(2)/35)*AQ138*AR138*VLOOKUP('Données projet'!$B$10,Paramètres!$A$1:$I$88,3,0)*0.475*44/12</f>
        <v>21.396856785259207</v>
      </c>
      <c r="AV138" s="23">
        <f>EXP(-LN(2)/25)*AV137+(1-EXP(-LN(2)/25))/(LN(2)/25)*Calculateur!AQ138*Calculateur!AS138*VLOOKUP('Données projet'!$B$10,Paramètres!$A$1:$I$88,3,0)*0.475*44/12</f>
        <v>6.9952112432928661</v>
      </c>
      <c r="AW138" s="23">
        <f>EXP(-LN(2)/2)*AW137+(1-EXP(-LN(2)/2))/(LN(2)/2)*AQ138*AT138*VLOOKUP('Données projet'!$B$10,Paramètres!$A$1:$I$88,3,0)*0.475*44/12</f>
        <v>0</v>
      </c>
      <c r="AX138" s="23">
        <f t="shared" si="114"/>
        <v>28.392068028552075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69.175885909761945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6.8212102632969618E-13</v>
      </c>
      <c r="BE138" s="14">
        <f>BD138*VLOOKUP('Données projet'!$B$11,Paramètres!$A$1:$I$88,3,0)*VLOOKUP('Données projet'!$B$11,Paramètres!$A$1:$I$88,5,0)</f>
        <v>3.1923264032229784E-13</v>
      </c>
      <c r="BF138" s="14">
        <f t="shared" si="145"/>
        <v>4.1896839804541558E-12</v>
      </c>
      <c r="BG138" s="22">
        <f t="shared" si="115"/>
        <v>7.8530297811856558E-12</v>
      </c>
      <c r="BH138" s="62">
        <f t="shared" si="116"/>
        <v>290.31158166913497</v>
      </c>
      <c r="BI138" s="62">
        <f ca="1">AVERAGE(OFFSET($BH$3,0,0,'Données projet'!$E$11+1,1))-AVERAGE(OFFSET($H$3,0,0,'Données projet'!$E$11+1,1))</f>
        <v>364.96458059055169</v>
      </c>
      <c r="BJ138" s="62">
        <f t="shared" si="146"/>
        <v>246.27159120786257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projet'!$B$11,Paramètres!$A$1:$I$88,7,0))</f>
        <v>0</v>
      </c>
      <c r="BN138" s="17">
        <f>IF(ISNA(VLOOKUP(A138,'Données projet'!$A$87:$I$107,6,0)),0%,VLOOKUP(A138,'Données projet'!$A$87:$I$107,6,0)*VLOOKUP('Données projet'!$B$11,Paramètres!$A$1:$I$88,7,0))</f>
        <v>0</v>
      </c>
      <c r="BO138" s="17">
        <f>IF(ISNA(VLOOKUP(A138,'Données projet'!$A$87:$I$107,7,0)),0%,VLOOKUP(A138,'Données projet'!$A$87:$I$107,7,0))</f>
        <v>0</v>
      </c>
      <c r="BP138" s="23">
        <f>EXP(-LN(2)/35)*BP137+(1-EXP(-LN(2)/35))/(LN(2)/35)*BL138*BM138*VLOOKUP('Données projet'!$B$11,Paramètres!$A$1:$I$88,3,0)*0.475*44/12</f>
        <v>119.03179005574889</v>
      </c>
      <c r="BQ138" s="23">
        <f>EXP(-LN(2)/25)*BQ137+(1-EXP(-LN(2)/25))/(LN(2)/25)*Calculateur!BL138*Calculateur!BN138*VLOOKUP('Données projet'!$B$11,Paramètres!$A$1:$I$88,3,0)*0.475*44/12</f>
        <v>38.196294184323449</v>
      </c>
      <c r="BR138" s="23">
        <f>EXP(-LN(2)/2)*BR137+(1-EXP(-LN(2)/2))/(LN(2)/2)*BL138*BO138*VLOOKUP('Données projet'!$B$11,Paramètres!$A$1:$I$88,3,0)*0.475*44/12</f>
        <v>0</v>
      </c>
      <c r="BS138" s="24">
        <f t="shared" si="117"/>
        <v>157.22808424007235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69.175885909761945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-1.1368683772161603E-13</v>
      </c>
      <c r="BZ138" s="14">
        <f>BY138*VLOOKUP('Données projet'!$B$12,Paramètres!$A$1:$I$88,3,0)*VLOOKUP('Données projet'!$B$12,Paramètres!$A$1:$I$88,5,0)</f>
        <v>-1.1527845344971866E-13</v>
      </c>
      <c r="CA138" s="14" t="e">
        <f t="shared" si="147"/>
        <v>#NUM!</v>
      </c>
      <c r="CB138" s="22" t="e">
        <f t="shared" si="118"/>
        <v>#NUM!</v>
      </c>
      <c r="CC138" s="62" t="e">
        <f t="shared" si="119"/>
        <v>#NUM!</v>
      </c>
      <c r="CD138" s="62">
        <f ca="1">AVERAGE(OFFSET($CC$3,0,0,'Données projet'!$E$12+1,1))-AVERAGE(OFFSET($H$3,0,0,'Données projet'!$E$12+1,1))</f>
        <v>310.53598044763282</v>
      </c>
      <c r="CE138" s="62">
        <f t="shared" si="148"/>
        <v>322.01096634040596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projet'!$B$12,Paramètres!$A$1:$I$88,7,0))</f>
        <v>0</v>
      </c>
      <c r="CI138" s="17">
        <f>IF(ISNA(VLOOKUP(A138,'Données projet'!$A$113:$I$133,6,0)),0%,VLOOKUP(A138,'Données projet'!$A$113:$I$133,6,0)*VLOOKUP('Données projet'!$B$12,Paramètres!$A$1:$I$88,7,0))</f>
        <v>0</v>
      </c>
      <c r="CJ138" s="17">
        <f>IF(ISNA(VLOOKUP(A138,'Données projet'!$A$113:$I$133,7,0)),0%,VLOOKUP(A138,'Données projet'!$A$113:$I$133,7,0))</f>
        <v>0</v>
      </c>
      <c r="CK138" s="23">
        <f>EXP(-LN(2)/35)*CK137+(1-EXP(-LN(2)/35))/(LN(2)/35)*CG138*CH138*VLOOKUP('Données projet'!$B$12,Paramètres!$A$1:$I$88,3,0)*0.475*44/12</f>
        <v>16.371199737258138</v>
      </c>
      <c r="CL138" s="23">
        <f>EXP(-LN(2)/25)*CL137+(1-EXP(-LN(2)/25))/(LN(2)/25)*Calculateur!CG138*Calculateur!CI138*VLOOKUP('Données projet'!$B$12,Paramètres!$A$1:$I$88,3,0)*0.475*44/12</f>
        <v>0</v>
      </c>
      <c r="CM138" s="23">
        <f>EXP(-LN(2)/2)*CM137+(1-EXP(-LN(2)/2))/(LN(2)/2)*CG138*CJ138*VLOOKUP('Données projet'!$B$12,Paramètres!$A$1:$I$88,3,0)*0.475*44/12</f>
        <v>0</v>
      </c>
      <c r="CN138" s="24">
        <f t="shared" si="120"/>
        <v>16.371199737258138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69.175885909761945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projet'!$B$13,Paramètres!$A$1:$I$88,3,0)*VLOOKUP('Données projet'!$B$13,Paramètres!$A$1:$I$88,5,0)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projet'!$B$13,Paramètres!$A$1:$I$88,7,0))</f>
        <v>0</v>
      </c>
      <c r="DD138" s="17">
        <f>IF(ISNA(VLOOKUP(A138,'Données projet'!$A$139:$I$159,6,0)),0%,VLOOKUP(A138,'Données projet'!$A$139:$I$159,6,0)*VLOOKUP('Données projet'!$B$13,Paramètres!$A$1:$I$88,7,0))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projet'!$B$13,Paramètres!$A$1:$I$88,3,0)*0.475*44/12</f>
        <v>#N/A</v>
      </c>
      <c r="DG138" s="23" t="e">
        <f>EXP(-LN(2)/25)*DG137+(1-EXP(-LN(2)/25))/(LN(2)/25)*Calculateur!DB138*Calculateur!DD138*VLOOKUP('Données projet'!$B$13,Paramètres!$A$1:$I$88,3,0)*0.475*44/12</f>
        <v>#N/A</v>
      </c>
      <c r="DH138" s="23" t="e">
        <f>EXP(-LN(2)/2)*DH137+(1-EXP(-LN(2)/2))/(LN(2)/2)*DB138*DE138*VLOOKUP('Données projet'!$B$13,Paramètres!$A$1:$I$88,3,0)*0.475*44/12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69.175885909761945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projet'!$B$14,Paramètres!$A$1:$I$88,3,0)*VLOOKUP('Données projet'!$B$14,Paramètres!$A$1:$I$88,5,0)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projet'!$B$14,Paramètres!$A$1:$I$88,7,0))</f>
        <v>0</v>
      </c>
      <c r="DY138" s="17">
        <f>IF(ISNA(VLOOKUP(A138,'Données projet'!$A$165:$I$185,6,0)),0%,VLOOKUP(A138,'Données projet'!$A$165:$I$185,6,0)*VLOOKUP('Données projet'!$B$14,Paramètres!$A$1:$I$88,7,0))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projet'!$B$14,Paramètres!$A$1:$I$88,3,0)*0.475*44/12</f>
        <v>#N/A</v>
      </c>
      <c r="EB138" s="23" t="e">
        <f>EXP(-LN(2)/25)*EB137+(1-EXP(-LN(2)/25))/(LN(2)/25)*Calculateur!DW138*Calculateur!DY138*VLOOKUP('Données projet'!$B$14,Paramètres!$A$1:$I$88,3,0)*0.475*44/12</f>
        <v>#N/A</v>
      </c>
      <c r="EC138" s="23" t="e">
        <f>EXP(-LN(2)/2)*EC137+(1-EXP(-LN(2)/2))/(LN(2)/2)*DW138*DZ138*VLOOKUP('Données projet'!$B$14,Paramètres!$A$1:$I$88,3,0)*0.475*44/12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69.175885909761945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projet'!$B$15,Paramètres!$A$1:$I$88,3,0)*VLOOKUP('Données projet'!$B$15,Paramètres!$A$1:$I$88,5,0)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projet'!$B$15,Paramètres!$A$1:$I$88,7,0))</f>
        <v>0</v>
      </c>
      <c r="ET138" s="17">
        <f>IF(ISNA(VLOOKUP(A138,'Données projet'!$A$191:$I$211,6,0)),0%,VLOOKUP(A138,'Données projet'!$A$191:$I$211,6,0)*VLOOKUP('Données projet'!$B$15,Paramètres!$A$1:$I$88,7,0))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projet'!$B$15,Paramètres!$A$1:$I$88,3,0)*0.475*44/12</f>
        <v>#N/A</v>
      </c>
      <c r="EW138" s="23" t="e">
        <f>EXP(-LN(2)/25)*EW137+(1-EXP(-LN(2)/25))/(LN(2)/25)*Calculateur!ER138*Calculateur!ET138*VLOOKUP('Données projet'!$B$15,Paramètres!$A$1:$I$88,3,0)*0.475*44/12</f>
        <v>#N/A</v>
      </c>
      <c r="EX138" s="23" t="e">
        <f>EXP(-LN(2)/2)*EX137+(1-EXP(-LN(2)/2))/(LN(2)/2)*ER138*EU138*VLOOKUP('Données projet'!$B$15,Paramètres!$A$1:$I$88,3,0)*0.475*44/12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69.175885909761945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projet'!$B$16,Paramètres!$A$1:$I$88,3,0)*VLOOKUP('Données projet'!$B$16,Paramètres!$A$1:$I$88,5,0)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projet'!$B$16,Paramètres!$A$1:$I$88,7,0))</f>
        <v>0</v>
      </c>
      <c r="FO138" s="17">
        <f>IF(ISNA(VLOOKUP(A138,'Données projet'!$A$217:$I$237,6,0)),0%,VLOOKUP(A138,'Données projet'!$A$217:$I$237,6,0)*VLOOKUP('Données projet'!$B$16,Paramètres!$A$1:$I$88,7,0))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projet'!$B$16,Paramètres!$A$1:$I$88,3,0)*0.475*44/12</f>
        <v>#N/A</v>
      </c>
      <c r="FR138" s="23" t="e">
        <f>EXP(-LN(2)/25)*FR137+(1-EXP(-LN(2)/25))/(LN(2)/25)*Calculateur!FM138*Calculateur!FO138*VLOOKUP('Données projet'!$B$16,Paramètres!$A$1:$I$88,3,0)*0.475*44/12</f>
        <v>#N/A</v>
      </c>
      <c r="FS138" s="23" t="e">
        <f>EXP(-LN(2)/2)*FS137+(1-EXP(-LN(2)/2))/(LN(2)/2)*FM138*FP138*VLOOKUP('Données projet'!$B$16,Paramètres!$A$1:$I$88,3,0)*0.475*44/12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69.175885909761945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projet'!$B$17,Paramètres!$A$1:$I$88,3,0)*VLOOKUP('Données projet'!$B$17,Paramètres!$A$1:$I$88,5,0)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projet'!$B$17,Paramètres!$A$1:$I$88,7,0))</f>
        <v>0</v>
      </c>
      <c r="GJ138" s="17">
        <f>IF(ISNA(VLOOKUP(A138,'Données projet'!$A$243:$I$263,6,0)),0%,VLOOKUP(A138,'Données projet'!$A$243:$I$263,6,0)*VLOOKUP('Données projet'!$B$17,Paramètres!$A$1:$I$88,7,0))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projet'!$B$17,Paramètres!$A$1:$I$88,3,0)*0.475*44/12</f>
        <v>#N/A</v>
      </c>
      <c r="GM138" s="23" t="e">
        <f>EXP(-LN(2)/25)*GM137+(1-EXP(-LN(2)/25))/(LN(2)/25)*Calculateur!GH138*Calculateur!GJ138*VLOOKUP('Données projet'!$B$17,Paramètres!$A$1:$I$88,3,0)*0.475*44/12</f>
        <v>#N/A</v>
      </c>
      <c r="GN138" s="23" t="e">
        <f>EXP(-LN(2)/2)*GN137+(1-EXP(-LN(2)/2))/(LN(2)/2)*GH138*GK138*VLOOKUP('Données projet'!$B$17,Paramètres!$A$1:$I$88,3,0)*0.475*44/12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69.175885909761945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projet'!$B$18,Paramètres!$A$1:$I$88,3,0)*VLOOKUP('Données projet'!$B$18,Paramètres!$A$1:$I$88,5,0)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projet'!$B$18,Paramètres!$A$1:$I$88,7,0))</f>
        <v>0</v>
      </c>
      <c r="HE138" s="17">
        <f>IF(ISNA(VLOOKUP(A138,'Données projet'!$A$269:$I$289,6,0)),0%,VLOOKUP(A138,'Données projet'!$A$269:$I$289,6,0)*VLOOKUP('Données projet'!$B$18,Paramètres!$A$1:$I$88,7,0))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projet'!$B$18,Paramètres!$A$1:$I$88,3,0)*0.475*44/12</f>
        <v>#N/A</v>
      </c>
      <c r="HH138" s="23" t="e">
        <f>EXP(-LN(2)/25)*HH137+(1-EXP(-LN(2)/25))/(LN(2)/25)*Calculateur!HC138*Calculateur!HE138*VLOOKUP('Données projet'!$B$18,Paramètres!$A$1:$I$88,3,0)*0.475*44/12</f>
        <v>#N/A</v>
      </c>
      <c r="HI138" s="23" t="e">
        <f>EXP(-LN(2)/2)*HI137+(1-EXP(-LN(2)/2))/(LN(2)/2)*HC138*HF138*VLOOKUP('Données projet'!$B$18,Paramètres!$A$1:$I$88,3,0)*0.475*44/12</f>
        <v>#N/A</v>
      </c>
      <c r="HJ138" s="24" t="e">
        <f t="shared" si="138"/>
        <v>#N/A</v>
      </c>
    </row>
    <row r="139" spans="1:218" s="5" customFormat="1" x14ac:dyDescent="0.35">
      <c r="A139" s="11">
        <f t="shared" si="139"/>
        <v>136</v>
      </c>
      <c r="B139" s="77">
        <f>'Scénario référence'!$B$16*5+'Scénario référence'!$B$17*0+'Scénario référence'!$B$18*5</f>
        <v>1.75</v>
      </c>
      <c r="C139" s="20">
        <f>Calculateur!C138+'Scénario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39" s="12">
        <f t="shared" si="140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6.416666666666667</v>
      </c>
      <c r="H139" s="70">
        <f t="shared" si="110"/>
        <v>231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69.19018244678449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3.4106051316484809E-13</v>
      </c>
      <c r="O139" s="14">
        <f>N139*VLOOKUP('Données projet'!$B$9,Paramètres!$A$1:$I$88,3,0)*VLOOKUP('Données projet'!$B$9,Paramètres!$A$1:$I$88,5,0)</f>
        <v>1.9065282685915009E-13</v>
      </c>
      <c r="P139" s="14">
        <f t="shared" si="141"/>
        <v>2.6568987209435707E-12</v>
      </c>
      <c r="Q139" s="22">
        <f t="shared" si="108"/>
        <v>4.959485612423072E-12</v>
      </c>
      <c r="R139" s="62">
        <f t="shared" si="109"/>
        <v>290.36400230488141</v>
      </c>
      <c r="S139" s="62">
        <f ca="1">AVERAGE(OFFSET($R$3,0,0,'Données projet'!$E$9+1,1))-AVERAGE(OFFSET($H$3,0,0,'Données projet'!$E$9+1,1))</f>
        <v>341.05096821796769</v>
      </c>
      <c r="T139" s="62">
        <f t="shared" si="142"/>
        <v>400.72519822215168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projet'!$B$9,Paramètres!$A$1:$I$88,7,0))</f>
        <v>0</v>
      </c>
      <c r="X139" s="17">
        <f>IF(ISNA(VLOOKUP(A139,'Données projet'!$A$35:$I$55,6,0)),0%,VLOOKUP(A139,'Données projet'!$A$35:$I$55,6,0)*VLOOKUP('Données projet'!$B$9,Paramètres!$A$1:$I$88,7,0))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projet'!$B$9,Paramètres!$A$1:$I$88,3,0)*0.475*44/12</f>
        <v>53.194630179016386</v>
      </c>
      <c r="AA139" s="23">
        <f>EXP(-LN(2)/25)*AA138+(1-EXP(-LN(2)/25))/(LN(2)/25)*Calculateur!V139*Calculateur!X139*VLOOKUP('Données projet'!$B$9,Paramètres!$A$1:$I$88,3,0)*0.475*44/12</f>
        <v>16.112560281331131</v>
      </c>
      <c r="AB139" s="23">
        <f>EXP(-LN(2)/2)*AB138+(1-EXP(-LN(2)/2))/(LN(2)/2)*V139*Y139*VLOOKUP('Données projet'!$B$9,Paramètres!$A$1:$I$88,3,0)*0.475*44/12</f>
        <v>0</v>
      </c>
      <c r="AC139" s="24">
        <f t="shared" si="111"/>
        <v>69.307190460347513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69.19018244678449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5.6843418860808015E-14</v>
      </c>
      <c r="AJ139" s="14">
        <f>AI139*VLOOKUP('Données projet'!$B$10,Paramètres!$A$1:$I$88,3,0)*VLOOKUP('Données projet'!$B$10,Paramètres!$A$1:$I$88,5,0)</f>
        <v>3.3992364478763198E-14</v>
      </c>
      <c r="AK139" s="14">
        <f t="shared" si="143"/>
        <v>5.790027782444094E-13</v>
      </c>
      <c r="AL139" s="22">
        <f t="shared" si="112"/>
        <v>1.0676332069095257E-12</v>
      </c>
      <c r="AM139" s="62">
        <f t="shared" si="113"/>
        <v>290.36400230487754</v>
      </c>
      <c r="AN139" s="62">
        <f ca="1">AVERAGE(OFFSET($AM$3,0,0,'Données projet'!$E$10+1,1))-AVERAGE(OFFSET($H$3,0,0,'Données projet'!$E$10+1,1))</f>
        <v>231.96474801342879</v>
      </c>
      <c r="AO139" s="62">
        <f t="shared" si="144"/>
        <v>237.75726086383668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projet'!$B$10,Paramètres!$A$1:$I$88,7,0))</f>
        <v>0</v>
      </c>
      <c r="AS139" s="17">
        <f>IF(ISNA(VLOOKUP(A139,'Données projet'!$A$61:$I$81,6,0)),0%,VLOOKUP(A139,'Données projet'!$A$61:$I$81,6,0)*VLOOKUP('Données projet'!$B$10,Paramètres!$A$1:$I$88,7,0))</f>
        <v>0</v>
      </c>
      <c r="AT139" s="17">
        <f>IF(ISNA(VLOOKUP(A139,'Données projet'!$A$61:$I$81,7,0)),0%,VLOOKUP(A139,'Données projet'!$A$61:$I$81,7,0))</f>
        <v>0</v>
      </c>
      <c r="AU139" s="23">
        <f>EXP(-LN(2)/35)*AU138+(1-EXP(-LN(2)/35))/(LN(2)/35)*AQ139*AR139*VLOOKUP('Données projet'!$B$10,Paramètres!$A$1:$I$88,3,0)*0.475*44/12</f>
        <v>20.977277474494255</v>
      </c>
      <c r="AV139" s="23">
        <f>EXP(-LN(2)/25)*AV138+(1-EXP(-LN(2)/25))/(LN(2)/25)*Calculateur!AQ139*Calculateur!AS139*VLOOKUP('Données projet'!$B$10,Paramètres!$A$1:$I$88,3,0)*0.475*44/12</f>
        <v>6.8039268239828514</v>
      </c>
      <c r="AW139" s="23">
        <f>EXP(-LN(2)/2)*AW138+(1-EXP(-LN(2)/2))/(LN(2)/2)*AQ139*AT139*VLOOKUP('Données projet'!$B$10,Paramètres!$A$1:$I$88,3,0)*0.475*44/12</f>
        <v>0</v>
      </c>
      <c r="AX139" s="23">
        <f t="shared" si="114"/>
        <v>27.781204298477107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69.19018244678449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6.8212102632969618E-13</v>
      </c>
      <c r="BE139" s="14">
        <f>BD139*VLOOKUP('Données projet'!$B$11,Paramètres!$A$1:$I$88,3,0)*VLOOKUP('Données projet'!$B$11,Paramètres!$A$1:$I$88,5,0)</f>
        <v>3.1923264032229784E-13</v>
      </c>
      <c r="BF139" s="14">
        <f t="shared" si="145"/>
        <v>4.1896839804541558E-12</v>
      </c>
      <c r="BG139" s="22">
        <f t="shared" si="115"/>
        <v>7.8530297811856558E-12</v>
      </c>
      <c r="BH139" s="62">
        <f t="shared" si="116"/>
        <v>290.36400230488431</v>
      </c>
      <c r="BI139" s="62">
        <f ca="1">AVERAGE(OFFSET($BH$3,0,0,'Données projet'!$E$11+1,1))-AVERAGE(OFFSET($H$3,0,0,'Données projet'!$E$11+1,1))</f>
        <v>364.96458059055169</v>
      </c>
      <c r="BJ139" s="62">
        <f t="shared" si="146"/>
        <v>246.27159120786257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projet'!$B$11,Paramètres!$A$1:$I$88,7,0))</f>
        <v>0</v>
      </c>
      <c r="BN139" s="17">
        <f>IF(ISNA(VLOOKUP(A139,'Données projet'!$A$87:$I$107,6,0)),0%,VLOOKUP(A139,'Données projet'!$A$87:$I$107,6,0)*VLOOKUP('Données projet'!$B$11,Paramètres!$A$1:$I$88,7,0))</f>
        <v>0</v>
      </c>
      <c r="BO139" s="17">
        <f>IF(ISNA(VLOOKUP(A139,'Données projet'!$A$87:$I$107,7,0)),0%,VLOOKUP(A139,'Données projet'!$A$87:$I$107,7,0))</f>
        <v>0</v>
      </c>
      <c r="BP139" s="23">
        <f>EXP(-LN(2)/35)*BP138+(1-EXP(-LN(2)/35))/(LN(2)/35)*BL139*BM139*VLOOKUP('Données projet'!$B$11,Paramètres!$A$1:$I$88,3,0)*0.475*44/12</f>
        <v>116.69764925497871</v>
      </c>
      <c r="BQ139" s="23">
        <f>EXP(-LN(2)/25)*BQ138+(1-EXP(-LN(2)/25))/(LN(2)/25)*Calculateur!BL139*Calculateur!BN139*VLOOKUP('Données projet'!$B$11,Paramètres!$A$1:$I$88,3,0)*0.475*44/12</f>
        <v>37.151814511197308</v>
      </c>
      <c r="BR139" s="23">
        <f>EXP(-LN(2)/2)*BR138+(1-EXP(-LN(2)/2))/(LN(2)/2)*BL139*BO139*VLOOKUP('Données projet'!$B$11,Paramètres!$A$1:$I$88,3,0)*0.475*44/12</f>
        <v>0</v>
      </c>
      <c r="BS139" s="24">
        <f t="shared" si="117"/>
        <v>153.84946376617603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69.19018244678449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-1.1368683772161603E-13</v>
      </c>
      <c r="BZ139" s="14">
        <f>BY139*VLOOKUP('Données projet'!$B$12,Paramètres!$A$1:$I$88,3,0)*VLOOKUP('Données projet'!$B$12,Paramètres!$A$1:$I$88,5,0)</f>
        <v>-1.1527845344971866E-13</v>
      </c>
      <c r="CA139" s="14" t="e">
        <f t="shared" si="147"/>
        <v>#NUM!</v>
      </c>
      <c r="CB139" s="22" t="e">
        <f t="shared" si="118"/>
        <v>#NUM!</v>
      </c>
      <c r="CC139" s="62" t="e">
        <f t="shared" si="119"/>
        <v>#NUM!</v>
      </c>
      <c r="CD139" s="62">
        <f ca="1">AVERAGE(OFFSET($CC$3,0,0,'Données projet'!$E$12+1,1))-AVERAGE(OFFSET($H$3,0,0,'Données projet'!$E$12+1,1))</f>
        <v>310.53598044763282</v>
      </c>
      <c r="CE139" s="62">
        <f t="shared" si="148"/>
        <v>322.01096634040596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projet'!$B$12,Paramètres!$A$1:$I$88,7,0))</f>
        <v>0</v>
      </c>
      <c r="CI139" s="17">
        <f>IF(ISNA(VLOOKUP(A139,'Données projet'!$A$113:$I$133,6,0)),0%,VLOOKUP(A139,'Données projet'!$A$113:$I$133,6,0)*VLOOKUP('Données projet'!$B$12,Paramètres!$A$1:$I$88,7,0))</f>
        <v>0</v>
      </c>
      <c r="CJ139" s="17">
        <f>IF(ISNA(VLOOKUP(A139,'Données projet'!$A$113:$I$133,7,0)),0%,VLOOKUP(A139,'Données projet'!$A$113:$I$133,7,0))</f>
        <v>0</v>
      </c>
      <c r="CK139" s="23">
        <f>EXP(-LN(2)/35)*CK138+(1-EXP(-LN(2)/35))/(LN(2)/35)*CG139*CH139*VLOOKUP('Données projet'!$B$12,Paramètres!$A$1:$I$88,3,0)*0.475*44/12</f>
        <v>16.050170495856364</v>
      </c>
      <c r="CL139" s="23">
        <f>EXP(-LN(2)/25)*CL138+(1-EXP(-LN(2)/25))/(LN(2)/25)*Calculateur!CG139*Calculateur!CI139*VLOOKUP('Données projet'!$B$12,Paramètres!$A$1:$I$88,3,0)*0.475*44/12</f>
        <v>0</v>
      </c>
      <c r="CM139" s="23">
        <f>EXP(-LN(2)/2)*CM138+(1-EXP(-LN(2)/2))/(LN(2)/2)*CG139*CJ139*VLOOKUP('Données projet'!$B$12,Paramètres!$A$1:$I$88,3,0)*0.475*44/12</f>
        <v>0</v>
      </c>
      <c r="CN139" s="24">
        <f t="shared" si="120"/>
        <v>16.050170495856364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69.19018244678449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projet'!$B$13,Paramètres!$A$1:$I$88,3,0)*VLOOKUP('Données projet'!$B$13,Paramètres!$A$1:$I$88,5,0)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projet'!$B$13,Paramètres!$A$1:$I$88,7,0))</f>
        <v>0</v>
      </c>
      <c r="DD139" s="17">
        <f>IF(ISNA(VLOOKUP(A139,'Données projet'!$A$139:$I$159,6,0)),0%,VLOOKUP(A139,'Données projet'!$A$139:$I$159,6,0)*VLOOKUP('Données projet'!$B$13,Paramètres!$A$1:$I$88,7,0))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projet'!$B$13,Paramètres!$A$1:$I$88,3,0)*0.475*44/12</f>
        <v>#N/A</v>
      </c>
      <c r="DG139" s="23" t="e">
        <f>EXP(-LN(2)/25)*DG138+(1-EXP(-LN(2)/25))/(LN(2)/25)*Calculateur!DB139*Calculateur!DD139*VLOOKUP('Données projet'!$B$13,Paramètres!$A$1:$I$88,3,0)*0.475*44/12</f>
        <v>#N/A</v>
      </c>
      <c r="DH139" s="23" t="e">
        <f>EXP(-LN(2)/2)*DH138+(1-EXP(-LN(2)/2))/(LN(2)/2)*DB139*DE139*VLOOKUP('Données projet'!$B$13,Paramètres!$A$1:$I$88,3,0)*0.475*44/12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69.19018244678449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projet'!$B$14,Paramètres!$A$1:$I$88,3,0)*VLOOKUP('Données projet'!$B$14,Paramètres!$A$1:$I$88,5,0)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projet'!$B$14,Paramètres!$A$1:$I$88,7,0))</f>
        <v>0</v>
      </c>
      <c r="DY139" s="17">
        <f>IF(ISNA(VLOOKUP(A139,'Données projet'!$A$165:$I$185,6,0)),0%,VLOOKUP(A139,'Données projet'!$A$165:$I$185,6,0)*VLOOKUP('Données projet'!$B$14,Paramètres!$A$1:$I$88,7,0))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projet'!$B$14,Paramètres!$A$1:$I$88,3,0)*0.475*44/12</f>
        <v>#N/A</v>
      </c>
      <c r="EB139" s="23" t="e">
        <f>EXP(-LN(2)/25)*EB138+(1-EXP(-LN(2)/25))/(LN(2)/25)*Calculateur!DW139*Calculateur!DY139*VLOOKUP('Données projet'!$B$14,Paramètres!$A$1:$I$88,3,0)*0.475*44/12</f>
        <v>#N/A</v>
      </c>
      <c r="EC139" s="23" t="e">
        <f>EXP(-LN(2)/2)*EC138+(1-EXP(-LN(2)/2))/(LN(2)/2)*DW139*DZ139*VLOOKUP('Données projet'!$B$14,Paramètres!$A$1:$I$88,3,0)*0.475*44/12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69.19018244678449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projet'!$B$15,Paramètres!$A$1:$I$88,3,0)*VLOOKUP('Données projet'!$B$15,Paramètres!$A$1:$I$88,5,0)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projet'!$B$15,Paramètres!$A$1:$I$88,7,0))</f>
        <v>0</v>
      </c>
      <c r="ET139" s="17">
        <f>IF(ISNA(VLOOKUP(A139,'Données projet'!$A$191:$I$211,6,0)),0%,VLOOKUP(A139,'Données projet'!$A$191:$I$211,6,0)*VLOOKUP('Données projet'!$B$15,Paramètres!$A$1:$I$88,7,0))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projet'!$B$15,Paramètres!$A$1:$I$88,3,0)*0.475*44/12</f>
        <v>#N/A</v>
      </c>
      <c r="EW139" s="23" t="e">
        <f>EXP(-LN(2)/25)*EW138+(1-EXP(-LN(2)/25))/(LN(2)/25)*Calculateur!ER139*Calculateur!ET139*VLOOKUP('Données projet'!$B$15,Paramètres!$A$1:$I$88,3,0)*0.475*44/12</f>
        <v>#N/A</v>
      </c>
      <c r="EX139" s="23" t="e">
        <f>EXP(-LN(2)/2)*EX138+(1-EXP(-LN(2)/2))/(LN(2)/2)*ER139*EU139*VLOOKUP('Données projet'!$B$15,Paramètres!$A$1:$I$88,3,0)*0.475*44/12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69.19018244678449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projet'!$B$16,Paramètres!$A$1:$I$88,3,0)*VLOOKUP('Données projet'!$B$16,Paramètres!$A$1:$I$88,5,0)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projet'!$B$16,Paramètres!$A$1:$I$88,7,0))</f>
        <v>0</v>
      </c>
      <c r="FO139" s="17">
        <f>IF(ISNA(VLOOKUP(A139,'Données projet'!$A$217:$I$237,6,0)),0%,VLOOKUP(A139,'Données projet'!$A$217:$I$237,6,0)*VLOOKUP('Données projet'!$B$16,Paramètres!$A$1:$I$88,7,0))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projet'!$B$16,Paramètres!$A$1:$I$88,3,0)*0.475*44/12</f>
        <v>#N/A</v>
      </c>
      <c r="FR139" s="23" t="e">
        <f>EXP(-LN(2)/25)*FR138+(1-EXP(-LN(2)/25))/(LN(2)/25)*Calculateur!FM139*Calculateur!FO139*VLOOKUP('Données projet'!$B$16,Paramètres!$A$1:$I$88,3,0)*0.475*44/12</f>
        <v>#N/A</v>
      </c>
      <c r="FS139" s="23" t="e">
        <f>EXP(-LN(2)/2)*FS138+(1-EXP(-LN(2)/2))/(LN(2)/2)*FM139*FP139*VLOOKUP('Données projet'!$B$16,Paramètres!$A$1:$I$88,3,0)*0.475*44/12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69.19018244678449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projet'!$B$17,Paramètres!$A$1:$I$88,3,0)*VLOOKUP('Données projet'!$B$17,Paramètres!$A$1:$I$88,5,0)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projet'!$B$17,Paramètres!$A$1:$I$88,7,0))</f>
        <v>0</v>
      </c>
      <c r="GJ139" s="17">
        <f>IF(ISNA(VLOOKUP(A139,'Données projet'!$A$243:$I$263,6,0)),0%,VLOOKUP(A139,'Données projet'!$A$243:$I$263,6,0)*VLOOKUP('Données projet'!$B$17,Paramètres!$A$1:$I$88,7,0))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projet'!$B$17,Paramètres!$A$1:$I$88,3,0)*0.475*44/12</f>
        <v>#N/A</v>
      </c>
      <c r="GM139" s="23" t="e">
        <f>EXP(-LN(2)/25)*GM138+(1-EXP(-LN(2)/25))/(LN(2)/25)*Calculateur!GH139*Calculateur!GJ139*VLOOKUP('Données projet'!$B$17,Paramètres!$A$1:$I$88,3,0)*0.475*44/12</f>
        <v>#N/A</v>
      </c>
      <c r="GN139" s="23" t="e">
        <f>EXP(-LN(2)/2)*GN138+(1-EXP(-LN(2)/2))/(LN(2)/2)*GH139*GK139*VLOOKUP('Données projet'!$B$17,Paramètres!$A$1:$I$88,3,0)*0.475*44/12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69.19018244678449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projet'!$B$18,Paramètres!$A$1:$I$88,3,0)*VLOOKUP('Données projet'!$B$18,Paramètres!$A$1:$I$88,5,0)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projet'!$B$18,Paramètres!$A$1:$I$88,7,0))</f>
        <v>0</v>
      </c>
      <c r="HE139" s="17">
        <f>IF(ISNA(VLOOKUP(A139,'Données projet'!$A$269:$I$289,6,0)),0%,VLOOKUP(A139,'Données projet'!$A$269:$I$289,6,0)*VLOOKUP('Données projet'!$B$18,Paramètres!$A$1:$I$88,7,0))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projet'!$B$18,Paramètres!$A$1:$I$88,3,0)*0.475*44/12</f>
        <v>#N/A</v>
      </c>
      <c r="HH139" s="23" t="e">
        <f>EXP(-LN(2)/25)*HH138+(1-EXP(-LN(2)/25))/(LN(2)/25)*Calculateur!HC139*Calculateur!HE139*VLOOKUP('Données projet'!$B$18,Paramètres!$A$1:$I$88,3,0)*0.475*44/12</f>
        <v>#N/A</v>
      </c>
      <c r="HI139" s="23" t="e">
        <f>EXP(-LN(2)/2)*HI138+(1-EXP(-LN(2)/2))/(LN(2)/2)*HC139*HF139*VLOOKUP('Données projet'!$B$18,Paramètres!$A$1:$I$88,3,0)*0.475*44/12</f>
        <v>#N/A</v>
      </c>
      <c r="HJ139" s="24" t="e">
        <f t="shared" si="138"/>
        <v>#N/A</v>
      </c>
    </row>
    <row r="140" spans="1:218" s="5" customFormat="1" x14ac:dyDescent="0.35">
      <c r="A140" s="11">
        <f t="shared" si="139"/>
        <v>137</v>
      </c>
      <c r="B140" s="77">
        <f>'Scénario référence'!$B$16*5+'Scénario référence'!$B$17*0+'Scénario référence'!$B$18*5</f>
        <v>1.75</v>
      </c>
      <c r="C140" s="20">
        <f>Calculateur!C139+'Scénario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40" s="12">
        <f t="shared" si="140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6.416666666666667</v>
      </c>
      <c r="H140" s="70">
        <f t="shared" si="110"/>
        <v>231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69.204230970851967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3.4106051316484809E-13</v>
      </c>
      <c r="O140" s="14">
        <f>N140*VLOOKUP('Données projet'!$B$9,Paramètres!$A$1:$I$88,3,0)*VLOOKUP('Données projet'!$B$9,Paramètres!$A$1:$I$88,5,0)</f>
        <v>1.9065282685915009E-13</v>
      </c>
      <c r="P140" s="14">
        <f t="shared" si="141"/>
        <v>2.6568987209435707E-12</v>
      </c>
      <c r="Q140" s="22">
        <f t="shared" si="108"/>
        <v>4.959485612423072E-12</v>
      </c>
      <c r="R140" s="62">
        <f t="shared" si="109"/>
        <v>290.4155135597955</v>
      </c>
      <c r="S140" s="62">
        <f ca="1">AVERAGE(OFFSET($R$3,0,0,'Données projet'!$E$9+1,1))-AVERAGE(OFFSET($H$3,0,0,'Données projet'!$E$9+1,1))</f>
        <v>341.05096821796769</v>
      </c>
      <c r="T140" s="62">
        <f t="shared" si="142"/>
        <v>400.72519822215168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projet'!$B$9,Paramètres!$A$1:$I$88,7,0))</f>
        <v>0</v>
      </c>
      <c r="X140" s="17">
        <f>IF(ISNA(VLOOKUP(A140,'Données projet'!$A$35:$I$55,6,0)),0%,VLOOKUP(A140,'Données projet'!$A$35:$I$55,6,0)*VLOOKUP('Données projet'!$B$9,Paramètres!$A$1:$I$88,7,0))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projet'!$B$9,Paramètres!$A$1:$I$88,3,0)*0.475*44/12</f>
        <v>52.151515926726553</v>
      </c>
      <c r="AA140" s="23">
        <f>EXP(-LN(2)/25)*AA139+(1-EXP(-LN(2)/25))/(LN(2)/25)*Calculateur!V140*Calculateur!X140*VLOOKUP('Données projet'!$B$9,Paramètres!$A$1:$I$88,3,0)*0.475*44/12</f>
        <v>15.671961473115411</v>
      </c>
      <c r="AB140" s="23">
        <f>EXP(-LN(2)/2)*AB139+(1-EXP(-LN(2)/2))/(LN(2)/2)*V140*Y140*VLOOKUP('Données projet'!$B$9,Paramètres!$A$1:$I$88,3,0)*0.475*44/12</f>
        <v>0</v>
      </c>
      <c r="AC140" s="24">
        <f t="shared" si="111"/>
        <v>67.823477399841963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69.204230970851967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5.6843418860808015E-14</v>
      </c>
      <c r="AJ140" s="14">
        <f>AI140*VLOOKUP('Données projet'!$B$10,Paramètres!$A$1:$I$88,3,0)*VLOOKUP('Données projet'!$B$10,Paramètres!$A$1:$I$88,5,0)</f>
        <v>3.3992364478763198E-14</v>
      </c>
      <c r="AK140" s="14">
        <f t="shared" si="143"/>
        <v>5.790027782444094E-13</v>
      </c>
      <c r="AL140" s="22">
        <f t="shared" si="112"/>
        <v>1.0676332069095257E-12</v>
      </c>
      <c r="AM140" s="62">
        <f t="shared" si="113"/>
        <v>290.41551355979163</v>
      </c>
      <c r="AN140" s="62">
        <f ca="1">AVERAGE(OFFSET($AM$3,0,0,'Données projet'!$E$10+1,1))-AVERAGE(OFFSET($H$3,0,0,'Données projet'!$E$10+1,1))</f>
        <v>231.96474801342879</v>
      </c>
      <c r="AO140" s="62">
        <f t="shared" si="144"/>
        <v>237.75726086383668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projet'!$B$10,Paramètres!$A$1:$I$88,7,0))</f>
        <v>0</v>
      </c>
      <c r="AS140" s="17">
        <f>IF(ISNA(VLOOKUP(A140,'Données projet'!$A$61:$I$81,6,0)),0%,VLOOKUP(A140,'Données projet'!$A$61:$I$81,6,0)*VLOOKUP('Données projet'!$B$10,Paramètres!$A$1:$I$88,7,0))</f>
        <v>0</v>
      </c>
      <c r="AT140" s="17">
        <f>IF(ISNA(VLOOKUP(A140,'Données projet'!$A$61:$I$81,7,0)),0%,VLOOKUP(A140,'Données projet'!$A$61:$I$81,7,0))</f>
        <v>0</v>
      </c>
      <c r="AU140" s="23">
        <f>EXP(-LN(2)/35)*AU139+(1-EXP(-LN(2)/35))/(LN(2)/35)*AQ140*AR140*VLOOKUP('Données projet'!$B$10,Paramètres!$A$1:$I$88,3,0)*0.475*44/12</f>
        <v>20.565925858095291</v>
      </c>
      <c r="AV140" s="23">
        <f>EXP(-LN(2)/25)*AV139+(1-EXP(-LN(2)/25))/(LN(2)/25)*Calculateur!AQ140*Calculateur!AS140*VLOOKUP('Données projet'!$B$10,Paramètres!$A$1:$I$88,3,0)*0.475*44/12</f>
        <v>6.6178730871780793</v>
      </c>
      <c r="AW140" s="23">
        <f>EXP(-LN(2)/2)*AW139+(1-EXP(-LN(2)/2))/(LN(2)/2)*AQ140*AT140*VLOOKUP('Données projet'!$B$10,Paramètres!$A$1:$I$88,3,0)*0.475*44/12</f>
        <v>0</v>
      </c>
      <c r="AX140" s="23">
        <f t="shared" si="114"/>
        <v>27.18379894527337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69.204230970851967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6.8212102632969618E-13</v>
      </c>
      <c r="BE140" s="14">
        <f>BD140*VLOOKUP('Données projet'!$B$11,Paramètres!$A$1:$I$88,3,0)*VLOOKUP('Données projet'!$B$11,Paramètres!$A$1:$I$88,5,0)</f>
        <v>3.1923264032229784E-13</v>
      </c>
      <c r="BF140" s="14">
        <f t="shared" si="145"/>
        <v>4.1896839804541558E-12</v>
      </c>
      <c r="BG140" s="22">
        <f t="shared" si="115"/>
        <v>7.8530297811856558E-12</v>
      </c>
      <c r="BH140" s="62">
        <f t="shared" si="116"/>
        <v>290.4155135597984</v>
      </c>
      <c r="BI140" s="62">
        <f ca="1">AVERAGE(OFFSET($BH$3,0,0,'Données projet'!$E$11+1,1))-AVERAGE(OFFSET($H$3,0,0,'Données projet'!$E$11+1,1))</f>
        <v>364.96458059055169</v>
      </c>
      <c r="BJ140" s="62">
        <f t="shared" si="146"/>
        <v>246.27159120786257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projet'!$B$11,Paramètres!$A$1:$I$88,7,0))</f>
        <v>0</v>
      </c>
      <c r="BN140" s="17">
        <f>IF(ISNA(VLOOKUP(A140,'Données projet'!$A$87:$I$107,6,0)),0%,VLOOKUP(A140,'Données projet'!$A$87:$I$107,6,0)*VLOOKUP('Données projet'!$B$11,Paramètres!$A$1:$I$88,7,0))</f>
        <v>0</v>
      </c>
      <c r="BO140" s="17">
        <f>IF(ISNA(VLOOKUP(A140,'Données projet'!$A$87:$I$107,7,0)),0%,VLOOKUP(A140,'Données projet'!$A$87:$I$107,7,0))</f>
        <v>0</v>
      </c>
      <c r="BP140" s="23">
        <f>EXP(-LN(2)/35)*BP139+(1-EXP(-LN(2)/35))/(LN(2)/35)*BL140*BM140*VLOOKUP('Données projet'!$B$11,Paramètres!$A$1:$I$88,3,0)*0.475*44/12</f>
        <v>114.40927953162632</v>
      </c>
      <c r="BQ140" s="23">
        <f>EXP(-LN(2)/25)*BQ139+(1-EXP(-LN(2)/25))/(LN(2)/25)*Calculateur!BL140*Calculateur!BN140*VLOOKUP('Données projet'!$B$11,Paramètres!$A$1:$I$88,3,0)*0.475*44/12</f>
        <v>36.135896189659604</v>
      </c>
      <c r="BR140" s="23">
        <f>EXP(-LN(2)/2)*BR139+(1-EXP(-LN(2)/2))/(LN(2)/2)*BL140*BO140*VLOOKUP('Données projet'!$B$11,Paramètres!$A$1:$I$88,3,0)*0.475*44/12</f>
        <v>0</v>
      </c>
      <c r="BS140" s="24">
        <f t="shared" si="117"/>
        <v>150.54517572128594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69.204230970851967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-1.1368683772161603E-13</v>
      </c>
      <c r="BZ140" s="14">
        <f>BY140*VLOOKUP('Données projet'!$B$12,Paramètres!$A$1:$I$88,3,0)*VLOOKUP('Données projet'!$B$12,Paramètres!$A$1:$I$88,5,0)</f>
        <v>-1.1527845344971866E-13</v>
      </c>
      <c r="CA140" s="14" t="e">
        <f t="shared" si="147"/>
        <v>#NUM!</v>
      </c>
      <c r="CB140" s="22" t="e">
        <f t="shared" si="118"/>
        <v>#NUM!</v>
      </c>
      <c r="CC140" s="62" t="e">
        <f t="shared" si="119"/>
        <v>#NUM!</v>
      </c>
      <c r="CD140" s="62">
        <f ca="1">AVERAGE(OFFSET($CC$3,0,0,'Données projet'!$E$12+1,1))-AVERAGE(OFFSET($H$3,0,0,'Données projet'!$E$12+1,1))</f>
        <v>310.53598044763282</v>
      </c>
      <c r="CE140" s="62">
        <f t="shared" si="148"/>
        <v>322.01096634040596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projet'!$B$12,Paramètres!$A$1:$I$88,7,0))</f>
        <v>0</v>
      </c>
      <c r="CI140" s="17">
        <f>IF(ISNA(VLOOKUP(A140,'Données projet'!$A$113:$I$133,6,0)),0%,VLOOKUP(A140,'Données projet'!$A$113:$I$133,6,0)*VLOOKUP('Données projet'!$B$12,Paramètres!$A$1:$I$88,7,0))</f>
        <v>0</v>
      </c>
      <c r="CJ140" s="17">
        <f>IF(ISNA(VLOOKUP(A140,'Données projet'!$A$113:$I$133,7,0)),0%,VLOOKUP(A140,'Données projet'!$A$113:$I$133,7,0))</f>
        <v>0</v>
      </c>
      <c r="CK140" s="23">
        <f>EXP(-LN(2)/35)*CK139+(1-EXP(-LN(2)/35))/(LN(2)/35)*CG140*CH140*VLOOKUP('Données projet'!$B$12,Paramètres!$A$1:$I$88,3,0)*0.475*44/12</f>
        <v>15.735436442069977</v>
      </c>
      <c r="CL140" s="23">
        <f>EXP(-LN(2)/25)*CL139+(1-EXP(-LN(2)/25))/(LN(2)/25)*Calculateur!CG140*Calculateur!CI140*VLOOKUP('Données projet'!$B$12,Paramètres!$A$1:$I$88,3,0)*0.475*44/12</f>
        <v>0</v>
      </c>
      <c r="CM140" s="23">
        <f>EXP(-LN(2)/2)*CM139+(1-EXP(-LN(2)/2))/(LN(2)/2)*CG140*CJ140*VLOOKUP('Données projet'!$B$12,Paramètres!$A$1:$I$88,3,0)*0.475*44/12</f>
        <v>0</v>
      </c>
      <c r="CN140" s="24">
        <f t="shared" si="120"/>
        <v>15.735436442069977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69.204230970851967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projet'!$B$13,Paramètres!$A$1:$I$88,3,0)*VLOOKUP('Données projet'!$B$13,Paramètres!$A$1:$I$88,5,0)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projet'!$B$13,Paramètres!$A$1:$I$88,7,0))</f>
        <v>0</v>
      </c>
      <c r="DD140" s="17">
        <f>IF(ISNA(VLOOKUP(A140,'Données projet'!$A$139:$I$159,6,0)),0%,VLOOKUP(A140,'Données projet'!$A$139:$I$159,6,0)*VLOOKUP('Données projet'!$B$13,Paramètres!$A$1:$I$88,7,0))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projet'!$B$13,Paramètres!$A$1:$I$88,3,0)*0.475*44/12</f>
        <v>#N/A</v>
      </c>
      <c r="DG140" s="23" t="e">
        <f>EXP(-LN(2)/25)*DG139+(1-EXP(-LN(2)/25))/(LN(2)/25)*Calculateur!DB140*Calculateur!DD140*VLOOKUP('Données projet'!$B$13,Paramètres!$A$1:$I$88,3,0)*0.475*44/12</f>
        <v>#N/A</v>
      </c>
      <c r="DH140" s="23" t="e">
        <f>EXP(-LN(2)/2)*DH139+(1-EXP(-LN(2)/2))/(LN(2)/2)*DB140*DE140*VLOOKUP('Données projet'!$B$13,Paramètres!$A$1:$I$88,3,0)*0.475*44/12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69.204230970851967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projet'!$B$14,Paramètres!$A$1:$I$88,3,0)*VLOOKUP('Données projet'!$B$14,Paramètres!$A$1:$I$88,5,0)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projet'!$B$14,Paramètres!$A$1:$I$88,7,0))</f>
        <v>0</v>
      </c>
      <c r="DY140" s="17">
        <f>IF(ISNA(VLOOKUP(A140,'Données projet'!$A$165:$I$185,6,0)),0%,VLOOKUP(A140,'Données projet'!$A$165:$I$185,6,0)*VLOOKUP('Données projet'!$B$14,Paramètres!$A$1:$I$88,7,0))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projet'!$B$14,Paramètres!$A$1:$I$88,3,0)*0.475*44/12</f>
        <v>#N/A</v>
      </c>
      <c r="EB140" s="23" t="e">
        <f>EXP(-LN(2)/25)*EB139+(1-EXP(-LN(2)/25))/(LN(2)/25)*Calculateur!DW140*Calculateur!DY140*VLOOKUP('Données projet'!$B$14,Paramètres!$A$1:$I$88,3,0)*0.475*44/12</f>
        <v>#N/A</v>
      </c>
      <c r="EC140" s="23" t="e">
        <f>EXP(-LN(2)/2)*EC139+(1-EXP(-LN(2)/2))/(LN(2)/2)*DW140*DZ140*VLOOKUP('Données projet'!$B$14,Paramètres!$A$1:$I$88,3,0)*0.475*44/12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69.204230970851967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projet'!$B$15,Paramètres!$A$1:$I$88,3,0)*VLOOKUP('Données projet'!$B$15,Paramètres!$A$1:$I$88,5,0)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projet'!$B$15,Paramètres!$A$1:$I$88,7,0))</f>
        <v>0</v>
      </c>
      <c r="ET140" s="17">
        <f>IF(ISNA(VLOOKUP(A140,'Données projet'!$A$191:$I$211,6,0)),0%,VLOOKUP(A140,'Données projet'!$A$191:$I$211,6,0)*VLOOKUP('Données projet'!$B$15,Paramètres!$A$1:$I$88,7,0))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projet'!$B$15,Paramètres!$A$1:$I$88,3,0)*0.475*44/12</f>
        <v>#N/A</v>
      </c>
      <c r="EW140" s="23" t="e">
        <f>EXP(-LN(2)/25)*EW139+(1-EXP(-LN(2)/25))/(LN(2)/25)*Calculateur!ER140*Calculateur!ET140*VLOOKUP('Données projet'!$B$15,Paramètres!$A$1:$I$88,3,0)*0.475*44/12</f>
        <v>#N/A</v>
      </c>
      <c r="EX140" s="23" t="e">
        <f>EXP(-LN(2)/2)*EX139+(1-EXP(-LN(2)/2))/(LN(2)/2)*ER140*EU140*VLOOKUP('Données projet'!$B$15,Paramètres!$A$1:$I$88,3,0)*0.475*44/12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69.204230970851967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projet'!$B$16,Paramètres!$A$1:$I$88,3,0)*VLOOKUP('Données projet'!$B$16,Paramètres!$A$1:$I$88,5,0)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projet'!$B$16,Paramètres!$A$1:$I$88,7,0))</f>
        <v>0</v>
      </c>
      <c r="FO140" s="17">
        <f>IF(ISNA(VLOOKUP(A140,'Données projet'!$A$217:$I$237,6,0)),0%,VLOOKUP(A140,'Données projet'!$A$217:$I$237,6,0)*VLOOKUP('Données projet'!$B$16,Paramètres!$A$1:$I$88,7,0))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projet'!$B$16,Paramètres!$A$1:$I$88,3,0)*0.475*44/12</f>
        <v>#N/A</v>
      </c>
      <c r="FR140" s="23" t="e">
        <f>EXP(-LN(2)/25)*FR139+(1-EXP(-LN(2)/25))/(LN(2)/25)*Calculateur!FM140*Calculateur!FO140*VLOOKUP('Données projet'!$B$16,Paramètres!$A$1:$I$88,3,0)*0.475*44/12</f>
        <v>#N/A</v>
      </c>
      <c r="FS140" s="23" t="e">
        <f>EXP(-LN(2)/2)*FS139+(1-EXP(-LN(2)/2))/(LN(2)/2)*FM140*FP140*VLOOKUP('Données projet'!$B$16,Paramètres!$A$1:$I$88,3,0)*0.475*44/12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69.204230970851967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projet'!$B$17,Paramètres!$A$1:$I$88,3,0)*VLOOKUP('Données projet'!$B$17,Paramètres!$A$1:$I$88,5,0)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projet'!$B$17,Paramètres!$A$1:$I$88,7,0))</f>
        <v>0</v>
      </c>
      <c r="GJ140" s="17">
        <f>IF(ISNA(VLOOKUP(A140,'Données projet'!$A$243:$I$263,6,0)),0%,VLOOKUP(A140,'Données projet'!$A$243:$I$263,6,0)*VLOOKUP('Données projet'!$B$17,Paramètres!$A$1:$I$88,7,0))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projet'!$B$17,Paramètres!$A$1:$I$88,3,0)*0.475*44/12</f>
        <v>#N/A</v>
      </c>
      <c r="GM140" s="23" t="e">
        <f>EXP(-LN(2)/25)*GM139+(1-EXP(-LN(2)/25))/(LN(2)/25)*Calculateur!GH140*Calculateur!GJ140*VLOOKUP('Données projet'!$B$17,Paramètres!$A$1:$I$88,3,0)*0.475*44/12</f>
        <v>#N/A</v>
      </c>
      <c r="GN140" s="23" t="e">
        <f>EXP(-LN(2)/2)*GN139+(1-EXP(-LN(2)/2))/(LN(2)/2)*GH140*GK140*VLOOKUP('Données projet'!$B$17,Paramètres!$A$1:$I$88,3,0)*0.475*44/12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69.204230970851967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projet'!$B$18,Paramètres!$A$1:$I$88,3,0)*VLOOKUP('Données projet'!$B$18,Paramètres!$A$1:$I$88,5,0)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projet'!$B$18,Paramètres!$A$1:$I$88,7,0))</f>
        <v>0</v>
      </c>
      <c r="HE140" s="17">
        <f>IF(ISNA(VLOOKUP(A140,'Données projet'!$A$269:$I$289,6,0)),0%,VLOOKUP(A140,'Données projet'!$A$269:$I$289,6,0)*VLOOKUP('Données projet'!$B$18,Paramètres!$A$1:$I$88,7,0))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projet'!$B$18,Paramètres!$A$1:$I$88,3,0)*0.475*44/12</f>
        <v>#N/A</v>
      </c>
      <c r="HH140" s="23" t="e">
        <f>EXP(-LN(2)/25)*HH139+(1-EXP(-LN(2)/25))/(LN(2)/25)*Calculateur!HC140*Calculateur!HE140*VLOOKUP('Données projet'!$B$18,Paramètres!$A$1:$I$88,3,0)*0.475*44/12</f>
        <v>#N/A</v>
      </c>
      <c r="HI140" s="23" t="e">
        <f>EXP(-LN(2)/2)*HI139+(1-EXP(-LN(2)/2))/(LN(2)/2)*HC140*HF140*VLOOKUP('Données projet'!$B$18,Paramètres!$A$1:$I$88,3,0)*0.475*44/12</f>
        <v>#N/A</v>
      </c>
      <c r="HJ140" s="24" t="e">
        <f t="shared" si="138"/>
        <v>#N/A</v>
      </c>
    </row>
    <row r="141" spans="1:218" s="5" customFormat="1" x14ac:dyDescent="0.35">
      <c r="A141" s="11">
        <f t="shared" si="139"/>
        <v>138</v>
      </c>
      <c r="B141" s="77">
        <f>'Scénario référence'!$B$16*5+'Scénario référence'!$B$17*0+'Scénario référence'!$B$18*5</f>
        <v>1.75</v>
      </c>
      <c r="C141" s="20">
        <f>Calculateur!C140+'Scénario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41" s="12">
        <f t="shared" si="140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6.416666666666667</v>
      </c>
      <c r="H141" s="70">
        <f t="shared" si="110"/>
        <v>231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69.218035784434662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3.4106051316484809E-13</v>
      </c>
      <c r="O141" s="14">
        <f>N141*VLOOKUP('Données projet'!$B$9,Paramètres!$A$1:$I$88,3,0)*VLOOKUP('Données projet'!$B$9,Paramètres!$A$1:$I$88,5,0)</f>
        <v>1.9065282685915009E-13</v>
      </c>
      <c r="P141" s="14">
        <f t="shared" si="141"/>
        <v>2.6568987209435707E-12</v>
      </c>
      <c r="Q141" s="22">
        <f t="shared" si="108"/>
        <v>4.959485612423072E-12</v>
      </c>
      <c r="R141" s="62">
        <f t="shared" si="109"/>
        <v>290.4661312095987</v>
      </c>
      <c r="S141" s="62">
        <f ca="1">AVERAGE(OFFSET($R$3,0,0,'Données projet'!$E$9+1,1))-AVERAGE(OFFSET($H$3,0,0,'Données projet'!$E$9+1,1))</f>
        <v>341.05096821796769</v>
      </c>
      <c r="T141" s="62">
        <f t="shared" si="142"/>
        <v>400.72519822215168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projet'!$B$9,Paramètres!$A$1:$I$88,7,0))</f>
        <v>0</v>
      </c>
      <c r="X141" s="17">
        <f>IF(ISNA(VLOOKUP(A141,'Données projet'!$A$35:$I$55,6,0)),0%,VLOOKUP(A141,'Données projet'!$A$35:$I$55,6,0)*VLOOKUP('Données projet'!$B$9,Paramètres!$A$1:$I$88,7,0))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projet'!$B$9,Paramètres!$A$1:$I$88,3,0)*0.475*44/12</f>
        <v>51.128856508687257</v>
      </c>
      <c r="AA141" s="23">
        <f>EXP(-LN(2)/25)*AA140+(1-EXP(-LN(2)/25))/(LN(2)/25)*Calculateur!V141*Calculateur!X141*VLOOKUP('Données projet'!$B$9,Paramètres!$A$1:$I$88,3,0)*0.475*44/12</f>
        <v>15.243410862480435</v>
      </c>
      <c r="AB141" s="23">
        <f>EXP(-LN(2)/2)*AB140+(1-EXP(-LN(2)/2))/(LN(2)/2)*V141*Y141*VLOOKUP('Données projet'!$B$9,Paramètres!$A$1:$I$88,3,0)*0.475*44/12</f>
        <v>0</v>
      </c>
      <c r="AC141" s="24">
        <f t="shared" si="111"/>
        <v>66.372267371167695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69.218035784434662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5.6843418860808015E-14</v>
      </c>
      <c r="AJ141" s="14">
        <f>AI141*VLOOKUP('Données projet'!$B$10,Paramètres!$A$1:$I$88,3,0)*VLOOKUP('Données projet'!$B$10,Paramètres!$A$1:$I$88,5,0)</f>
        <v>3.3992364478763198E-14</v>
      </c>
      <c r="AK141" s="14">
        <f t="shared" si="143"/>
        <v>5.790027782444094E-13</v>
      </c>
      <c r="AL141" s="22">
        <f t="shared" si="112"/>
        <v>1.0676332069095257E-12</v>
      </c>
      <c r="AM141" s="62">
        <f t="shared" si="113"/>
        <v>290.46613120959483</v>
      </c>
      <c r="AN141" s="62">
        <f ca="1">AVERAGE(OFFSET($AM$3,0,0,'Données projet'!$E$10+1,1))-AVERAGE(OFFSET($H$3,0,0,'Données projet'!$E$10+1,1))</f>
        <v>231.96474801342879</v>
      </c>
      <c r="AO141" s="62">
        <f t="shared" si="144"/>
        <v>237.75726086383668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projet'!$B$10,Paramètres!$A$1:$I$88,7,0))</f>
        <v>0</v>
      </c>
      <c r="AS141" s="17">
        <f>IF(ISNA(VLOOKUP(A141,'Données projet'!$A$61:$I$81,6,0)),0%,VLOOKUP(A141,'Données projet'!$A$61:$I$81,6,0)*VLOOKUP('Données projet'!$B$10,Paramètres!$A$1:$I$88,7,0))</f>
        <v>0</v>
      </c>
      <c r="AT141" s="17">
        <f>IF(ISNA(VLOOKUP(A141,'Données projet'!$A$61:$I$81,7,0)),0%,VLOOKUP(A141,'Données projet'!$A$61:$I$81,7,0))</f>
        <v>0</v>
      </c>
      <c r="AU141" s="23">
        <f>EXP(-LN(2)/35)*AU140+(1-EXP(-LN(2)/35))/(LN(2)/35)*AQ141*AR141*VLOOKUP('Données projet'!$B$10,Paramètres!$A$1:$I$88,3,0)*0.475*44/12</f>
        <v>20.162640595994201</v>
      </c>
      <c r="AV141" s="23">
        <f>EXP(-LN(2)/25)*AV140+(1-EXP(-LN(2)/25))/(LN(2)/25)*Calculateur!AQ141*Calculateur!AS141*VLOOKUP('Données projet'!$B$10,Paramètres!$A$1:$I$88,3,0)*0.475*44/12</f>
        <v>6.4369069995903745</v>
      </c>
      <c r="AW141" s="23">
        <f>EXP(-LN(2)/2)*AW140+(1-EXP(-LN(2)/2))/(LN(2)/2)*AQ141*AT141*VLOOKUP('Données projet'!$B$10,Paramètres!$A$1:$I$88,3,0)*0.475*44/12</f>
        <v>0</v>
      </c>
      <c r="AX141" s="23">
        <f t="shared" si="114"/>
        <v>26.599547595584575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69.218035784434662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6.8212102632969618E-13</v>
      </c>
      <c r="BE141" s="14">
        <f>BD141*VLOOKUP('Données projet'!$B$11,Paramètres!$A$1:$I$88,3,0)*VLOOKUP('Données projet'!$B$11,Paramètres!$A$1:$I$88,5,0)</f>
        <v>3.1923264032229784E-13</v>
      </c>
      <c r="BF141" s="14">
        <f t="shared" si="145"/>
        <v>4.1896839804541558E-12</v>
      </c>
      <c r="BG141" s="22">
        <f t="shared" si="115"/>
        <v>7.8530297811856558E-12</v>
      </c>
      <c r="BH141" s="62">
        <f t="shared" si="116"/>
        <v>290.4661312096016</v>
      </c>
      <c r="BI141" s="62">
        <f ca="1">AVERAGE(OFFSET($BH$3,0,0,'Données projet'!$E$11+1,1))-AVERAGE(OFFSET($H$3,0,0,'Données projet'!$E$11+1,1))</f>
        <v>364.96458059055169</v>
      </c>
      <c r="BJ141" s="62">
        <f t="shared" si="146"/>
        <v>246.27159120786257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projet'!$B$11,Paramètres!$A$1:$I$88,7,0))</f>
        <v>0</v>
      </c>
      <c r="BN141" s="17">
        <f>IF(ISNA(VLOOKUP(A141,'Données projet'!$A$87:$I$107,6,0)),0%,VLOOKUP(A141,'Données projet'!$A$87:$I$107,6,0)*VLOOKUP('Données projet'!$B$11,Paramètres!$A$1:$I$88,7,0))</f>
        <v>0</v>
      </c>
      <c r="BO141" s="17">
        <f>IF(ISNA(VLOOKUP(A141,'Données projet'!$A$87:$I$107,7,0)),0%,VLOOKUP(A141,'Données projet'!$A$87:$I$107,7,0))</f>
        <v>0</v>
      </c>
      <c r="BP141" s="23">
        <f>EXP(-LN(2)/35)*BP140+(1-EXP(-LN(2)/35))/(LN(2)/35)*BL141*BM141*VLOOKUP('Données projet'!$B$11,Paramètres!$A$1:$I$88,3,0)*0.475*44/12</f>
        <v>112.16578334278117</v>
      </c>
      <c r="BQ141" s="23">
        <f>EXP(-LN(2)/25)*BQ140+(1-EXP(-LN(2)/25))/(LN(2)/25)*Calculateur!BL141*Calculateur!BN141*VLOOKUP('Données projet'!$B$11,Paramètres!$A$1:$I$88,3,0)*0.475*44/12</f>
        <v>35.147758208049169</v>
      </c>
      <c r="BR141" s="23">
        <f>EXP(-LN(2)/2)*BR140+(1-EXP(-LN(2)/2))/(LN(2)/2)*BL141*BO141*VLOOKUP('Données projet'!$B$11,Paramètres!$A$1:$I$88,3,0)*0.475*44/12</f>
        <v>0</v>
      </c>
      <c r="BS141" s="24">
        <f t="shared" si="117"/>
        <v>147.31354155083034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69.218035784434662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-1.1368683772161603E-13</v>
      </c>
      <c r="BZ141" s="14">
        <f>BY141*VLOOKUP('Données projet'!$B$12,Paramètres!$A$1:$I$88,3,0)*VLOOKUP('Données projet'!$B$12,Paramètres!$A$1:$I$88,5,0)</f>
        <v>-1.1527845344971866E-13</v>
      </c>
      <c r="CA141" s="14" t="e">
        <f t="shared" si="147"/>
        <v>#NUM!</v>
      </c>
      <c r="CB141" s="22" t="e">
        <f t="shared" si="118"/>
        <v>#NUM!</v>
      </c>
      <c r="CC141" s="62" t="e">
        <f t="shared" si="119"/>
        <v>#NUM!</v>
      </c>
      <c r="CD141" s="62">
        <f ca="1">AVERAGE(OFFSET($CC$3,0,0,'Données projet'!$E$12+1,1))-AVERAGE(OFFSET($H$3,0,0,'Données projet'!$E$12+1,1))</f>
        <v>310.53598044763282</v>
      </c>
      <c r="CE141" s="62">
        <f t="shared" si="148"/>
        <v>322.01096634040596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projet'!$B$12,Paramètres!$A$1:$I$88,7,0))</f>
        <v>0</v>
      </c>
      <c r="CI141" s="17">
        <f>IF(ISNA(VLOOKUP(A141,'Données projet'!$A$113:$I$133,6,0)),0%,VLOOKUP(A141,'Données projet'!$A$113:$I$133,6,0)*VLOOKUP('Données projet'!$B$12,Paramètres!$A$1:$I$88,7,0))</f>
        <v>0</v>
      </c>
      <c r="CJ141" s="17">
        <f>IF(ISNA(VLOOKUP(A141,'Données projet'!$A$113:$I$133,7,0)),0%,VLOOKUP(A141,'Données projet'!$A$113:$I$133,7,0))</f>
        <v>0</v>
      </c>
      <c r="CK141" s="23">
        <f>EXP(-LN(2)/35)*CK140+(1-EXP(-LN(2)/35))/(LN(2)/35)*CG141*CH141*VLOOKUP('Données projet'!$B$12,Paramètres!$A$1:$I$88,3,0)*0.475*44/12</f>
        <v>15.426874131109523</v>
      </c>
      <c r="CL141" s="23">
        <f>EXP(-LN(2)/25)*CL140+(1-EXP(-LN(2)/25))/(LN(2)/25)*Calculateur!CG141*Calculateur!CI141*VLOOKUP('Données projet'!$B$12,Paramètres!$A$1:$I$88,3,0)*0.475*44/12</f>
        <v>0</v>
      </c>
      <c r="CM141" s="23">
        <f>EXP(-LN(2)/2)*CM140+(1-EXP(-LN(2)/2))/(LN(2)/2)*CG141*CJ141*VLOOKUP('Données projet'!$B$12,Paramètres!$A$1:$I$88,3,0)*0.475*44/12</f>
        <v>0</v>
      </c>
      <c r="CN141" s="24">
        <f t="shared" si="120"/>
        <v>15.426874131109523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69.218035784434662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projet'!$B$13,Paramètres!$A$1:$I$88,3,0)*VLOOKUP('Données projet'!$B$13,Paramètres!$A$1:$I$88,5,0)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projet'!$B$13,Paramètres!$A$1:$I$88,7,0))</f>
        <v>0</v>
      </c>
      <c r="DD141" s="17">
        <f>IF(ISNA(VLOOKUP(A141,'Données projet'!$A$139:$I$159,6,0)),0%,VLOOKUP(A141,'Données projet'!$A$139:$I$159,6,0)*VLOOKUP('Données projet'!$B$13,Paramètres!$A$1:$I$88,7,0))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projet'!$B$13,Paramètres!$A$1:$I$88,3,0)*0.475*44/12</f>
        <v>#N/A</v>
      </c>
      <c r="DG141" s="23" t="e">
        <f>EXP(-LN(2)/25)*DG140+(1-EXP(-LN(2)/25))/(LN(2)/25)*Calculateur!DB141*Calculateur!DD141*VLOOKUP('Données projet'!$B$13,Paramètres!$A$1:$I$88,3,0)*0.475*44/12</f>
        <v>#N/A</v>
      </c>
      <c r="DH141" s="23" t="e">
        <f>EXP(-LN(2)/2)*DH140+(1-EXP(-LN(2)/2))/(LN(2)/2)*DB141*DE141*VLOOKUP('Données projet'!$B$13,Paramètres!$A$1:$I$88,3,0)*0.475*44/12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69.218035784434662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projet'!$B$14,Paramètres!$A$1:$I$88,3,0)*VLOOKUP('Données projet'!$B$14,Paramètres!$A$1:$I$88,5,0)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projet'!$B$14,Paramètres!$A$1:$I$88,7,0))</f>
        <v>0</v>
      </c>
      <c r="DY141" s="17">
        <f>IF(ISNA(VLOOKUP(A141,'Données projet'!$A$165:$I$185,6,0)),0%,VLOOKUP(A141,'Données projet'!$A$165:$I$185,6,0)*VLOOKUP('Données projet'!$B$14,Paramètres!$A$1:$I$88,7,0))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projet'!$B$14,Paramètres!$A$1:$I$88,3,0)*0.475*44/12</f>
        <v>#N/A</v>
      </c>
      <c r="EB141" s="23" t="e">
        <f>EXP(-LN(2)/25)*EB140+(1-EXP(-LN(2)/25))/(LN(2)/25)*Calculateur!DW141*Calculateur!DY141*VLOOKUP('Données projet'!$B$14,Paramètres!$A$1:$I$88,3,0)*0.475*44/12</f>
        <v>#N/A</v>
      </c>
      <c r="EC141" s="23" t="e">
        <f>EXP(-LN(2)/2)*EC140+(1-EXP(-LN(2)/2))/(LN(2)/2)*DW141*DZ141*VLOOKUP('Données projet'!$B$14,Paramètres!$A$1:$I$88,3,0)*0.475*44/12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69.218035784434662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projet'!$B$15,Paramètres!$A$1:$I$88,3,0)*VLOOKUP('Données projet'!$B$15,Paramètres!$A$1:$I$88,5,0)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projet'!$B$15,Paramètres!$A$1:$I$88,7,0))</f>
        <v>0</v>
      </c>
      <c r="ET141" s="17">
        <f>IF(ISNA(VLOOKUP(A141,'Données projet'!$A$191:$I$211,6,0)),0%,VLOOKUP(A141,'Données projet'!$A$191:$I$211,6,0)*VLOOKUP('Données projet'!$B$15,Paramètres!$A$1:$I$88,7,0))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projet'!$B$15,Paramètres!$A$1:$I$88,3,0)*0.475*44/12</f>
        <v>#N/A</v>
      </c>
      <c r="EW141" s="23" t="e">
        <f>EXP(-LN(2)/25)*EW140+(1-EXP(-LN(2)/25))/(LN(2)/25)*Calculateur!ER141*Calculateur!ET141*VLOOKUP('Données projet'!$B$15,Paramètres!$A$1:$I$88,3,0)*0.475*44/12</f>
        <v>#N/A</v>
      </c>
      <c r="EX141" s="23" t="e">
        <f>EXP(-LN(2)/2)*EX140+(1-EXP(-LN(2)/2))/(LN(2)/2)*ER141*EU141*VLOOKUP('Données projet'!$B$15,Paramètres!$A$1:$I$88,3,0)*0.475*44/12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69.218035784434662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projet'!$B$16,Paramètres!$A$1:$I$88,3,0)*VLOOKUP('Données projet'!$B$16,Paramètres!$A$1:$I$88,5,0)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projet'!$B$16,Paramètres!$A$1:$I$88,7,0))</f>
        <v>0</v>
      </c>
      <c r="FO141" s="17">
        <f>IF(ISNA(VLOOKUP(A141,'Données projet'!$A$217:$I$237,6,0)),0%,VLOOKUP(A141,'Données projet'!$A$217:$I$237,6,0)*VLOOKUP('Données projet'!$B$16,Paramètres!$A$1:$I$88,7,0))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projet'!$B$16,Paramètres!$A$1:$I$88,3,0)*0.475*44/12</f>
        <v>#N/A</v>
      </c>
      <c r="FR141" s="23" t="e">
        <f>EXP(-LN(2)/25)*FR140+(1-EXP(-LN(2)/25))/(LN(2)/25)*Calculateur!FM141*Calculateur!FO141*VLOOKUP('Données projet'!$B$16,Paramètres!$A$1:$I$88,3,0)*0.475*44/12</f>
        <v>#N/A</v>
      </c>
      <c r="FS141" s="23" t="e">
        <f>EXP(-LN(2)/2)*FS140+(1-EXP(-LN(2)/2))/(LN(2)/2)*FM141*FP141*VLOOKUP('Données projet'!$B$16,Paramètres!$A$1:$I$88,3,0)*0.475*44/12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69.218035784434662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projet'!$B$17,Paramètres!$A$1:$I$88,3,0)*VLOOKUP('Données projet'!$B$17,Paramètres!$A$1:$I$88,5,0)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projet'!$B$17,Paramètres!$A$1:$I$88,7,0))</f>
        <v>0</v>
      </c>
      <c r="GJ141" s="17">
        <f>IF(ISNA(VLOOKUP(A141,'Données projet'!$A$243:$I$263,6,0)),0%,VLOOKUP(A141,'Données projet'!$A$243:$I$263,6,0)*VLOOKUP('Données projet'!$B$17,Paramètres!$A$1:$I$88,7,0))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projet'!$B$17,Paramètres!$A$1:$I$88,3,0)*0.475*44/12</f>
        <v>#N/A</v>
      </c>
      <c r="GM141" s="23" t="e">
        <f>EXP(-LN(2)/25)*GM140+(1-EXP(-LN(2)/25))/(LN(2)/25)*Calculateur!GH141*Calculateur!GJ141*VLOOKUP('Données projet'!$B$17,Paramètres!$A$1:$I$88,3,0)*0.475*44/12</f>
        <v>#N/A</v>
      </c>
      <c r="GN141" s="23" t="e">
        <f>EXP(-LN(2)/2)*GN140+(1-EXP(-LN(2)/2))/(LN(2)/2)*GH141*GK141*VLOOKUP('Données projet'!$B$17,Paramètres!$A$1:$I$88,3,0)*0.475*44/12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69.218035784434662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projet'!$B$18,Paramètres!$A$1:$I$88,3,0)*VLOOKUP('Données projet'!$B$18,Paramètres!$A$1:$I$88,5,0)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projet'!$B$18,Paramètres!$A$1:$I$88,7,0))</f>
        <v>0</v>
      </c>
      <c r="HE141" s="17">
        <f>IF(ISNA(VLOOKUP(A141,'Données projet'!$A$269:$I$289,6,0)),0%,VLOOKUP(A141,'Données projet'!$A$269:$I$289,6,0)*VLOOKUP('Données projet'!$B$18,Paramètres!$A$1:$I$88,7,0))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projet'!$B$18,Paramètres!$A$1:$I$88,3,0)*0.475*44/12</f>
        <v>#N/A</v>
      </c>
      <c r="HH141" s="23" t="e">
        <f>EXP(-LN(2)/25)*HH140+(1-EXP(-LN(2)/25))/(LN(2)/25)*Calculateur!HC141*Calculateur!HE141*VLOOKUP('Données projet'!$B$18,Paramètres!$A$1:$I$88,3,0)*0.475*44/12</f>
        <v>#N/A</v>
      </c>
      <c r="HI141" s="23" t="e">
        <f>EXP(-LN(2)/2)*HI140+(1-EXP(-LN(2)/2))/(LN(2)/2)*HC141*HF141*VLOOKUP('Données projet'!$B$18,Paramètres!$A$1:$I$88,3,0)*0.475*44/12</f>
        <v>#N/A</v>
      </c>
      <c r="HJ141" s="24" t="e">
        <f t="shared" si="138"/>
        <v>#N/A</v>
      </c>
    </row>
    <row r="142" spans="1:218" s="5" customFormat="1" x14ac:dyDescent="0.35">
      <c r="A142" s="11">
        <f t="shared" si="139"/>
        <v>139</v>
      </c>
      <c r="B142" s="77">
        <f>'Scénario référence'!$B$16*5+'Scénario référence'!$B$17*0+'Scénario référence'!$B$18*5</f>
        <v>1.75</v>
      </c>
      <c r="C142" s="20">
        <f>Calculateur!C141+'Scénario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42" s="12">
        <f t="shared" si="140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6.416666666666667</v>
      </c>
      <c r="H142" s="70">
        <f t="shared" si="110"/>
        <v>231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69.23160111536464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3.4106051316484809E-13</v>
      </c>
      <c r="O142" s="14">
        <f>N142*VLOOKUP('Données projet'!$B$9,Paramètres!$A$1:$I$88,3,0)*VLOOKUP('Données projet'!$B$9,Paramètres!$A$1:$I$88,5,0)</f>
        <v>1.9065282685915009E-13</v>
      </c>
      <c r="P142" s="14">
        <f t="shared" si="141"/>
        <v>2.6568987209435707E-12</v>
      </c>
      <c r="Q142" s="22">
        <f t="shared" si="108"/>
        <v>4.959485612423072E-12</v>
      </c>
      <c r="R142" s="62">
        <f t="shared" si="109"/>
        <v>290.515870756342</v>
      </c>
      <c r="S142" s="62">
        <f ca="1">AVERAGE(OFFSET($R$3,0,0,'Données projet'!$E$9+1,1))-AVERAGE(OFFSET($H$3,0,0,'Données projet'!$E$9+1,1))</f>
        <v>341.05096821796769</v>
      </c>
      <c r="T142" s="62">
        <f t="shared" si="142"/>
        <v>400.72519822215168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projet'!$B$9,Paramètres!$A$1:$I$88,7,0))</f>
        <v>0</v>
      </c>
      <c r="X142" s="17">
        <f>IF(ISNA(VLOOKUP(A142,'Données projet'!$A$35:$I$55,6,0)),0%,VLOOKUP(A142,'Données projet'!$A$35:$I$55,6,0)*VLOOKUP('Données projet'!$B$9,Paramètres!$A$1:$I$88,7,0))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projet'!$B$9,Paramètres!$A$1:$I$88,3,0)*0.475*44/12</f>
        <v>50.126250818075057</v>
      </c>
      <c r="AA142" s="23">
        <f>EXP(-LN(2)/25)*AA141+(1-EXP(-LN(2)/25))/(LN(2)/25)*Calculateur!V142*Calculateur!X142*VLOOKUP('Données projet'!$B$9,Paramètres!$A$1:$I$88,3,0)*0.475*44/12</f>
        <v>14.82657899082977</v>
      </c>
      <c r="AB142" s="23">
        <f>EXP(-LN(2)/2)*AB141+(1-EXP(-LN(2)/2))/(LN(2)/2)*V142*Y142*VLOOKUP('Données projet'!$B$9,Paramètres!$A$1:$I$88,3,0)*0.475*44/12</f>
        <v>0</v>
      </c>
      <c r="AC142" s="24">
        <f t="shared" si="111"/>
        <v>64.952829808904823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69.23160111536464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5.6843418860808015E-14</v>
      </c>
      <c r="AJ142" s="14">
        <f>AI142*VLOOKUP('Données projet'!$B$10,Paramètres!$A$1:$I$88,3,0)*VLOOKUP('Données projet'!$B$10,Paramètres!$A$1:$I$88,5,0)</f>
        <v>3.3992364478763198E-14</v>
      </c>
      <c r="AK142" s="14">
        <f t="shared" si="143"/>
        <v>5.790027782444094E-13</v>
      </c>
      <c r="AL142" s="22">
        <f t="shared" si="112"/>
        <v>1.0676332069095257E-12</v>
      </c>
      <c r="AM142" s="62">
        <f t="shared" si="113"/>
        <v>290.51587075633813</v>
      </c>
      <c r="AN142" s="62">
        <f ca="1">AVERAGE(OFFSET($AM$3,0,0,'Données projet'!$E$10+1,1))-AVERAGE(OFFSET($H$3,0,0,'Données projet'!$E$10+1,1))</f>
        <v>231.96474801342879</v>
      </c>
      <c r="AO142" s="62">
        <f t="shared" si="144"/>
        <v>237.75726086383668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projet'!$B$10,Paramètres!$A$1:$I$88,7,0))</f>
        <v>0</v>
      </c>
      <c r="AS142" s="17">
        <f>IF(ISNA(VLOOKUP(A142,'Données projet'!$A$61:$I$81,6,0)),0%,VLOOKUP(A142,'Données projet'!$A$61:$I$81,6,0)*VLOOKUP('Données projet'!$B$10,Paramètres!$A$1:$I$88,7,0))</f>
        <v>0</v>
      </c>
      <c r="AT142" s="17">
        <f>IF(ISNA(VLOOKUP(A142,'Données projet'!$A$61:$I$81,7,0)),0%,VLOOKUP(A142,'Données projet'!$A$61:$I$81,7,0))</f>
        <v>0</v>
      </c>
      <c r="AU142" s="23">
        <f>EXP(-LN(2)/35)*AU141+(1-EXP(-LN(2)/35))/(LN(2)/35)*AQ142*AR142*VLOOKUP('Données projet'!$B$10,Paramètres!$A$1:$I$88,3,0)*0.475*44/12</f>
        <v>19.767263511903192</v>
      </c>
      <c r="AV142" s="23">
        <f>EXP(-LN(2)/25)*AV141+(1-EXP(-LN(2)/25))/(LN(2)/25)*Calculateur!AQ142*Calculateur!AS142*VLOOKUP('Données projet'!$B$10,Paramètres!$A$1:$I$88,3,0)*0.475*44/12</f>
        <v>6.2608894391843481</v>
      </c>
      <c r="AW142" s="23">
        <f>EXP(-LN(2)/2)*AW141+(1-EXP(-LN(2)/2))/(LN(2)/2)*AQ142*AT142*VLOOKUP('Données projet'!$B$10,Paramètres!$A$1:$I$88,3,0)*0.475*44/12</f>
        <v>0</v>
      </c>
      <c r="AX142" s="23">
        <f t="shared" si="114"/>
        <v>26.028152951087542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69.23160111536464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6.8212102632969618E-13</v>
      </c>
      <c r="BE142" s="14">
        <f>BD142*VLOOKUP('Données projet'!$B$11,Paramètres!$A$1:$I$88,3,0)*VLOOKUP('Données projet'!$B$11,Paramètres!$A$1:$I$88,5,0)</f>
        <v>3.1923264032229784E-13</v>
      </c>
      <c r="BF142" s="14">
        <f t="shared" si="145"/>
        <v>4.1896839804541558E-12</v>
      </c>
      <c r="BG142" s="22">
        <f t="shared" si="115"/>
        <v>7.8530297811856558E-12</v>
      </c>
      <c r="BH142" s="62">
        <f t="shared" si="116"/>
        <v>290.5158707563449</v>
      </c>
      <c r="BI142" s="62">
        <f ca="1">AVERAGE(OFFSET($BH$3,0,0,'Données projet'!$E$11+1,1))-AVERAGE(OFFSET($H$3,0,0,'Données projet'!$E$11+1,1))</f>
        <v>364.96458059055169</v>
      </c>
      <c r="BJ142" s="62">
        <f t="shared" si="146"/>
        <v>246.27159120786257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projet'!$B$11,Paramètres!$A$1:$I$88,7,0))</f>
        <v>0</v>
      </c>
      <c r="BN142" s="17">
        <f>IF(ISNA(VLOOKUP(A142,'Données projet'!$A$87:$I$107,6,0)),0%,VLOOKUP(A142,'Données projet'!$A$87:$I$107,6,0)*VLOOKUP('Données projet'!$B$11,Paramètres!$A$1:$I$88,7,0))</f>
        <v>0</v>
      </c>
      <c r="BO142" s="17">
        <f>IF(ISNA(VLOOKUP(A142,'Données projet'!$A$87:$I$107,7,0)),0%,VLOOKUP(A142,'Données projet'!$A$87:$I$107,7,0))</f>
        <v>0</v>
      </c>
      <c r="BP142" s="23">
        <f>EXP(-LN(2)/35)*BP141+(1-EXP(-LN(2)/35))/(LN(2)/35)*BL142*BM142*VLOOKUP('Données projet'!$B$11,Paramètres!$A$1:$I$88,3,0)*0.475*44/12</f>
        <v>109.96628074580171</v>
      </c>
      <c r="BQ142" s="23">
        <f>EXP(-LN(2)/25)*BQ141+(1-EXP(-LN(2)/25))/(LN(2)/25)*Calculateur!BL142*Calculateur!BN142*VLOOKUP('Données projet'!$B$11,Paramètres!$A$1:$I$88,3,0)*0.475*44/12</f>
        <v>34.186640911509791</v>
      </c>
      <c r="BR142" s="23">
        <f>EXP(-LN(2)/2)*BR141+(1-EXP(-LN(2)/2))/(LN(2)/2)*BL142*BO142*VLOOKUP('Données projet'!$B$11,Paramètres!$A$1:$I$88,3,0)*0.475*44/12</f>
        <v>0</v>
      </c>
      <c r="BS142" s="24">
        <f t="shared" si="117"/>
        <v>144.15292165731151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69.23160111536464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-1.1368683772161603E-13</v>
      </c>
      <c r="BZ142" s="14">
        <f>BY142*VLOOKUP('Données projet'!$B$12,Paramètres!$A$1:$I$88,3,0)*VLOOKUP('Données projet'!$B$12,Paramètres!$A$1:$I$88,5,0)</f>
        <v>-1.1527845344971866E-13</v>
      </c>
      <c r="CA142" s="14" t="e">
        <f t="shared" si="147"/>
        <v>#NUM!</v>
      </c>
      <c r="CB142" s="22" t="e">
        <f t="shared" si="118"/>
        <v>#NUM!</v>
      </c>
      <c r="CC142" s="62" t="e">
        <f t="shared" si="119"/>
        <v>#NUM!</v>
      </c>
      <c r="CD142" s="62">
        <f ca="1">AVERAGE(OFFSET($CC$3,0,0,'Données projet'!$E$12+1,1))-AVERAGE(OFFSET($H$3,0,0,'Données projet'!$E$12+1,1))</f>
        <v>310.53598044763282</v>
      </c>
      <c r="CE142" s="62">
        <f t="shared" si="148"/>
        <v>322.01096634040596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projet'!$B$12,Paramètres!$A$1:$I$88,7,0))</f>
        <v>0</v>
      </c>
      <c r="CI142" s="17">
        <f>IF(ISNA(VLOOKUP(A142,'Données projet'!$A$113:$I$133,6,0)),0%,VLOOKUP(A142,'Données projet'!$A$113:$I$133,6,0)*VLOOKUP('Données projet'!$B$12,Paramètres!$A$1:$I$88,7,0))</f>
        <v>0</v>
      </c>
      <c r="CJ142" s="17">
        <f>IF(ISNA(VLOOKUP(A142,'Données projet'!$A$113:$I$133,7,0)),0%,VLOOKUP(A142,'Données projet'!$A$113:$I$133,7,0))</f>
        <v>0</v>
      </c>
      <c r="CK142" s="23">
        <f>EXP(-LN(2)/35)*CK141+(1-EXP(-LN(2)/35))/(LN(2)/35)*CG142*CH142*VLOOKUP('Données projet'!$B$12,Paramètres!$A$1:$I$88,3,0)*0.475*44/12</f>
        <v>15.124362538862577</v>
      </c>
      <c r="CL142" s="23">
        <f>EXP(-LN(2)/25)*CL141+(1-EXP(-LN(2)/25))/(LN(2)/25)*Calculateur!CG142*Calculateur!CI142*VLOOKUP('Données projet'!$B$12,Paramètres!$A$1:$I$88,3,0)*0.475*44/12</f>
        <v>0</v>
      </c>
      <c r="CM142" s="23">
        <f>EXP(-LN(2)/2)*CM141+(1-EXP(-LN(2)/2))/(LN(2)/2)*CG142*CJ142*VLOOKUP('Données projet'!$B$12,Paramètres!$A$1:$I$88,3,0)*0.475*44/12</f>
        <v>0</v>
      </c>
      <c r="CN142" s="24">
        <f t="shared" si="120"/>
        <v>15.124362538862577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69.23160111536464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projet'!$B$13,Paramètres!$A$1:$I$88,3,0)*VLOOKUP('Données projet'!$B$13,Paramètres!$A$1:$I$88,5,0)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projet'!$B$13,Paramètres!$A$1:$I$88,7,0))</f>
        <v>0</v>
      </c>
      <c r="DD142" s="17">
        <f>IF(ISNA(VLOOKUP(A142,'Données projet'!$A$139:$I$159,6,0)),0%,VLOOKUP(A142,'Données projet'!$A$139:$I$159,6,0)*VLOOKUP('Données projet'!$B$13,Paramètres!$A$1:$I$88,7,0))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projet'!$B$13,Paramètres!$A$1:$I$88,3,0)*0.475*44/12</f>
        <v>#N/A</v>
      </c>
      <c r="DG142" s="23" t="e">
        <f>EXP(-LN(2)/25)*DG141+(1-EXP(-LN(2)/25))/(LN(2)/25)*Calculateur!DB142*Calculateur!DD142*VLOOKUP('Données projet'!$B$13,Paramètres!$A$1:$I$88,3,0)*0.475*44/12</f>
        <v>#N/A</v>
      </c>
      <c r="DH142" s="23" t="e">
        <f>EXP(-LN(2)/2)*DH141+(1-EXP(-LN(2)/2))/(LN(2)/2)*DB142*DE142*VLOOKUP('Données projet'!$B$13,Paramètres!$A$1:$I$88,3,0)*0.475*44/12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69.23160111536464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projet'!$B$14,Paramètres!$A$1:$I$88,3,0)*VLOOKUP('Données projet'!$B$14,Paramètres!$A$1:$I$88,5,0)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projet'!$B$14,Paramètres!$A$1:$I$88,7,0))</f>
        <v>0</v>
      </c>
      <c r="DY142" s="17">
        <f>IF(ISNA(VLOOKUP(A142,'Données projet'!$A$165:$I$185,6,0)),0%,VLOOKUP(A142,'Données projet'!$A$165:$I$185,6,0)*VLOOKUP('Données projet'!$B$14,Paramètres!$A$1:$I$88,7,0))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projet'!$B$14,Paramètres!$A$1:$I$88,3,0)*0.475*44/12</f>
        <v>#N/A</v>
      </c>
      <c r="EB142" s="23" t="e">
        <f>EXP(-LN(2)/25)*EB141+(1-EXP(-LN(2)/25))/(LN(2)/25)*Calculateur!DW142*Calculateur!DY142*VLOOKUP('Données projet'!$B$14,Paramètres!$A$1:$I$88,3,0)*0.475*44/12</f>
        <v>#N/A</v>
      </c>
      <c r="EC142" s="23" t="e">
        <f>EXP(-LN(2)/2)*EC141+(1-EXP(-LN(2)/2))/(LN(2)/2)*DW142*DZ142*VLOOKUP('Données projet'!$B$14,Paramètres!$A$1:$I$88,3,0)*0.475*44/12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69.23160111536464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projet'!$B$15,Paramètres!$A$1:$I$88,3,0)*VLOOKUP('Données projet'!$B$15,Paramètres!$A$1:$I$88,5,0)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projet'!$B$15,Paramètres!$A$1:$I$88,7,0))</f>
        <v>0</v>
      </c>
      <c r="ET142" s="17">
        <f>IF(ISNA(VLOOKUP(A142,'Données projet'!$A$191:$I$211,6,0)),0%,VLOOKUP(A142,'Données projet'!$A$191:$I$211,6,0)*VLOOKUP('Données projet'!$B$15,Paramètres!$A$1:$I$88,7,0))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projet'!$B$15,Paramètres!$A$1:$I$88,3,0)*0.475*44/12</f>
        <v>#N/A</v>
      </c>
      <c r="EW142" s="23" t="e">
        <f>EXP(-LN(2)/25)*EW141+(1-EXP(-LN(2)/25))/(LN(2)/25)*Calculateur!ER142*Calculateur!ET142*VLOOKUP('Données projet'!$B$15,Paramètres!$A$1:$I$88,3,0)*0.475*44/12</f>
        <v>#N/A</v>
      </c>
      <c r="EX142" s="23" t="e">
        <f>EXP(-LN(2)/2)*EX141+(1-EXP(-LN(2)/2))/(LN(2)/2)*ER142*EU142*VLOOKUP('Données projet'!$B$15,Paramètres!$A$1:$I$88,3,0)*0.475*44/12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69.23160111536464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projet'!$B$16,Paramètres!$A$1:$I$88,3,0)*VLOOKUP('Données projet'!$B$16,Paramètres!$A$1:$I$88,5,0)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projet'!$B$16,Paramètres!$A$1:$I$88,7,0))</f>
        <v>0</v>
      </c>
      <c r="FO142" s="17">
        <f>IF(ISNA(VLOOKUP(A142,'Données projet'!$A$217:$I$237,6,0)),0%,VLOOKUP(A142,'Données projet'!$A$217:$I$237,6,0)*VLOOKUP('Données projet'!$B$16,Paramètres!$A$1:$I$88,7,0))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projet'!$B$16,Paramètres!$A$1:$I$88,3,0)*0.475*44/12</f>
        <v>#N/A</v>
      </c>
      <c r="FR142" s="23" t="e">
        <f>EXP(-LN(2)/25)*FR141+(1-EXP(-LN(2)/25))/(LN(2)/25)*Calculateur!FM142*Calculateur!FO142*VLOOKUP('Données projet'!$B$16,Paramètres!$A$1:$I$88,3,0)*0.475*44/12</f>
        <v>#N/A</v>
      </c>
      <c r="FS142" s="23" t="e">
        <f>EXP(-LN(2)/2)*FS141+(1-EXP(-LN(2)/2))/(LN(2)/2)*FM142*FP142*VLOOKUP('Données projet'!$B$16,Paramètres!$A$1:$I$88,3,0)*0.475*44/12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69.23160111536464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projet'!$B$17,Paramètres!$A$1:$I$88,3,0)*VLOOKUP('Données projet'!$B$17,Paramètres!$A$1:$I$88,5,0)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projet'!$B$17,Paramètres!$A$1:$I$88,7,0))</f>
        <v>0</v>
      </c>
      <c r="GJ142" s="17">
        <f>IF(ISNA(VLOOKUP(A142,'Données projet'!$A$243:$I$263,6,0)),0%,VLOOKUP(A142,'Données projet'!$A$243:$I$263,6,0)*VLOOKUP('Données projet'!$B$17,Paramètres!$A$1:$I$88,7,0))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projet'!$B$17,Paramètres!$A$1:$I$88,3,0)*0.475*44/12</f>
        <v>#N/A</v>
      </c>
      <c r="GM142" s="23" t="e">
        <f>EXP(-LN(2)/25)*GM141+(1-EXP(-LN(2)/25))/(LN(2)/25)*Calculateur!GH142*Calculateur!GJ142*VLOOKUP('Données projet'!$B$17,Paramètres!$A$1:$I$88,3,0)*0.475*44/12</f>
        <v>#N/A</v>
      </c>
      <c r="GN142" s="23" t="e">
        <f>EXP(-LN(2)/2)*GN141+(1-EXP(-LN(2)/2))/(LN(2)/2)*GH142*GK142*VLOOKUP('Données projet'!$B$17,Paramètres!$A$1:$I$88,3,0)*0.475*44/12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69.23160111536464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projet'!$B$18,Paramètres!$A$1:$I$88,3,0)*VLOOKUP('Données projet'!$B$18,Paramètres!$A$1:$I$88,5,0)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projet'!$B$18,Paramètres!$A$1:$I$88,7,0))</f>
        <v>0</v>
      </c>
      <c r="HE142" s="17">
        <f>IF(ISNA(VLOOKUP(A142,'Données projet'!$A$269:$I$289,6,0)),0%,VLOOKUP(A142,'Données projet'!$A$269:$I$289,6,0)*VLOOKUP('Données projet'!$B$18,Paramètres!$A$1:$I$88,7,0))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projet'!$B$18,Paramètres!$A$1:$I$88,3,0)*0.475*44/12</f>
        <v>#N/A</v>
      </c>
      <c r="HH142" s="23" t="e">
        <f>EXP(-LN(2)/25)*HH141+(1-EXP(-LN(2)/25))/(LN(2)/25)*Calculateur!HC142*Calculateur!HE142*VLOOKUP('Données projet'!$B$18,Paramètres!$A$1:$I$88,3,0)*0.475*44/12</f>
        <v>#N/A</v>
      </c>
      <c r="HI142" s="23" t="e">
        <f>EXP(-LN(2)/2)*HI141+(1-EXP(-LN(2)/2))/(LN(2)/2)*HC142*HF142*VLOOKUP('Données projet'!$B$18,Paramètres!$A$1:$I$88,3,0)*0.475*44/12</f>
        <v>#N/A</v>
      </c>
      <c r="HJ142" s="24" t="e">
        <f t="shared" si="138"/>
        <v>#N/A</v>
      </c>
    </row>
    <row r="143" spans="1:218" s="5" customFormat="1" x14ac:dyDescent="0.35">
      <c r="A143" s="11">
        <f t="shared" si="139"/>
        <v>140</v>
      </c>
      <c r="B143" s="77">
        <f>'Scénario référence'!$B$16*5+'Scénario référence'!$B$17*0+'Scénario référence'!$B$18*5</f>
        <v>1.75</v>
      </c>
      <c r="C143" s="20">
        <f>Calculateur!C142+'Scénario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43" s="12">
        <f t="shared" si="140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6.416666666666667</v>
      </c>
      <c r="H143" s="70">
        <f t="shared" si="110"/>
        <v>231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69.244931118130509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3.4106051316484809E-13</v>
      </c>
      <c r="O143" s="14">
        <f>N143*VLOOKUP('Données projet'!$B$9,Paramètres!$A$1:$I$88,3,0)*VLOOKUP('Données projet'!$B$9,Paramètres!$A$1:$I$88,5,0)</f>
        <v>1.9065282685915009E-13</v>
      </c>
      <c r="P143" s="14">
        <f t="shared" si="141"/>
        <v>2.6568987209435707E-12</v>
      </c>
      <c r="Q143" s="22">
        <f t="shared" si="108"/>
        <v>4.959485612423072E-12</v>
      </c>
      <c r="R143" s="62">
        <f t="shared" si="109"/>
        <v>290.56474743315016</v>
      </c>
      <c r="S143" s="62">
        <f ca="1">AVERAGE(OFFSET($R$3,0,0,'Données projet'!$E$9+1,1))-AVERAGE(OFFSET($H$3,0,0,'Données projet'!$E$9+1,1))</f>
        <v>341.05096821796769</v>
      </c>
      <c r="T143" s="62">
        <f t="shared" si="142"/>
        <v>400.72519822215168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projet'!$B$9,Paramètres!$A$1:$I$88,7,0))</f>
        <v>0</v>
      </c>
      <c r="X143" s="17">
        <f>IF(ISNA(VLOOKUP(A143,'Données projet'!$A$35:$I$55,6,0)),0%,VLOOKUP(A143,'Données projet'!$A$35:$I$55,6,0)*VLOOKUP('Données projet'!$B$9,Paramètres!$A$1:$I$88,7,0))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projet'!$B$9,Paramètres!$A$1:$I$88,3,0)*0.475*44/12</f>
        <v>49.143305613526671</v>
      </c>
      <c r="AA143" s="23">
        <f>EXP(-LN(2)/25)*AA142+(1-EXP(-LN(2)/25))/(LN(2)/25)*Calculateur!V143*Calculateur!X143*VLOOKUP('Données projet'!$B$9,Paramètres!$A$1:$I$88,3,0)*0.475*44/12</f>
        <v>14.421145408629627</v>
      </c>
      <c r="AB143" s="23">
        <f>EXP(-LN(2)/2)*AB142+(1-EXP(-LN(2)/2))/(LN(2)/2)*V143*Y143*VLOOKUP('Données projet'!$B$9,Paramètres!$A$1:$I$88,3,0)*0.475*44/12</f>
        <v>0</v>
      </c>
      <c r="AC143" s="24">
        <f t="shared" si="111"/>
        <v>63.564451022156298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69.244931118130509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5.6843418860808015E-14</v>
      </c>
      <c r="AJ143" s="14">
        <f>AI143*VLOOKUP('Données projet'!$B$10,Paramètres!$A$1:$I$88,3,0)*VLOOKUP('Données projet'!$B$10,Paramètres!$A$1:$I$88,5,0)</f>
        <v>3.3992364478763198E-14</v>
      </c>
      <c r="AK143" s="14">
        <f t="shared" si="143"/>
        <v>5.790027782444094E-13</v>
      </c>
      <c r="AL143" s="22">
        <f t="shared" si="112"/>
        <v>1.0676332069095257E-12</v>
      </c>
      <c r="AM143" s="62">
        <f t="shared" si="113"/>
        <v>290.56474743314629</v>
      </c>
      <c r="AN143" s="62">
        <f ca="1">AVERAGE(OFFSET($AM$3,0,0,'Données projet'!$E$10+1,1))-AVERAGE(OFFSET($H$3,0,0,'Données projet'!$E$10+1,1))</f>
        <v>231.96474801342879</v>
      </c>
      <c r="AO143" s="62">
        <f t="shared" si="144"/>
        <v>237.75726086383668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projet'!$B$10,Paramètres!$A$1:$I$88,7,0))</f>
        <v>0</v>
      </c>
      <c r="AS143" s="17">
        <f>IF(ISNA(VLOOKUP(A143,'Données projet'!$A$61:$I$81,6,0)),0%,VLOOKUP(A143,'Données projet'!$A$61:$I$81,6,0)*VLOOKUP('Données projet'!$B$10,Paramètres!$A$1:$I$88,7,0))</f>
        <v>0</v>
      </c>
      <c r="AT143" s="17">
        <f>IF(ISNA(VLOOKUP(A143,'Données projet'!$A$61:$I$81,7,0)),0%,VLOOKUP(A143,'Données projet'!$A$61:$I$81,7,0))</f>
        <v>0</v>
      </c>
      <c r="AU143" s="23">
        <f>EXP(-LN(2)/35)*AU142+(1-EXP(-LN(2)/35))/(LN(2)/35)*AQ143*AR143*VLOOKUP('Données projet'!$B$10,Paramètres!$A$1:$I$88,3,0)*0.475*44/12</f>
        <v>19.379639531274997</v>
      </c>
      <c r="AV143" s="23">
        <f>EXP(-LN(2)/25)*AV142+(1-EXP(-LN(2)/25))/(LN(2)/25)*Calculateur!AQ143*Calculateur!AS143*VLOOKUP('Données projet'!$B$10,Paramètres!$A$1:$I$88,3,0)*0.475*44/12</f>
        <v>6.0896850882239857</v>
      </c>
      <c r="AW143" s="23">
        <f>EXP(-LN(2)/2)*AW142+(1-EXP(-LN(2)/2))/(LN(2)/2)*AQ143*AT143*VLOOKUP('Données projet'!$B$10,Paramètres!$A$1:$I$88,3,0)*0.475*44/12</f>
        <v>0</v>
      </c>
      <c r="AX143" s="23">
        <f t="shared" si="114"/>
        <v>25.469324619498984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69.244931118130509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6.8212102632969618E-13</v>
      </c>
      <c r="BE143" s="14">
        <f>BD143*VLOOKUP('Données projet'!$B$11,Paramètres!$A$1:$I$88,3,0)*VLOOKUP('Données projet'!$B$11,Paramètres!$A$1:$I$88,5,0)</f>
        <v>3.1923264032229784E-13</v>
      </c>
      <c r="BF143" s="14">
        <f t="shared" si="145"/>
        <v>4.1896839804541558E-12</v>
      </c>
      <c r="BG143" s="22">
        <f t="shared" si="115"/>
        <v>7.8530297811856558E-12</v>
      </c>
      <c r="BH143" s="62">
        <f t="shared" si="116"/>
        <v>290.56474743315306</v>
      </c>
      <c r="BI143" s="62">
        <f ca="1">AVERAGE(OFFSET($BH$3,0,0,'Données projet'!$E$11+1,1))-AVERAGE(OFFSET($H$3,0,0,'Données projet'!$E$11+1,1))</f>
        <v>364.96458059055169</v>
      </c>
      <c r="BJ143" s="62">
        <f t="shared" si="146"/>
        <v>246.27159120786257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projet'!$B$11,Paramètres!$A$1:$I$88,7,0))</f>
        <v>0</v>
      </c>
      <c r="BN143" s="17">
        <f>IF(ISNA(VLOOKUP(A143,'Données projet'!$A$87:$I$107,6,0)),0%,VLOOKUP(A143,'Données projet'!$A$87:$I$107,6,0)*VLOOKUP('Données projet'!$B$11,Paramètres!$A$1:$I$88,7,0))</f>
        <v>0</v>
      </c>
      <c r="BO143" s="17">
        <f>IF(ISNA(VLOOKUP(A143,'Données projet'!$A$87:$I$107,7,0)),0%,VLOOKUP(A143,'Données projet'!$A$87:$I$107,7,0))</f>
        <v>0</v>
      </c>
      <c r="BP143" s="23">
        <f>EXP(-LN(2)/35)*BP142+(1-EXP(-LN(2)/35))/(LN(2)/35)*BL143*BM143*VLOOKUP('Données projet'!$B$11,Paramètres!$A$1:$I$88,3,0)*0.475*44/12</f>
        <v>107.80990905318491</v>
      </c>
      <c r="BQ143" s="23">
        <f>EXP(-LN(2)/25)*BQ142+(1-EXP(-LN(2)/25))/(LN(2)/25)*Calculateur!BL143*Calculateur!BN143*VLOOKUP('Données projet'!$B$11,Paramètres!$A$1:$I$88,3,0)*0.475*44/12</f>
        <v>33.251805417987242</v>
      </c>
      <c r="BR143" s="23">
        <f>EXP(-LN(2)/2)*BR142+(1-EXP(-LN(2)/2))/(LN(2)/2)*BL143*BO143*VLOOKUP('Données projet'!$B$11,Paramètres!$A$1:$I$88,3,0)*0.475*44/12</f>
        <v>0</v>
      </c>
      <c r="BS143" s="24">
        <f t="shared" si="117"/>
        <v>141.06171447117214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69.244931118130509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-1.1368683772161603E-13</v>
      </c>
      <c r="BZ143" s="14">
        <f>BY143*VLOOKUP('Données projet'!$B$12,Paramètres!$A$1:$I$88,3,0)*VLOOKUP('Données projet'!$B$12,Paramètres!$A$1:$I$88,5,0)</f>
        <v>-1.1527845344971866E-13</v>
      </c>
      <c r="CA143" s="14" t="e">
        <f t="shared" si="147"/>
        <v>#NUM!</v>
      </c>
      <c r="CB143" s="22" t="e">
        <f t="shared" si="118"/>
        <v>#NUM!</v>
      </c>
      <c r="CC143" s="62" t="e">
        <f t="shared" si="119"/>
        <v>#NUM!</v>
      </c>
      <c r="CD143" s="62">
        <f ca="1">AVERAGE(OFFSET($CC$3,0,0,'Données projet'!$E$12+1,1))-AVERAGE(OFFSET($H$3,0,0,'Données projet'!$E$12+1,1))</f>
        <v>310.53598044763282</v>
      </c>
      <c r="CE143" s="62">
        <f t="shared" si="148"/>
        <v>322.01096634040596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projet'!$B$12,Paramètres!$A$1:$I$88,7,0))</f>
        <v>0</v>
      </c>
      <c r="CI143" s="17">
        <f>IF(ISNA(VLOOKUP(A143,'Données projet'!$A$113:$I$133,6,0)),0%,VLOOKUP(A143,'Données projet'!$A$113:$I$133,6,0)*VLOOKUP('Données projet'!$B$12,Paramètres!$A$1:$I$88,7,0))</f>
        <v>0</v>
      </c>
      <c r="CJ143" s="17">
        <f>IF(ISNA(VLOOKUP(A143,'Données projet'!$A$113:$I$133,7,0)),0%,VLOOKUP(A143,'Données projet'!$A$113:$I$133,7,0))</f>
        <v>0</v>
      </c>
      <c r="CK143" s="23">
        <f>EXP(-LN(2)/35)*CK142+(1-EXP(-LN(2)/35))/(LN(2)/35)*CG143*CH143*VLOOKUP('Données projet'!$B$12,Paramètres!$A$1:$I$88,3,0)*0.475*44/12</f>
        <v>14.827783014425743</v>
      </c>
      <c r="CL143" s="23">
        <f>EXP(-LN(2)/25)*CL142+(1-EXP(-LN(2)/25))/(LN(2)/25)*Calculateur!CG143*Calculateur!CI143*VLOOKUP('Données projet'!$B$12,Paramètres!$A$1:$I$88,3,0)*0.475*44/12</f>
        <v>0</v>
      </c>
      <c r="CM143" s="23">
        <f>EXP(-LN(2)/2)*CM142+(1-EXP(-LN(2)/2))/(LN(2)/2)*CG143*CJ143*VLOOKUP('Données projet'!$B$12,Paramètres!$A$1:$I$88,3,0)*0.475*44/12</f>
        <v>0</v>
      </c>
      <c r="CN143" s="24">
        <f t="shared" si="120"/>
        <v>14.827783014425743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69.244931118130509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projet'!$B$13,Paramètres!$A$1:$I$88,3,0)*VLOOKUP('Données projet'!$B$13,Paramètres!$A$1:$I$88,5,0)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projet'!$B$13,Paramètres!$A$1:$I$88,7,0))</f>
        <v>0</v>
      </c>
      <c r="DD143" s="17">
        <f>IF(ISNA(VLOOKUP(A143,'Données projet'!$A$139:$I$159,6,0)),0%,VLOOKUP(A143,'Données projet'!$A$139:$I$159,6,0)*VLOOKUP('Données projet'!$B$13,Paramètres!$A$1:$I$88,7,0))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projet'!$B$13,Paramètres!$A$1:$I$88,3,0)*0.475*44/12</f>
        <v>#N/A</v>
      </c>
      <c r="DG143" s="23" t="e">
        <f>EXP(-LN(2)/25)*DG142+(1-EXP(-LN(2)/25))/(LN(2)/25)*Calculateur!DB143*Calculateur!DD143*VLOOKUP('Données projet'!$B$13,Paramètres!$A$1:$I$88,3,0)*0.475*44/12</f>
        <v>#N/A</v>
      </c>
      <c r="DH143" s="23" t="e">
        <f>EXP(-LN(2)/2)*DH142+(1-EXP(-LN(2)/2))/(LN(2)/2)*DB143*DE143*VLOOKUP('Données projet'!$B$13,Paramètres!$A$1:$I$88,3,0)*0.475*44/12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69.244931118130509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projet'!$B$14,Paramètres!$A$1:$I$88,3,0)*VLOOKUP('Données projet'!$B$14,Paramètres!$A$1:$I$88,5,0)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projet'!$B$14,Paramètres!$A$1:$I$88,7,0))</f>
        <v>0</v>
      </c>
      <c r="DY143" s="17">
        <f>IF(ISNA(VLOOKUP(A143,'Données projet'!$A$165:$I$185,6,0)),0%,VLOOKUP(A143,'Données projet'!$A$165:$I$185,6,0)*VLOOKUP('Données projet'!$B$14,Paramètres!$A$1:$I$88,7,0))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projet'!$B$14,Paramètres!$A$1:$I$88,3,0)*0.475*44/12</f>
        <v>#N/A</v>
      </c>
      <c r="EB143" s="23" t="e">
        <f>EXP(-LN(2)/25)*EB142+(1-EXP(-LN(2)/25))/(LN(2)/25)*Calculateur!DW143*Calculateur!DY143*VLOOKUP('Données projet'!$B$14,Paramètres!$A$1:$I$88,3,0)*0.475*44/12</f>
        <v>#N/A</v>
      </c>
      <c r="EC143" s="23" t="e">
        <f>EXP(-LN(2)/2)*EC142+(1-EXP(-LN(2)/2))/(LN(2)/2)*DW143*DZ143*VLOOKUP('Données projet'!$B$14,Paramètres!$A$1:$I$88,3,0)*0.475*44/12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69.244931118130509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projet'!$B$15,Paramètres!$A$1:$I$88,3,0)*VLOOKUP('Données projet'!$B$15,Paramètres!$A$1:$I$88,5,0)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projet'!$B$15,Paramètres!$A$1:$I$88,7,0))</f>
        <v>0</v>
      </c>
      <c r="ET143" s="17">
        <f>IF(ISNA(VLOOKUP(A143,'Données projet'!$A$191:$I$211,6,0)),0%,VLOOKUP(A143,'Données projet'!$A$191:$I$211,6,0)*VLOOKUP('Données projet'!$B$15,Paramètres!$A$1:$I$88,7,0))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projet'!$B$15,Paramètres!$A$1:$I$88,3,0)*0.475*44/12</f>
        <v>#N/A</v>
      </c>
      <c r="EW143" s="23" t="e">
        <f>EXP(-LN(2)/25)*EW142+(1-EXP(-LN(2)/25))/(LN(2)/25)*Calculateur!ER143*Calculateur!ET143*VLOOKUP('Données projet'!$B$15,Paramètres!$A$1:$I$88,3,0)*0.475*44/12</f>
        <v>#N/A</v>
      </c>
      <c r="EX143" s="23" t="e">
        <f>EXP(-LN(2)/2)*EX142+(1-EXP(-LN(2)/2))/(LN(2)/2)*ER143*EU143*VLOOKUP('Données projet'!$B$15,Paramètres!$A$1:$I$88,3,0)*0.475*44/12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69.244931118130509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projet'!$B$16,Paramètres!$A$1:$I$88,3,0)*VLOOKUP('Données projet'!$B$16,Paramètres!$A$1:$I$88,5,0)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projet'!$B$16,Paramètres!$A$1:$I$88,7,0))</f>
        <v>0</v>
      </c>
      <c r="FO143" s="17">
        <f>IF(ISNA(VLOOKUP(A143,'Données projet'!$A$217:$I$237,6,0)),0%,VLOOKUP(A143,'Données projet'!$A$217:$I$237,6,0)*VLOOKUP('Données projet'!$B$16,Paramètres!$A$1:$I$88,7,0))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projet'!$B$16,Paramètres!$A$1:$I$88,3,0)*0.475*44/12</f>
        <v>#N/A</v>
      </c>
      <c r="FR143" s="23" t="e">
        <f>EXP(-LN(2)/25)*FR142+(1-EXP(-LN(2)/25))/(LN(2)/25)*Calculateur!FM143*Calculateur!FO143*VLOOKUP('Données projet'!$B$16,Paramètres!$A$1:$I$88,3,0)*0.475*44/12</f>
        <v>#N/A</v>
      </c>
      <c r="FS143" s="23" t="e">
        <f>EXP(-LN(2)/2)*FS142+(1-EXP(-LN(2)/2))/(LN(2)/2)*FM143*FP143*VLOOKUP('Données projet'!$B$16,Paramètres!$A$1:$I$88,3,0)*0.475*44/12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69.244931118130509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projet'!$B$17,Paramètres!$A$1:$I$88,3,0)*VLOOKUP('Données projet'!$B$17,Paramètres!$A$1:$I$88,5,0)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projet'!$B$17,Paramètres!$A$1:$I$88,7,0))</f>
        <v>0</v>
      </c>
      <c r="GJ143" s="17">
        <f>IF(ISNA(VLOOKUP(A143,'Données projet'!$A$243:$I$263,6,0)),0%,VLOOKUP(A143,'Données projet'!$A$243:$I$263,6,0)*VLOOKUP('Données projet'!$B$17,Paramètres!$A$1:$I$88,7,0))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projet'!$B$17,Paramètres!$A$1:$I$88,3,0)*0.475*44/12</f>
        <v>#N/A</v>
      </c>
      <c r="GM143" s="23" t="e">
        <f>EXP(-LN(2)/25)*GM142+(1-EXP(-LN(2)/25))/(LN(2)/25)*Calculateur!GH143*Calculateur!GJ143*VLOOKUP('Données projet'!$B$17,Paramètres!$A$1:$I$88,3,0)*0.475*44/12</f>
        <v>#N/A</v>
      </c>
      <c r="GN143" s="23" t="e">
        <f>EXP(-LN(2)/2)*GN142+(1-EXP(-LN(2)/2))/(LN(2)/2)*GH143*GK143*VLOOKUP('Données projet'!$B$17,Paramètres!$A$1:$I$88,3,0)*0.475*44/12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69.244931118130509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projet'!$B$18,Paramètres!$A$1:$I$88,3,0)*VLOOKUP('Données projet'!$B$18,Paramètres!$A$1:$I$88,5,0)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projet'!$B$18,Paramètres!$A$1:$I$88,7,0))</f>
        <v>0</v>
      </c>
      <c r="HE143" s="17">
        <f>IF(ISNA(VLOOKUP(A143,'Données projet'!$A$269:$I$289,6,0)),0%,VLOOKUP(A143,'Données projet'!$A$269:$I$289,6,0)*VLOOKUP('Données projet'!$B$18,Paramètres!$A$1:$I$88,7,0))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projet'!$B$18,Paramètres!$A$1:$I$88,3,0)*0.475*44/12</f>
        <v>#N/A</v>
      </c>
      <c r="HH143" s="23" t="e">
        <f>EXP(-LN(2)/25)*HH142+(1-EXP(-LN(2)/25))/(LN(2)/25)*Calculateur!HC143*Calculateur!HE143*VLOOKUP('Données projet'!$B$18,Paramètres!$A$1:$I$88,3,0)*0.475*44/12</f>
        <v>#N/A</v>
      </c>
      <c r="HI143" s="23" t="e">
        <f>EXP(-LN(2)/2)*HI142+(1-EXP(-LN(2)/2))/(LN(2)/2)*HC143*HF143*VLOOKUP('Données projet'!$B$18,Paramètres!$A$1:$I$88,3,0)*0.475*44/12</f>
        <v>#N/A</v>
      </c>
      <c r="HJ143" s="24" t="e">
        <f t="shared" si="138"/>
        <v>#N/A</v>
      </c>
    </row>
    <row r="144" spans="1:218" s="5" customFormat="1" x14ac:dyDescent="0.35">
      <c r="A144" s="11">
        <f t="shared" si="139"/>
        <v>141</v>
      </c>
      <c r="B144" s="77">
        <f>'Scénario référence'!$B$16*5+'Scénario référence'!$B$17*0+'Scénario référence'!$B$18*5</f>
        <v>1.75</v>
      </c>
      <c r="C144" s="20">
        <f>Calculateur!C143+'Scénario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44" s="12">
        <f t="shared" si="140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6.416666666666667</v>
      </c>
      <c r="H144" s="70">
        <f t="shared" si="110"/>
        <v>231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69.258029875149816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3.4106051316484809E-13</v>
      </c>
      <c r="O144" s="14">
        <f>N144*VLOOKUP('Données projet'!$B$9,Paramètres!$A$1:$I$88,3,0)*VLOOKUP('Données projet'!$B$9,Paramètres!$A$1:$I$88,5,0)</f>
        <v>1.9065282685915009E-13</v>
      </c>
      <c r="P144" s="14">
        <f t="shared" si="141"/>
        <v>2.6568987209435707E-12</v>
      </c>
      <c r="Q144" s="22">
        <f t="shared" si="108"/>
        <v>4.959485612423072E-12</v>
      </c>
      <c r="R144" s="62">
        <f t="shared" si="109"/>
        <v>290.61277620888762</v>
      </c>
      <c r="S144" s="62">
        <f ca="1">AVERAGE(OFFSET($R$3,0,0,'Données projet'!$E$9+1,1))-AVERAGE(OFFSET($H$3,0,0,'Données projet'!$E$9+1,1))</f>
        <v>341.05096821796769</v>
      </c>
      <c r="T144" s="62">
        <f t="shared" si="142"/>
        <v>400.72519822215168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projet'!$B$9,Paramètres!$A$1:$I$88,7,0))</f>
        <v>0</v>
      </c>
      <c r="X144" s="17">
        <f>IF(ISNA(VLOOKUP(A144,'Données projet'!$A$35:$I$55,6,0)),0%,VLOOKUP(A144,'Données projet'!$A$35:$I$55,6,0)*VLOOKUP('Données projet'!$B$9,Paramètres!$A$1:$I$88,7,0))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projet'!$B$9,Paramètres!$A$1:$I$88,3,0)*0.475*44/12</f>
        <v>48.179635364902104</v>
      </c>
      <c r="AA144" s="23">
        <f>EXP(-LN(2)/25)*AA143+(1-EXP(-LN(2)/25))/(LN(2)/25)*Calculateur!V144*Calculateur!X144*VLOOKUP('Données projet'!$B$9,Paramètres!$A$1:$I$88,3,0)*0.475*44/12</f>
        <v>14.026798429055573</v>
      </c>
      <c r="AB144" s="23">
        <f>EXP(-LN(2)/2)*AB143+(1-EXP(-LN(2)/2))/(LN(2)/2)*V144*Y144*VLOOKUP('Données projet'!$B$9,Paramètres!$A$1:$I$88,3,0)*0.475*44/12</f>
        <v>0</v>
      </c>
      <c r="AC144" s="24">
        <f t="shared" si="111"/>
        <v>62.206433793957679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69.258029875149816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5.6843418860808015E-14</v>
      </c>
      <c r="AJ144" s="14">
        <f>AI144*VLOOKUP('Données projet'!$B$10,Paramètres!$A$1:$I$88,3,0)*VLOOKUP('Données projet'!$B$10,Paramètres!$A$1:$I$88,5,0)</f>
        <v>3.3992364478763198E-14</v>
      </c>
      <c r="AK144" s="14">
        <f t="shared" si="143"/>
        <v>5.790027782444094E-13</v>
      </c>
      <c r="AL144" s="22">
        <f t="shared" si="112"/>
        <v>1.0676332069095257E-12</v>
      </c>
      <c r="AM144" s="62">
        <f t="shared" si="113"/>
        <v>290.61277620888376</v>
      </c>
      <c r="AN144" s="62">
        <f ca="1">AVERAGE(OFFSET($AM$3,0,0,'Données projet'!$E$10+1,1))-AVERAGE(OFFSET($H$3,0,0,'Données projet'!$E$10+1,1))</f>
        <v>231.96474801342879</v>
      </c>
      <c r="AO144" s="62">
        <f t="shared" si="144"/>
        <v>237.75726086383668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projet'!$B$10,Paramètres!$A$1:$I$88,7,0))</f>
        <v>0</v>
      </c>
      <c r="AS144" s="17">
        <f>IF(ISNA(VLOOKUP(A144,'Données projet'!$A$61:$I$81,6,0)),0%,VLOOKUP(A144,'Données projet'!$A$61:$I$81,6,0)*VLOOKUP('Données projet'!$B$10,Paramètres!$A$1:$I$88,7,0))</f>
        <v>0</v>
      </c>
      <c r="AT144" s="17">
        <f>IF(ISNA(VLOOKUP(A144,'Données projet'!$A$61:$I$81,7,0)),0%,VLOOKUP(A144,'Données projet'!$A$61:$I$81,7,0))</f>
        <v>0</v>
      </c>
      <c r="AU144" s="23">
        <f>EXP(-LN(2)/35)*AU143+(1-EXP(-LN(2)/35))/(LN(2)/35)*AQ144*AR144*VLOOKUP('Données projet'!$B$10,Paramètres!$A$1:$I$88,3,0)*0.475*44/12</f>
        <v>18.999616620479639</v>
      </c>
      <c r="AV144" s="23">
        <f>EXP(-LN(2)/25)*AV143+(1-EXP(-LN(2)/25))/(LN(2)/25)*Calculateur!AQ144*Calculateur!AS144*VLOOKUP('Données projet'!$B$10,Paramètres!$A$1:$I$88,3,0)*0.475*44/12</f>
        <v>5.9231623292438798</v>
      </c>
      <c r="AW144" s="23">
        <f>EXP(-LN(2)/2)*AW143+(1-EXP(-LN(2)/2))/(LN(2)/2)*AQ144*AT144*VLOOKUP('Données projet'!$B$10,Paramètres!$A$1:$I$88,3,0)*0.475*44/12</f>
        <v>0</v>
      </c>
      <c r="AX144" s="23">
        <f t="shared" si="114"/>
        <v>24.922778949723519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69.258029875149816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6.8212102632969618E-13</v>
      </c>
      <c r="BE144" s="14">
        <f>BD144*VLOOKUP('Données projet'!$B$11,Paramètres!$A$1:$I$88,3,0)*VLOOKUP('Données projet'!$B$11,Paramètres!$A$1:$I$88,5,0)</f>
        <v>3.1923264032229784E-13</v>
      </c>
      <c r="BF144" s="14">
        <f t="shared" si="145"/>
        <v>4.1896839804541558E-12</v>
      </c>
      <c r="BG144" s="22">
        <f t="shared" si="115"/>
        <v>7.8530297811856558E-12</v>
      </c>
      <c r="BH144" s="62">
        <f t="shared" si="116"/>
        <v>290.61277620889052</v>
      </c>
      <c r="BI144" s="62">
        <f ca="1">AVERAGE(OFFSET($BH$3,0,0,'Données projet'!$E$11+1,1))-AVERAGE(OFFSET($H$3,0,0,'Données projet'!$E$11+1,1))</f>
        <v>364.96458059055169</v>
      </c>
      <c r="BJ144" s="62">
        <f t="shared" si="146"/>
        <v>246.27159120786257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projet'!$B$11,Paramètres!$A$1:$I$88,7,0))</f>
        <v>0</v>
      </c>
      <c r="BN144" s="17">
        <f>IF(ISNA(VLOOKUP(A144,'Données projet'!$A$87:$I$107,6,0)),0%,VLOOKUP(A144,'Données projet'!$A$87:$I$107,6,0)*VLOOKUP('Données projet'!$B$11,Paramètres!$A$1:$I$88,7,0))</f>
        <v>0</v>
      </c>
      <c r="BO144" s="17">
        <f>IF(ISNA(VLOOKUP(A144,'Données projet'!$A$87:$I$107,7,0)),0%,VLOOKUP(A144,'Données projet'!$A$87:$I$107,7,0))</f>
        <v>0</v>
      </c>
      <c r="BP144" s="23">
        <f>EXP(-LN(2)/35)*BP143+(1-EXP(-LN(2)/35))/(LN(2)/35)*BL144*BM144*VLOOKUP('Données projet'!$B$11,Paramètres!$A$1:$I$88,3,0)*0.475*44/12</f>
        <v>105.69582249420345</v>
      </c>
      <c r="BQ144" s="23">
        <f>EXP(-LN(2)/25)*BQ143+(1-EXP(-LN(2)/25))/(LN(2)/25)*Calculateur!BL144*Calculateur!BN144*VLOOKUP('Données projet'!$B$11,Paramètres!$A$1:$I$88,3,0)*0.475*44/12</f>
        <v>32.342533050195932</v>
      </c>
      <c r="BR144" s="23">
        <f>EXP(-LN(2)/2)*BR143+(1-EXP(-LN(2)/2))/(LN(2)/2)*BL144*BO144*VLOOKUP('Données projet'!$B$11,Paramètres!$A$1:$I$88,3,0)*0.475*44/12</f>
        <v>0</v>
      </c>
      <c r="BS144" s="24">
        <f t="shared" si="117"/>
        <v>138.03835554439939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69.258029875149816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-1.1368683772161603E-13</v>
      </c>
      <c r="BZ144" s="14">
        <f>BY144*VLOOKUP('Données projet'!$B$12,Paramètres!$A$1:$I$88,3,0)*VLOOKUP('Données projet'!$B$12,Paramètres!$A$1:$I$88,5,0)</f>
        <v>-1.1527845344971866E-13</v>
      </c>
      <c r="CA144" s="14" t="e">
        <f t="shared" si="147"/>
        <v>#NUM!</v>
      </c>
      <c r="CB144" s="22" t="e">
        <f t="shared" si="118"/>
        <v>#NUM!</v>
      </c>
      <c r="CC144" s="62" t="e">
        <f t="shared" si="119"/>
        <v>#NUM!</v>
      </c>
      <c r="CD144" s="62">
        <f ca="1">AVERAGE(OFFSET($CC$3,0,0,'Données projet'!$E$12+1,1))-AVERAGE(OFFSET($H$3,0,0,'Données projet'!$E$12+1,1))</f>
        <v>310.53598044763282</v>
      </c>
      <c r="CE144" s="62">
        <f t="shared" si="148"/>
        <v>322.01096634040596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projet'!$B$12,Paramètres!$A$1:$I$88,7,0))</f>
        <v>0</v>
      </c>
      <c r="CI144" s="17">
        <f>IF(ISNA(VLOOKUP(A144,'Données projet'!$A$113:$I$133,6,0)),0%,VLOOKUP(A144,'Données projet'!$A$113:$I$133,6,0)*VLOOKUP('Données projet'!$B$12,Paramètres!$A$1:$I$88,7,0))</f>
        <v>0</v>
      </c>
      <c r="CJ144" s="17">
        <f>IF(ISNA(VLOOKUP(A144,'Données projet'!$A$113:$I$133,7,0)),0%,VLOOKUP(A144,'Données projet'!$A$113:$I$133,7,0))</f>
        <v>0</v>
      </c>
      <c r="CK144" s="23">
        <f>EXP(-LN(2)/35)*CK143+(1-EXP(-LN(2)/35))/(LN(2)/35)*CG144*CH144*VLOOKUP('Données projet'!$B$12,Paramètres!$A$1:$I$88,3,0)*0.475*44/12</f>
        <v>14.537019233567467</v>
      </c>
      <c r="CL144" s="23">
        <f>EXP(-LN(2)/25)*CL143+(1-EXP(-LN(2)/25))/(LN(2)/25)*Calculateur!CG144*Calculateur!CI144*VLOOKUP('Données projet'!$B$12,Paramètres!$A$1:$I$88,3,0)*0.475*44/12</f>
        <v>0</v>
      </c>
      <c r="CM144" s="23">
        <f>EXP(-LN(2)/2)*CM143+(1-EXP(-LN(2)/2))/(LN(2)/2)*CG144*CJ144*VLOOKUP('Données projet'!$B$12,Paramètres!$A$1:$I$88,3,0)*0.475*44/12</f>
        <v>0</v>
      </c>
      <c r="CN144" s="24">
        <f t="shared" si="120"/>
        <v>14.537019233567467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69.258029875149816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projet'!$B$13,Paramètres!$A$1:$I$88,3,0)*VLOOKUP('Données projet'!$B$13,Paramètres!$A$1:$I$88,5,0)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projet'!$B$13,Paramètres!$A$1:$I$88,7,0))</f>
        <v>0</v>
      </c>
      <c r="DD144" s="17">
        <f>IF(ISNA(VLOOKUP(A144,'Données projet'!$A$139:$I$159,6,0)),0%,VLOOKUP(A144,'Données projet'!$A$139:$I$159,6,0)*VLOOKUP('Données projet'!$B$13,Paramètres!$A$1:$I$88,7,0))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projet'!$B$13,Paramètres!$A$1:$I$88,3,0)*0.475*44/12</f>
        <v>#N/A</v>
      </c>
      <c r="DG144" s="23" t="e">
        <f>EXP(-LN(2)/25)*DG143+(1-EXP(-LN(2)/25))/(LN(2)/25)*Calculateur!DB144*Calculateur!DD144*VLOOKUP('Données projet'!$B$13,Paramètres!$A$1:$I$88,3,0)*0.475*44/12</f>
        <v>#N/A</v>
      </c>
      <c r="DH144" s="23" t="e">
        <f>EXP(-LN(2)/2)*DH143+(1-EXP(-LN(2)/2))/(LN(2)/2)*DB144*DE144*VLOOKUP('Données projet'!$B$13,Paramètres!$A$1:$I$88,3,0)*0.475*44/12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69.258029875149816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projet'!$B$14,Paramètres!$A$1:$I$88,3,0)*VLOOKUP('Données projet'!$B$14,Paramètres!$A$1:$I$88,5,0)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projet'!$B$14,Paramètres!$A$1:$I$88,7,0))</f>
        <v>0</v>
      </c>
      <c r="DY144" s="17">
        <f>IF(ISNA(VLOOKUP(A144,'Données projet'!$A$165:$I$185,6,0)),0%,VLOOKUP(A144,'Données projet'!$A$165:$I$185,6,0)*VLOOKUP('Données projet'!$B$14,Paramètres!$A$1:$I$88,7,0))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projet'!$B$14,Paramètres!$A$1:$I$88,3,0)*0.475*44/12</f>
        <v>#N/A</v>
      </c>
      <c r="EB144" s="23" t="e">
        <f>EXP(-LN(2)/25)*EB143+(1-EXP(-LN(2)/25))/(LN(2)/25)*Calculateur!DW144*Calculateur!DY144*VLOOKUP('Données projet'!$B$14,Paramètres!$A$1:$I$88,3,0)*0.475*44/12</f>
        <v>#N/A</v>
      </c>
      <c r="EC144" s="23" t="e">
        <f>EXP(-LN(2)/2)*EC143+(1-EXP(-LN(2)/2))/(LN(2)/2)*DW144*DZ144*VLOOKUP('Données projet'!$B$14,Paramètres!$A$1:$I$88,3,0)*0.475*44/12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69.258029875149816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projet'!$B$15,Paramètres!$A$1:$I$88,3,0)*VLOOKUP('Données projet'!$B$15,Paramètres!$A$1:$I$88,5,0)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projet'!$B$15,Paramètres!$A$1:$I$88,7,0))</f>
        <v>0</v>
      </c>
      <c r="ET144" s="17">
        <f>IF(ISNA(VLOOKUP(A144,'Données projet'!$A$191:$I$211,6,0)),0%,VLOOKUP(A144,'Données projet'!$A$191:$I$211,6,0)*VLOOKUP('Données projet'!$B$15,Paramètres!$A$1:$I$88,7,0))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projet'!$B$15,Paramètres!$A$1:$I$88,3,0)*0.475*44/12</f>
        <v>#N/A</v>
      </c>
      <c r="EW144" s="23" t="e">
        <f>EXP(-LN(2)/25)*EW143+(1-EXP(-LN(2)/25))/(LN(2)/25)*Calculateur!ER144*Calculateur!ET144*VLOOKUP('Données projet'!$B$15,Paramètres!$A$1:$I$88,3,0)*0.475*44/12</f>
        <v>#N/A</v>
      </c>
      <c r="EX144" s="23" t="e">
        <f>EXP(-LN(2)/2)*EX143+(1-EXP(-LN(2)/2))/(LN(2)/2)*ER144*EU144*VLOOKUP('Données projet'!$B$15,Paramètres!$A$1:$I$88,3,0)*0.475*44/12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69.258029875149816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projet'!$B$16,Paramètres!$A$1:$I$88,3,0)*VLOOKUP('Données projet'!$B$16,Paramètres!$A$1:$I$88,5,0)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projet'!$B$16,Paramètres!$A$1:$I$88,7,0))</f>
        <v>0</v>
      </c>
      <c r="FO144" s="17">
        <f>IF(ISNA(VLOOKUP(A144,'Données projet'!$A$217:$I$237,6,0)),0%,VLOOKUP(A144,'Données projet'!$A$217:$I$237,6,0)*VLOOKUP('Données projet'!$B$16,Paramètres!$A$1:$I$88,7,0))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projet'!$B$16,Paramètres!$A$1:$I$88,3,0)*0.475*44/12</f>
        <v>#N/A</v>
      </c>
      <c r="FR144" s="23" t="e">
        <f>EXP(-LN(2)/25)*FR143+(1-EXP(-LN(2)/25))/(LN(2)/25)*Calculateur!FM144*Calculateur!FO144*VLOOKUP('Données projet'!$B$16,Paramètres!$A$1:$I$88,3,0)*0.475*44/12</f>
        <v>#N/A</v>
      </c>
      <c r="FS144" s="23" t="e">
        <f>EXP(-LN(2)/2)*FS143+(1-EXP(-LN(2)/2))/(LN(2)/2)*FM144*FP144*VLOOKUP('Données projet'!$B$16,Paramètres!$A$1:$I$88,3,0)*0.475*44/12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69.258029875149816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projet'!$B$17,Paramètres!$A$1:$I$88,3,0)*VLOOKUP('Données projet'!$B$17,Paramètres!$A$1:$I$88,5,0)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projet'!$B$17,Paramètres!$A$1:$I$88,7,0))</f>
        <v>0</v>
      </c>
      <c r="GJ144" s="17">
        <f>IF(ISNA(VLOOKUP(A144,'Données projet'!$A$243:$I$263,6,0)),0%,VLOOKUP(A144,'Données projet'!$A$243:$I$263,6,0)*VLOOKUP('Données projet'!$B$17,Paramètres!$A$1:$I$88,7,0))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projet'!$B$17,Paramètres!$A$1:$I$88,3,0)*0.475*44/12</f>
        <v>#N/A</v>
      </c>
      <c r="GM144" s="23" t="e">
        <f>EXP(-LN(2)/25)*GM143+(1-EXP(-LN(2)/25))/(LN(2)/25)*Calculateur!GH144*Calculateur!GJ144*VLOOKUP('Données projet'!$B$17,Paramètres!$A$1:$I$88,3,0)*0.475*44/12</f>
        <v>#N/A</v>
      </c>
      <c r="GN144" s="23" t="e">
        <f>EXP(-LN(2)/2)*GN143+(1-EXP(-LN(2)/2))/(LN(2)/2)*GH144*GK144*VLOOKUP('Données projet'!$B$17,Paramètres!$A$1:$I$88,3,0)*0.475*44/12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69.258029875149816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projet'!$B$18,Paramètres!$A$1:$I$88,3,0)*VLOOKUP('Données projet'!$B$18,Paramètres!$A$1:$I$88,5,0)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projet'!$B$18,Paramètres!$A$1:$I$88,7,0))</f>
        <v>0</v>
      </c>
      <c r="HE144" s="17">
        <f>IF(ISNA(VLOOKUP(A144,'Données projet'!$A$269:$I$289,6,0)),0%,VLOOKUP(A144,'Données projet'!$A$269:$I$289,6,0)*VLOOKUP('Données projet'!$B$18,Paramètres!$A$1:$I$88,7,0))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projet'!$B$18,Paramètres!$A$1:$I$88,3,0)*0.475*44/12</f>
        <v>#N/A</v>
      </c>
      <c r="HH144" s="23" t="e">
        <f>EXP(-LN(2)/25)*HH143+(1-EXP(-LN(2)/25))/(LN(2)/25)*Calculateur!HC144*Calculateur!HE144*VLOOKUP('Données projet'!$B$18,Paramètres!$A$1:$I$88,3,0)*0.475*44/12</f>
        <v>#N/A</v>
      </c>
      <c r="HI144" s="23" t="e">
        <f>EXP(-LN(2)/2)*HI143+(1-EXP(-LN(2)/2))/(LN(2)/2)*HC144*HF144*VLOOKUP('Données projet'!$B$18,Paramètres!$A$1:$I$88,3,0)*0.475*44/12</f>
        <v>#N/A</v>
      </c>
      <c r="HJ144" s="24" t="e">
        <f t="shared" si="138"/>
        <v>#N/A</v>
      </c>
    </row>
    <row r="145" spans="1:218" s="5" customFormat="1" x14ac:dyDescent="0.35">
      <c r="A145" s="11">
        <f t="shared" si="139"/>
        <v>142</v>
      </c>
      <c r="B145" s="77">
        <f>'Scénario référence'!$B$16*5+'Scénario référence'!$B$17*0+'Scénario référence'!$B$18*5</f>
        <v>1.75</v>
      </c>
      <c r="C145" s="20">
        <f>Calculateur!C144+'Scénario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45" s="12">
        <f t="shared" si="140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6.416666666666667</v>
      </c>
      <c r="H145" s="70">
        <f t="shared" si="110"/>
        <v>231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69.270901398019276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3.4106051316484809E-13</v>
      </c>
      <c r="O145" s="14">
        <f>N145*VLOOKUP('Données projet'!$B$9,Paramètres!$A$1:$I$88,3,0)*VLOOKUP('Données projet'!$B$9,Paramètres!$A$1:$I$88,5,0)</f>
        <v>1.9065282685915009E-13</v>
      </c>
      <c r="P145" s="14">
        <f t="shared" si="141"/>
        <v>2.6568987209435707E-12</v>
      </c>
      <c r="Q145" s="22">
        <f t="shared" si="108"/>
        <v>4.959485612423072E-12</v>
      </c>
      <c r="R145" s="62">
        <f t="shared" si="109"/>
        <v>290.65997179274228</v>
      </c>
      <c r="S145" s="62">
        <f ca="1">AVERAGE(OFFSET($R$3,0,0,'Données projet'!$E$9+1,1))-AVERAGE(OFFSET($H$3,0,0,'Données projet'!$E$9+1,1))</f>
        <v>341.05096821796769</v>
      </c>
      <c r="T145" s="62">
        <f t="shared" si="142"/>
        <v>400.72519822215168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projet'!$B$9,Paramètres!$A$1:$I$88,7,0))</f>
        <v>0</v>
      </c>
      <c r="X145" s="17">
        <f>IF(ISNA(VLOOKUP(A145,'Données projet'!$A$35:$I$55,6,0)),0%,VLOOKUP(A145,'Données projet'!$A$35:$I$55,6,0)*VLOOKUP('Données projet'!$B$9,Paramètres!$A$1:$I$88,7,0))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projet'!$B$9,Paramètres!$A$1:$I$88,3,0)*0.475*44/12</f>
        <v>47.234862102072256</v>
      </c>
      <c r="AA145" s="23">
        <f>EXP(-LN(2)/25)*AA144+(1-EXP(-LN(2)/25))/(LN(2)/25)*Calculateur!V145*Calculateur!X145*VLOOKUP('Données projet'!$B$9,Paramètres!$A$1:$I$88,3,0)*0.475*44/12</f>
        <v>13.643234888375778</v>
      </c>
      <c r="AB145" s="23">
        <f>EXP(-LN(2)/2)*AB144+(1-EXP(-LN(2)/2))/(LN(2)/2)*V145*Y145*VLOOKUP('Données projet'!$B$9,Paramètres!$A$1:$I$88,3,0)*0.475*44/12</f>
        <v>0</v>
      </c>
      <c r="AC145" s="24">
        <f t="shared" si="111"/>
        <v>60.878096990448036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69.270901398019276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5.6843418860808015E-14</v>
      </c>
      <c r="AJ145" s="14">
        <f>AI145*VLOOKUP('Données projet'!$B$10,Paramètres!$A$1:$I$88,3,0)*VLOOKUP('Données projet'!$B$10,Paramètres!$A$1:$I$88,5,0)</f>
        <v>3.3992364478763198E-14</v>
      </c>
      <c r="AK145" s="14">
        <f t="shared" si="143"/>
        <v>5.790027782444094E-13</v>
      </c>
      <c r="AL145" s="22">
        <f t="shared" si="112"/>
        <v>1.0676332069095257E-12</v>
      </c>
      <c r="AM145" s="62">
        <f t="shared" si="113"/>
        <v>290.65997179273842</v>
      </c>
      <c r="AN145" s="62">
        <f ca="1">AVERAGE(OFFSET($AM$3,0,0,'Données projet'!$E$10+1,1))-AVERAGE(OFFSET($H$3,0,0,'Données projet'!$E$10+1,1))</f>
        <v>231.96474801342879</v>
      </c>
      <c r="AO145" s="62">
        <f t="shared" si="144"/>
        <v>237.75726086383668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projet'!$B$10,Paramètres!$A$1:$I$88,7,0))</f>
        <v>0</v>
      </c>
      <c r="AS145" s="17">
        <f>IF(ISNA(VLOOKUP(A145,'Données projet'!$A$61:$I$81,6,0)),0%,VLOOKUP(A145,'Données projet'!$A$61:$I$81,6,0)*VLOOKUP('Données projet'!$B$10,Paramètres!$A$1:$I$88,7,0))</f>
        <v>0</v>
      </c>
      <c r="AT145" s="17">
        <f>IF(ISNA(VLOOKUP(A145,'Données projet'!$A$61:$I$81,7,0)),0%,VLOOKUP(A145,'Données projet'!$A$61:$I$81,7,0))</f>
        <v>0</v>
      </c>
      <c r="AU145" s="23">
        <f>EXP(-LN(2)/35)*AU144+(1-EXP(-LN(2)/35))/(LN(2)/35)*AQ145*AR145*VLOOKUP('Données projet'!$B$10,Paramètres!$A$1:$I$88,3,0)*0.475*44/12</f>
        <v>18.62704572717389</v>
      </c>
      <c r="AV145" s="23">
        <f>EXP(-LN(2)/25)*AV144+(1-EXP(-LN(2)/25))/(LN(2)/25)*Calculateur!AQ145*Calculateur!AS145*VLOOKUP('Données projet'!$B$10,Paramètres!$A$1:$I$88,3,0)*0.475*44/12</f>
        <v>5.7611931438651363</v>
      </c>
      <c r="AW145" s="23">
        <f>EXP(-LN(2)/2)*AW144+(1-EXP(-LN(2)/2))/(LN(2)/2)*AQ145*AT145*VLOOKUP('Données projet'!$B$10,Paramètres!$A$1:$I$88,3,0)*0.475*44/12</f>
        <v>0</v>
      </c>
      <c r="AX145" s="23">
        <f t="shared" si="114"/>
        <v>24.388238871039025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69.270901398019276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6.8212102632969618E-13</v>
      </c>
      <c r="BE145" s="14">
        <f>BD145*VLOOKUP('Données projet'!$B$11,Paramètres!$A$1:$I$88,3,0)*VLOOKUP('Données projet'!$B$11,Paramètres!$A$1:$I$88,5,0)</f>
        <v>3.1923264032229784E-13</v>
      </c>
      <c r="BF145" s="14">
        <f t="shared" si="145"/>
        <v>4.1896839804541558E-12</v>
      </c>
      <c r="BG145" s="22">
        <f t="shared" si="115"/>
        <v>7.8530297811856558E-12</v>
      </c>
      <c r="BH145" s="62">
        <f t="shared" si="116"/>
        <v>290.65997179274518</v>
      </c>
      <c r="BI145" s="62">
        <f ca="1">AVERAGE(OFFSET($BH$3,0,0,'Données projet'!$E$11+1,1))-AVERAGE(OFFSET($H$3,0,0,'Données projet'!$E$11+1,1))</f>
        <v>364.96458059055169</v>
      </c>
      <c r="BJ145" s="62">
        <f t="shared" si="146"/>
        <v>246.27159120786257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projet'!$B$11,Paramètres!$A$1:$I$88,7,0))</f>
        <v>0</v>
      </c>
      <c r="BN145" s="17">
        <f>IF(ISNA(VLOOKUP(A145,'Données projet'!$A$87:$I$107,6,0)),0%,VLOOKUP(A145,'Données projet'!$A$87:$I$107,6,0)*VLOOKUP('Données projet'!$B$11,Paramètres!$A$1:$I$88,7,0))</f>
        <v>0</v>
      </c>
      <c r="BO145" s="17">
        <f>IF(ISNA(VLOOKUP(A145,'Données projet'!$A$87:$I$107,7,0)),0%,VLOOKUP(A145,'Données projet'!$A$87:$I$107,7,0))</f>
        <v>0</v>
      </c>
      <c r="BP145" s="23">
        <f>EXP(-LN(2)/35)*BP144+(1-EXP(-LN(2)/35))/(LN(2)/35)*BL145*BM145*VLOOKUP('Données projet'!$B$11,Paramètres!$A$1:$I$88,3,0)*0.475*44/12</f>
        <v>103.62319188317815</v>
      </c>
      <c r="BQ145" s="23">
        <f>EXP(-LN(2)/25)*BQ144+(1-EXP(-LN(2)/25))/(LN(2)/25)*Calculateur!BL145*Calculateur!BN145*VLOOKUP('Données projet'!$B$11,Paramètres!$A$1:$I$88,3,0)*0.475*44/12</f>
        <v>31.458124783118432</v>
      </c>
      <c r="BR145" s="23">
        <f>EXP(-LN(2)/2)*BR144+(1-EXP(-LN(2)/2))/(LN(2)/2)*BL145*BO145*VLOOKUP('Données projet'!$B$11,Paramètres!$A$1:$I$88,3,0)*0.475*44/12</f>
        <v>0</v>
      </c>
      <c r="BS145" s="24">
        <f t="shared" si="117"/>
        <v>135.08131666629657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69.270901398019276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-1.1368683772161603E-13</v>
      </c>
      <c r="BZ145" s="14">
        <f>BY145*VLOOKUP('Données projet'!$B$12,Paramètres!$A$1:$I$88,3,0)*VLOOKUP('Données projet'!$B$12,Paramètres!$A$1:$I$88,5,0)</f>
        <v>-1.1527845344971866E-13</v>
      </c>
      <c r="CA145" s="14" t="e">
        <f t="shared" si="147"/>
        <v>#NUM!</v>
      </c>
      <c r="CB145" s="22" t="e">
        <f t="shared" si="118"/>
        <v>#NUM!</v>
      </c>
      <c r="CC145" s="62" t="e">
        <f t="shared" si="119"/>
        <v>#NUM!</v>
      </c>
      <c r="CD145" s="62">
        <f ca="1">AVERAGE(OFFSET($CC$3,0,0,'Données projet'!$E$12+1,1))-AVERAGE(OFFSET($H$3,0,0,'Données projet'!$E$12+1,1))</f>
        <v>310.53598044763282</v>
      </c>
      <c r="CE145" s="62">
        <f t="shared" si="148"/>
        <v>322.01096634040596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projet'!$B$12,Paramètres!$A$1:$I$88,7,0))</f>
        <v>0</v>
      </c>
      <c r="CI145" s="17">
        <f>IF(ISNA(VLOOKUP(A145,'Données projet'!$A$113:$I$133,6,0)),0%,VLOOKUP(A145,'Données projet'!$A$113:$I$133,6,0)*VLOOKUP('Données projet'!$B$12,Paramètres!$A$1:$I$88,7,0))</f>
        <v>0</v>
      </c>
      <c r="CJ145" s="17">
        <f>IF(ISNA(VLOOKUP(A145,'Données projet'!$A$113:$I$133,7,0)),0%,VLOOKUP(A145,'Données projet'!$A$113:$I$133,7,0))</f>
        <v>0</v>
      </c>
      <c r="CK145" s="23">
        <f>EXP(-LN(2)/35)*CK144+(1-EXP(-LN(2)/35))/(LN(2)/35)*CG145*CH145*VLOOKUP('Données projet'!$B$12,Paramètres!$A$1:$I$88,3,0)*0.475*44/12</f>
        <v>14.251957153103426</v>
      </c>
      <c r="CL145" s="23">
        <f>EXP(-LN(2)/25)*CL144+(1-EXP(-LN(2)/25))/(LN(2)/25)*Calculateur!CG145*Calculateur!CI145*VLOOKUP('Données projet'!$B$12,Paramètres!$A$1:$I$88,3,0)*0.475*44/12</f>
        <v>0</v>
      </c>
      <c r="CM145" s="23">
        <f>EXP(-LN(2)/2)*CM144+(1-EXP(-LN(2)/2))/(LN(2)/2)*CG145*CJ145*VLOOKUP('Données projet'!$B$12,Paramètres!$A$1:$I$88,3,0)*0.475*44/12</f>
        <v>0</v>
      </c>
      <c r="CN145" s="24">
        <f t="shared" si="120"/>
        <v>14.251957153103426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69.270901398019276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projet'!$B$13,Paramètres!$A$1:$I$88,3,0)*VLOOKUP('Données projet'!$B$13,Paramètres!$A$1:$I$88,5,0)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projet'!$B$13,Paramètres!$A$1:$I$88,7,0))</f>
        <v>0</v>
      </c>
      <c r="DD145" s="17">
        <f>IF(ISNA(VLOOKUP(A145,'Données projet'!$A$139:$I$159,6,0)),0%,VLOOKUP(A145,'Données projet'!$A$139:$I$159,6,0)*VLOOKUP('Données projet'!$B$13,Paramètres!$A$1:$I$88,7,0))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projet'!$B$13,Paramètres!$A$1:$I$88,3,0)*0.475*44/12</f>
        <v>#N/A</v>
      </c>
      <c r="DG145" s="23" t="e">
        <f>EXP(-LN(2)/25)*DG144+(1-EXP(-LN(2)/25))/(LN(2)/25)*Calculateur!DB145*Calculateur!DD145*VLOOKUP('Données projet'!$B$13,Paramètres!$A$1:$I$88,3,0)*0.475*44/12</f>
        <v>#N/A</v>
      </c>
      <c r="DH145" s="23" t="e">
        <f>EXP(-LN(2)/2)*DH144+(1-EXP(-LN(2)/2))/(LN(2)/2)*DB145*DE145*VLOOKUP('Données projet'!$B$13,Paramètres!$A$1:$I$88,3,0)*0.475*44/12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69.270901398019276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projet'!$B$14,Paramètres!$A$1:$I$88,3,0)*VLOOKUP('Données projet'!$B$14,Paramètres!$A$1:$I$88,5,0)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projet'!$B$14,Paramètres!$A$1:$I$88,7,0))</f>
        <v>0</v>
      </c>
      <c r="DY145" s="17">
        <f>IF(ISNA(VLOOKUP(A145,'Données projet'!$A$165:$I$185,6,0)),0%,VLOOKUP(A145,'Données projet'!$A$165:$I$185,6,0)*VLOOKUP('Données projet'!$B$14,Paramètres!$A$1:$I$88,7,0))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projet'!$B$14,Paramètres!$A$1:$I$88,3,0)*0.475*44/12</f>
        <v>#N/A</v>
      </c>
      <c r="EB145" s="23" t="e">
        <f>EXP(-LN(2)/25)*EB144+(1-EXP(-LN(2)/25))/(LN(2)/25)*Calculateur!DW145*Calculateur!DY145*VLOOKUP('Données projet'!$B$14,Paramètres!$A$1:$I$88,3,0)*0.475*44/12</f>
        <v>#N/A</v>
      </c>
      <c r="EC145" s="23" t="e">
        <f>EXP(-LN(2)/2)*EC144+(1-EXP(-LN(2)/2))/(LN(2)/2)*DW145*DZ145*VLOOKUP('Données projet'!$B$14,Paramètres!$A$1:$I$88,3,0)*0.475*44/12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69.270901398019276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projet'!$B$15,Paramètres!$A$1:$I$88,3,0)*VLOOKUP('Données projet'!$B$15,Paramètres!$A$1:$I$88,5,0)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projet'!$B$15,Paramètres!$A$1:$I$88,7,0))</f>
        <v>0</v>
      </c>
      <c r="ET145" s="17">
        <f>IF(ISNA(VLOOKUP(A145,'Données projet'!$A$191:$I$211,6,0)),0%,VLOOKUP(A145,'Données projet'!$A$191:$I$211,6,0)*VLOOKUP('Données projet'!$B$15,Paramètres!$A$1:$I$88,7,0))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projet'!$B$15,Paramètres!$A$1:$I$88,3,0)*0.475*44/12</f>
        <v>#N/A</v>
      </c>
      <c r="EW145" s="23" t="e">
        <f>EXP(-LN(2)/25)*EW144+(1-EXP(-LN(2)/25))/(LN(2)/25)*Calculateur!ER145*Calculateur!ET145*VLOOKUP('Données projet'!$B$15,Paramètres!$A$1:$I$88,3,0)*0.475*44/12</f>
        <v>#N/A</v>
      </c>
      <c r="EX145" s="23" t="e">
        <f>EXP(-LN(2)/2)*EX144+(1-EXP(-LN(2)/2))/(LN(2)/2)*ER145*EU145*VLOOKUP('Données projet'!$B$15,Paramètres!$A$1:$I$88,3,0)*0.475*44/12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69.270901398019276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projet'!$B$16,Paramètres!$A$1:$I$88,3,0)*VLOOKUP('Données projet'!$B$16,Paramètres!$A$1:$I$88,5,0)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projet'!$B$16,Paramètres!$A$1:$I$88,7,0))</f>
        <v>0</v>
      </c>
      <c r="FO145" s="17">
        <f>IF(ISNA(VLOOKUP(A145,'Données projet'!$A$217:$I$237,6,0)),0%,VLOOKUP(A145,'Données projet'!$A$217:$I$237,6,0)*VLOOKUP('Données projet'!$B$16,Paramètres!$A$1:$I$88,7,0))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projet'!$B$16,Paramètres!$A$1:$I$88,3,0)*0.475*44/12</f>
        <v>#N/A</v>
      </c>
      <c r="FR145" s="23" t="e">
        <f>EXP(-LN(2)/25)*FR144+(1-EXP(-LN(2)/25))/(LN(2)/25)*Calculateur!FM145*Calculateur!FO145*VLOOKUP('Données projet'!$B$16,Paramètres!$A$1:$I$88,3,0)*0.475*44/12</f>
        <v>#N/A</v>
      </c>
      <c r="FS145" s="23" t="e">
        <f>EXP(-LN(2)/2)*FS144+(1-EXP(-LN(2)/2))/(LN(2)/2)*FM145*FP145*VLOOKUP('Données projet'!$B$16,Paramètres!$A$1:$I$88,3,0)*0.475*44/12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69.270901398019276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projet'!$B$17,Paramètres!$A$1:$I$88,3,0)*VLOOKUP('Données projet'!$B$17,Paramètres!$A$1:$I$88,5,0)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projet'!$B$17,Paramètres!$A$1:$I$88,7,0))</f>
        <v>0</v>
      </c>
      <c r="GJ145" s="17">
        <f>IF(ISNA(VLOOKUP(A145,'Données projet'!$A$243:$I$263,6,0)),0%,VLOOKUP(A145,'Données projet'!$A$243:$I$263,6,0)*VLOOKUP('Données projet'!$B$17,Paramètres!$A$1:$I$88,7,0))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projet'!$B$17,Paramètres!$A$1:$I$88,3,0)*0.475*44/12</f>
        <v>#N/A</v>
      </c>
      <c r="GM145" s="23" t="e">
        <f>EXP(-LN(2)/25)*GM144+(1-EXP(-LN(2)/25))/(LN(2)/25)*Calculateur!GH145*Calculateur!GJ145*VLOOKUP('Données projet'!$B$17,Paramètres!$A$1:$I$88,3,0)*0.475*44/12</f>
        <v>#N/A</v>
      </c>
      <c r="GN145" s="23" t="e">
        <f>EXP(-LN(2)/2)*GN144+(1-EXP(-LN(2)/2))/(LN(2)/2)*GH145*GK145*VLOOKUP('Données projet'!$B$17,Paramètres!$A$1:$I$88,3,0)*0.475*44/12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69.270901398019276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projet'!$B$18,Paramètres!$A$1:$I$88,3,0)*VLOOKUP('Données projet'!$B$18,Paramètres!$A$1:$I$88,5,0)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projet'!$B$18,Paramètres!$A$1:$I$88,7,0))</f>
        <v>0</v>
      </c>
      <c r="HE145" s="17">
        <f>IF(ISNA(VLOOKUP(A145,'Données projet'!$A$269:$I$289,6,0)),0%,VLOOKUP(A145,'Données projet'!$A$269:$I$289,6,0)*VLOOKUP('Données projet'!$B$18,Paramètres!$A$1:$I$88,7,0))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projet'!$B$18,Paramètres!$A$1:$I$88,3,0)*0.475*44/12</f>
        <v>#N/A</v>
      </c>
      <c r="HH145" s="23" t="e">
        <f>EXP(-LN(2)/25)*HH144+(1-EXP(-LN(2)/25))/(LN(2)/25)*Calculateur!HC145*Calculateur!HE145*VLOOKUP('Données projet'!$B$18,Paramètres!$A$1:$I$88,3,0)*0.475*44/12</f>
        <v>#N/A</v>
      </c>
      <c r="HI145" s="23" t="e">
        <f>EXP(-LN(2)/2)*HI144+(1-EXP(-LN(2)/2))/(LN(2)/2)*HC145*HF145*VLOOKUP('Données projet'!$B$18,Paramètres!$A$1:$I$88,3,0)*0.475*44/12</f>
        <v>#N/A</v>
      </c>
      <c r="HJ145" s="24" t="e">
        <f t="shared" si="138"/>
        <v>#N/A</v>
      </c>
    </row>
    <row r="146" spans="1:218" s="5" customFormat="1" x14ac:dyDescent="0.35">
      <c r="A146" s="11">
        <f t="shared" si="139"/>
        <v>143</v>
      </c>
      <c r="B146" s="77">
        <f>'Scénario référence'!$B$16*5+'Scénario référence'!$B$17*0+'Scénario référence'!$B$18*5</f>
        <v>1.75</v>
      </c>
      <c r="C146" s="20">
        <f>Calculateur!C145+'Scénario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46" s="12">
        <f t="shared" si="140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6.416666666666667</v>
      </c>
      <c r="H146" s="70">
        <f t="shared" si="110"/>
        <v>231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69.283549628743359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3.4106051316484809E-13</v>
      </c>
      <c r="O146" s="14">
        <f>N146*VLOOKUP('Données projet'!$B$9,Paramètres!$A$1:$I$88,3,0)*VLOOKUP('Données projet'!$B$9,Paramètres!$A$1:$I$88,5,0)</f>
        <v>1.9065282685915009E-13</v>
      </c>
      <c r="P146" s="14">
        <f t="shared" si="141"/>
        <v>2.6568987209435707E-12</v>
      </c>
      <c r="Q146" s="22">
        <f t="shared" si="108"/>
        <v>4.959485612423072E-12</v>
      </c>
      <c r="R146" s="62">
        <f t="shared" si="109"/>
        <v>290.70634863873056</v>
      </c>
      <c r="S146" s="62">
        <f ca="1">AVERAGE(OFFSET($R$3,0,0,'Données projet'!$E$9+1,1))-AVERAGE(OFFSET($H$3,0,0,'Données projet'!$E$9+1,1))</f>
        <v>341.05096821796769</v>
      </c>
      <c r="T146" s="62">
        <f t="shared" si="142"/>
        <v>400.72519822215168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projet'!$B$9,Paramètres!$A$1:$I$88,7,0))</f>
        <v>0</v>
      </c>
      <c r="X146" s="17">
        <f>IF(ISNA(VLOOKUP(A146,'Données projet'!$A$35:$I$55,6,0)),0%,VLOOKUP(A146,'Données projet'!$A$35:$I$55,6,0)*VLOOKUP('Données projet'!$B$9,Paramètres!$A$1:$I$88,7,0))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projet'!$B$9,Paramètres!$A$1:$I$88,3,0)*0.475*44/12</f>
        <v>46.308615266671708</v>
      </c>
      <c r="AA146" s="23">
        <f>EXP(-LN(2)/25)*AA145+(1-EXP(-LN(2)/25))/(LN(2)/25)*Calculateur!V146*Calculateur!X146*VLOOKUP('Données projet'!$B$9,Paramètres!$A$1:$I$88,3,0)*0.475*44/12</f>
        <v>13.270159912886601</v>
      </c>
      <c r="AB146" s="23">
        <f>EXP(-LN(2)/2)*AB145+(1-EXP(-LN(2)/2))/(LN(2)/2)*V146*Y146*VLOOKUP('Données projet'!$B$9,Paramètres!$A$1:$I$88,3,0)*0.475*44/12</f>
        <v>0</v>
      </c>
      <c r="AC146" s="24">
        <f t="shared" si="111"/>
        <v>59.578775179558306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69.283549628743359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5.6843418860808015E-14</v>
      </c>
      <c r="AJ146" s="14">
        <f>AI146*VLOOKUP('Données projet'!$B$10,Paramètres!$A$1:$I$88,3,0)*VLOOKUP('Données projet'!$B$10,Paramètres!$A$1:$I$88,5,0)</f>
        <v>3.3992364478763198E-14</v>
      </c>
      <c r="AK146" s="14">
        <f t="shared" si="143"/>
        <v>5.790027782444094E-13</v>
      </c>
      <c r="AL146" s="22">
        <f t="shared" si="112"/>
        <v>1.0676332069095257E-12</v>
      </c>
      <c r="AM146" s="62">
        <f t="shared" si="113"/>
        <v>290.70634863872669</v>
      </c>
      <c r="AN146" s="62">
        <f ca="1">AVERAGE(OFFSET($AM$3,0,0,'Données projet'!$E$10+1,1))-AVERAGE(OFFSET($H$3,0,0,'Données projet'!$E$10+1,1))</f>
        <v>231.96474801342879</v>
      </c>
      <c r="AO146" s="62">
        <f t="shared" si="144"/>
        <v>237.75726086383668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projet'!$B$10,Paramètres!$A$1:$I$88,7,0))</f>
        <v>0</v>
      </c>
      <c r="AS146" s="17">
        <f>IF(ISNA(VLOOKUP(A146,'Données projet'!$A$61:$I$81,6,0)),0%,VLOOKUP(A146,'Données projet'!$A$61:$I$81,6,0)*VLOOKUP('Données projet'!$B$10,Paramètres!$A$1:$I$88,7,0))</f>
        <v>0</v>
      </c>
      <c r="AT146" s="17">
        <f>IF(ISNA(VLOOKUP(A146,'Données projet'!$A$61:$I$81,7,0)),0%,VLOOKUP(A146,'Données projet'!$A$61:$I$81,7,0))</f>
        <v>0</v>
      </c>
      <c r="AU146" s="23">
        <f>EXP(-LN(2)/35)*AU145+(1-EXP(-LN(2)/35))/(LN(2)/35)*AQ146*AR146*VLOOKUP('Données projet'!$B$10,Paramètres!$A$1:$I$88,3,0)*0.475*44/12</f>
        <v>18.261780721840061</v>
      </c>
      <c r="AV146" s="23">
        <f>EXP(-LN(2)/25)*AV145+(1-EXP(-LN(2)/25))/(LN(2)/25)*Calculateur!AQ146*Calculateur!AS146*VLOOKUP('Données projet'!$B$10,Paramètres!$A$1:$I$88,3,0)*0.475*44/12</f>
        <v>5.603653014378164</v>
      </c>
      <c r="AW146" s="23">
        <f>EXP(-LN(2)/2)*AW145+(1-EXP(-LN(2)/2))/(LN(2)/2)*AQ146*AT146*VLOOKUP('Données projet'!$B$10,Paramètres!$A$1:$I$88,3,0)*0.475*44/12</f>
        <v>0</v>
      </c>
      <c r="AX146" s="23">
        <f t="shared" si="114"/>
        <v>23.865433736218225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69.283549628743359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6.8212102632969618E-13</v>
      </c>
      <c r="BE146" s="14">
        <f>BD146*VLOOKUP('Données projet'!$B$11,Paramètres!$A$1:$I$88,3,0)*VLOOKUP('Données projet'!$B$11,Paramètres!$A$1:$I$88,5,0)</f>
        <v>3.1923264032229784E-13</v>
      </c>
      <c r="BF146" s="14">
        <f t="shared" si="145"/>
        <v>4.1896839804541558E-12</v>
      </c>
      <c r="BG146" s="22">
        <f t="shared" si="115"/>
        <v>7.8530297811856558E-12</v>
      </c>
      <c r="BH146" s="62">
        <f t="shared" si="116"/>
        <v>290.70634863873346</v>
      </c>
      <c r="BI146" s="62">
        <f ca="1">AVERAGE(OFFSET($BH$3,0,0,'Données projet'!$E$11+1,1))-AVERAGE(OFFSET($H$3,0,0,'Données projet'!$E$11+1,1))</f>
        <v>364.96458059055169</v>
      </c>
      <c r="BJ146" s="62">
        <f t="shared" si="146"/>
        <v>246.27159120786257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projet'!$B$11,Paramètres!$A$1:$I$88,7,0))</f>
        <v>0</v>
      </c>
      <c r="BN146" s="17">
        <f>IF(ISNA(VLOOKUP(A146,'Données projet'!$A$87:$I$107,6,0)),0%,VLOOKUP(A146,'Données projet'!$A$87:$I$107,6,0)*VLOOKUP('Données projet'!$B$11,Paramètres!$A$1:$I$88,7,0))</f>
        <v>0</v>
      </c>
      <c r="BO146" s="17">
        <f>IF(ISNA(VLOOKUP(A146,'Données projet'!$A$87:$I$107,7,0)),0%,VLOOKUP(A146,'Données projet'!$A$87:$I$107,7,0))</f>
        <v>0</v>
      </c>
      <c r="BP146" s="23">
        <f>EXP(-LN(2)/35)*BP145+(1-EXP(-LN(2)/35))/(LN(2)/35)*BL146*BM146*VLOOKUP('Données projet'!$B$11,Paramètres!$A$1:$I$88,3,0)*0.475*44/12</f>
        <v>101.59120429425521</v>
      </c>
      <c r="BQ146" s="23">
        <f>EXP(-LN(2)/25)*BQ145+(1-EXP(-LN(2)/25))/(LN(2)/25)*Calculateur!BL146*Calculateur!BN146*VLOOKUP('Données projet'!$B$11,Paramètres!$A$1:$I$88,3,0)*0.475*44/12</f>
        <v>30.597900706613174</v>
      </c>
      <c r="BR146" s="23">
        <f>EXP(-LN(2)/2)*BR145+(1-EXP(-LN(2)/2))/(LN(2)/2)*BL146*BO146*VLOOKUP('Données projet'!$B$11,Paramètres!$A$1:$I$88,3,0)*0.475*44/12</f>
        <v>0</v>
      </c>
      <c r="BS146" s="24">
        <f t="shared" si="117"/>
        <v>132.18910500086838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69.283549628743359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-1.1368683772161603E-13</v>
      </c>
      <c r="BZ146" s="14">
        <f>BY146*VLOOKUP('Données projet'!$B$12,Paramètres!$A$1:$I$88,3,0)*VLOOKUP('Données projet'!$B$12,Paramètres!$A$1:$I$88,5,0)</f>
        <v>-1.1527845344971866E-13</v>
      </c>
      <c r="CA146" s="14" t="e">
        <f t="shared" si="147"/>
        <v>#NUM!</v>
      </c>
      <c r="CB146" s="22" t="e">
        <f t="shared" si="118"/>
        <v>#NUM!</v>
      </c>
      <c r="CC146" s="62" t="e">
        <f t="shared" si="119"/>
        <v>#NUM!</v>
      </c>
      <c r="CD146" s="62">
        <f ca="1">AVERAGE(OFFSET($CC$3,0,0,'Données projet'!$E$12+1,1))-AVERAGE(OFFSET($H$3,0,0,'Données projet'!$E$12+1,1))</f>
        <v>310.53598044763282</v>
      </c>
      <c r="CE146" s="62">
        <f t="shared" si="148"/>
        <v>322.01096634040596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projet'!$B$12,Paramètres!$A$1:$I$88,7,0))</f>
        <v>0</v>
      </c>
      <c r="CI146" s="17">
        <f>IF(ISNA(VLOOKUP(A146,'Données projet'!$A$113:$I$133,6,0)),0%,VLOOKUP(A146,'Données projet'!$A$113:$I$133,6,0)*VLOOKUP('Données projet'!$B$12,Paramètres!$A$1:$I$88,7,0))</f>
        <v>0</v>
      </c>
      <c r="CJ146" s="17">
        <f>IF(ISNA(VLOOKUP(A146,'Données projet'!$A$113:$I$133,7,0)),0%,VLOOKUP(A146,'Données projet'!$A$113:$I$133,7,0))</f>
        <v>0</v>
      </c>
      <c r="CK146" s="23">
        <f>EXP(-LN(2)/35)*CK145+(1-EXP(-LN(2)/35))/(LN(2)/35)*CG146*CH146*VLOOKUP('Données projet'!$B$12,Paramètres!$A$1:$I$88,3,0)*0.475*44/12</f>
        <v>13.972484966166585</v>
      </c>
      <c r="CL146" s="23">
        <f>EXP(-LN(2)/25)*CL145+(1-EXP(-LN(2)/25))/(LN(2)/25)*Calculateur!CG146*Calculateur!CI146*VLOOKUP('Données projet'!$B$12,Paramètres!$A$1:$I$88,3,0)*0.475*44/12</f>
        <v>0</v>
      </c>
      <c r="CM146" s="23">
        <f>EXP(-LN(2)/2)*CM145+(1-EXP(-LN(2)/2))/(LN(2)/2)*CG146*CJ146*VLOOKUP('Données projet'!$B$12,Paramètres!$A$1:$I$88,3,0)*0.475*44/12</f>
        <v>0</v>
      </c>
      <c r="CN146" s="24">
        <f t="shared" si="120"/>
        <v>13.972484966166585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69.283549628743359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projet'!$B$13,Paramètres!$A$1:$I$88,3,0)*VLOOKUP('Données projet'!$B$13,Paramètres!$A$1:$I$88,5,0)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projet'!$B$13,Paramètres!$A$1:$I$88,7,0))</f>
        <v>0</v>
      </c>
      <c r="DD146" s="17">
        <f>IF(ISNA(VLOOKUP(A146,'Données projet'!$A$139:$I$159,6,0)),0%,VLOOKUP(A146,'Données projet'!$A$139:$I$159,6,0)*VLOOKUP('Données projet'!$B$13,Paramètres!$A$1:$I$88,7,0))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projet'!$B$13,Paramètres!$A$1:$I$88,3,0)*0.475*44/12</f>
        <v>#N/A</v>
      </c>
      <c r="DG146" s="23" t="e">
        <f>EXP(-LN(2)/25)*DG145+(1-EXP(-LN(2)/25))/(LN(2)/25)*Calculateur!DB146*Calculateur!DD146*VLOOKUP('Données projet'!$B$13,Paramètres!$A$1:$I$88,3,0)*0.475*44/12</f>
        <v>#N/A</v>
      </c>
      <c r="DH146" s="23" t="e">
        <f>EXP(-LN(2)/2)*DH145+(1-EXP(-LN(2)/2))/(LN(2)/2)*DB146*DE146*VLOOKUP('Données projet'!$B$13,Paramètres!$A$1:$I$88,3,0)*0.475*44/12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69.283549628743359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projet'!$B$14,Paramètres!$A$1:$I$88,3,0)*VLOOKUP('Données projet'!$B$14,Paramètres!$A$1:$I$88,5,0)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projet'!$B$14,Paramètres!$A$1:$I$88,7,0))</f>
        <v>0</v>
      </c>
      <c r="DY146" s="17">
        <f>IF(ISNA(VLOOKUP(A146,'Données projet'!$A$165:$I$185,6,0)),0%,VLOOKUP(A146,'Données projet'!$A$165:$I$185,6,0)*VLOOKUP('Données projet'!$B$14,Paramètres!$A$1:$I$88,7,0))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projet'!$B$14,Paramètres!$A$1:$I$88,3,0)*0.475*44/12</f>
        <v>#N/A</v>
      </c>
      <c r="EB146" s="23" t="e">
        <f>EXP(-LN(2)/25)*EB145+(1-EXP(-LN(2)/25))/(LN(2)/25)*Calculateur!DW146*Calculateur!DY146*VLOOKUP('Données projet'!$B$14,Paramètres!$A$1:$I$88,3,0)*0.475*44/12</f>
        <v>#N/A</v>
      </c>
      <c r="EC146" s="23" t="e">
        <f>EXP(-LN(2)/2)*EC145+(1-EXP(-LN(2)/2))/(LN(2)/2)*DW146*DZ146*VLOOKUP('Données projet'!$B$14,Paramètres!$A$1:$I$88,3,0)*0.475*44/12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69.283549628743359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projet'!$B$15,Paramètres!$A$1:$I$88,3,0)*VLOOKUP('Données projet'!$B$15,Paramètres!$A$1:$I$88,5,0)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projet'!$B$15,Paramètres!$A$1:$I$88,7,0))</f>
        <v>0</v>
      </c>
      <c r="ET146" s="17">
        <f>IF(ISNA(VLOOKUP(A146,'Données projet'!$A$191:$I$211,6,0)),0%,VLOOKUP(A146,'Données projet'!$A$191:$I$211,6,0)*VLOOKUP('Données projet'!$B$15,Paramètres!$A$1:$I$88,7,0))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projet'!$B$15,Paramètres!$A$1:$I$88,3,0)*0.475*44/12</f>
        <v>#N/A</v>
      </c>
      <c r="EW146" s="23" t="e">
        <f>EXP(-LN(2)/25)*EW145+(1-EXP(-LN(2)/25))/(LN(2)/25)*Calculateur!ER146*Calculateur!ET146*VLOOKUP('Données projet'!$B$15,Paramètres!$A$1:$I$88,3,0)*0.475*44/12</f>
        <v>#N/A</v>
      </c>
      <c r="EX146" s="23" t="e">
        <f>EXP(-LN(2)/2)*EX145+(1-EXP(-LN(2)/2))/(LN(2)/2)*ER146*EU146*VLOOKUP('Données projet'!$B$15,Paramètres!$A$1:$I$88,3,0)*0.475*44/12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69.283549628743359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projet'!$B$16,Paramètres!$A$1:$I$88,3,0)*VLOOKUP('Données projet'!$B$16,Paramètres!$A$1:$I$88,5,0)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projet'!$B$16,Paramètres!$A$1:$I$88,7,0))</f>
        <v>0</v>
      </c>
      <c r="FO146" s="17">
        <f>IF(ISNA(VLOOKUP(A146,'Données projet'!$A$217:$I$237,6,0)),0%,VLOOKUP(A146,'Données projet'!$A$217:$I$237,6,0)*VLOOKUP('Données projet'!$B$16,Paramètres!$A$1:$I$88,7,0))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projet'!$B$16,Paramètres!$A$1:$I$88,3,0)*0.475*44/12</f>
        <v>#N/A</v>
      </c>
      <c r="FR146" s="23" t="e">
        <f>EXP(-LN(2)/25)*FR145+(1-EXP(-LN(2)/25))/(LN(2)/25)*Calculateur!FM146*Calculateur!FO146*VLOOKUP('Données projet'!$B$16,Paramètres!$A$1:$I$88,3,0)*0.475*44/12</f>
        <v>#N/A</v>
      </c>
      <c r="FS146" s="23" t="e">
        <f>EXP(-LN(2)/2)*FS145+(1-EXP(-LN(2)/2))/(LN(2)/2)*FM146*FP146*VLOOKUP('Données projet'!$B$16,Paramètres!$A$1:$I$88,3,0)*0.475*44/12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69.283549628743359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projet'!$B$17,Paramètres!$A$1:$I$88,3,0)*VLOOKUP('Données projet'!$B$17,Paramètres!$A$1:$I$88,5,0)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projet'!$B$17,Paramètres!$A$1:$I$88,7,0))</f>
        <v>0</v>
      </c>
      <c r="GJ146" s="17">
        <f>IF(ISNA(VLOOKUP(A146,'Données projet'!$A$243:$I$263,6,0)),0%,VLOOKUP(A146,'Données projet'!$A$243:$I$263,6,0)*VLOOKUP('Données projet'!$B$17,Paramètres!$A$1:$I$88,7,0))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projet'!$B$17,Paramètres!$A$1:$I$88,3,0)*0.475*44/12</f>
        <v>#N/A</v>
      </c>
      <c r="GM146" s="23" t="e">
        <f>EXP(-LN(2)/25)*GM145+(1-EXP(-LN(2)/25))/(LN(2)/25)*Calculateur!GH146*Calculateur!GJ146*VLOOKUP('Données projet'!$B$17,Paramètres!$A$1:$I$88,3,0)*0.475*44/12</f>
        <v>#N/A</v>
      </c>
      <c r="GN146" s="23" t="e">
        <f>EXP(-LN(2)/2)*GN145+(1-EXP(-LN(2)/2))/(LN(2)/2)*GH146*GK146*VLOOKUP('Données projet'!$B$17,Paramètres!$A$1:$I$88,3,0)*0.475*44/12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69.283549628743359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projet'!$B$18,Paramètres!$A$1:$I$88,3,0)*VLOOKUP('Données projet'!$B$18,Paramètres!$A$1:$I$88,5,0)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projet'!$B$18,Paramètres!$A$1:$I$88,7,0))</f>
        <v>0</v>
      </c>
      <c r="HE146" s="17">
        <f>IF(ISNA(VLOOKUP(A146,'Données projet'!$A$269:$I$289,6,0)),0%,VLOOKUP(A146,'Données projet'!$A$269:$I$289,6,0)*VLOOKUP('Données projet'!$B$18,Paramètres!$A$1:$I$88,7,0))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projet'!$B$18,Paramètres!$A$1:$I$88,3,0)*0.475*44/12</f>
        <v>#N/A</v>
      </c>
      <c r="HH146" s="23" t="e">
        <f>EXP(-LN(2)/25)*HH145+(1-EXP(-LN(2)/25))/(LN(2)/25)*Calculateur!HC146*Calculateur!HE146*VLOOKUP('Données projet'!$B$18,Paramètres!$A$1:$I$88,3,0)*0.475*44/12</f>
        <v>#N/A</v>
      </c>
      <c r="HI146" s="23" t="e">
        <f>EXP(-LN(2)/2)*HI145+(1-EXP(-LN(2)/2))/(LN(2)/2)*HC146*HF146*VLOOKUP('Données projet'!$B$18,Paramètres!$A$1:$I$88,3,0)*0.475*44/12</f>
        <v>#N/A</v>
      </c>
      <c r="HJ146" s="24" t="e">
        <f t="shared" si="138"/>
        <v>#N/A</v>
      </c>
    </row>
    <row r="147" spans="1:218" s="5" customFormat="1" x14ac:dyDescent="0.35">
      <c r="A147" s="11">
        <f t="shared" si="139"/>
        <v>144</v>
      </c>
      <c r="B147" s="77">
        <f>'Scénario référence'!$B$16*5+'Scénario référence'!$B$17*0+'Scénario référence'!$B$18*5</f>
        <v>1.75</v>
      </c>
      <c r="C147" s="20">
        <f>Calculateur!C146+'Scénario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47" s="12">
        <f t="shared" si="140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6.416666666666667</v>
      </c>
      <c r="H147" s="70">
        <f t="shared" si="110"/>
        <v>231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69.295978440941596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3.4106051316484809E-13</v>
      </c>
      <c r="O147" s="14">
        <f>N147*VLOOKUP('Données projet'!$B$9,Paramètres!$A$1:$I$88,3,0)*VLOOKUP('Données projet'!$B$9,Paramètres!$A$1:$I$88,5,0)</f>
        <v>1.9065282685915009E-13</v>
      </c>
      <c r="P147" s="14">
        <f t="shared" si="141"/>
        <v>2.6568987209435707E-12</v>
      </c>
      <c r="Q147" s="22">
        <f t="shared" si="108"/>
        <v>4.959485612423072E-12</v>
      </c>
      <c r="R147" s="62">
        <f t="shared" si="109"/>
        <v>290.75192095012414</v>
      </c>
      <c r="S147" s="62">
        <f ca="1">AVERAGE(OFFSET($R$3,0,0,'Données projet'!$E$9+1,1))-AVERAGE(OFFSET($H$3,0,0,'Données projet'!$E$9+1,1))</f>
        <v>341.05096821796769</v>
      </c>
      <c r="T147" s="62">
        <f t="shared" si="142"/>
        <v>400.72519822215168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projet'!$B$9,Paramètres!$A$1:$I$88,7,0))</f>
        <v>0</v>
      </c>
      <c r="X147" s="17">
        <f>IF(ISNA(VLOOKUP(A147,'Données projet'!$A$35:$I$55,6,0)),0%,VLOOKUP(A147,'Données projet'!$A$35:$I$55,6,0)*VLOOKUP('Données projet'!$B$9,Paramètres!$A$1:$I$88,7,0))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projet'!$B$9,Paramètres!$A$1:$I$88,3,0)*0.475*44/12</f>
        <v>45.40053156675858</v>
      </c>
      <c r="AA147" s="23">
        <f>EXP(-LN(2)/25)*AA146+(1-EXP(-LN(2)/25))/(LN(2)/25)*Calculateur!V147*Calculateur!X147*VLOOKUP('Données projet'!$B$9,Paramètres!$A$1:$I$88,3,0)*0.475*44/12</f>
        <v>12.907286692221337</v>
      </c>
      <c r="AB147" s="23">
        <f>EXP(-LN(2)/2)*AB146+(1-EXP(-LN(2)/2))/(LN(2)/2)*V147*Y147*VLOOKUP('Données projet'!$B$9,Paramètres!$A$1:$I$88,3,0)*0.475*44/12</f>
        <v>0</v>
      </c>
      <c r="AC147" s="24">
        <f t="shared" si="111"/>
        <v>58.307818258979921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69.295978440941596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5.6843418860808015E-14</v>
      </c>
      <c r="AJ147" s="14">
        <f>AI147*VLOOKUP('Données projet'!$B$10,Paramètres!$A$1:$I$88,3,0)*VLOOKUP('Données projet'!$B$10,Paramètres!$A$1:$I$88,5,0)</f>
        <v>3.3992364478763198E-14</v>
      </c>
      <c r="AK147" s="14">
        <f t="shared" si="143"/>
        <v>5.790027782444094E-13</v>
      </c>
      <c r="AL147" s="22">
        <f t="shared" si="112"/>
        <v>1.0676332069095257E-12</v>
      </c>
      <c r="AM147" s="62">
        <f t="shared" si="113"/>
        <v>290.75192095012028</v>
      </c>
      <c r="AN147" s="62">
        <f ca="1">AVERAGE(OFFSET($AM$3,0,0,'Données projet'!$E$10+1,1))-AVERAGE(OFFSET($H$3,0,0,'Données projet'!$E$10+1,1))</f>
        <v>231.96474801342879</v>
      </c>
      <c r="AO147" s="62">
        <f t="shared" si="144"/>
        <v>237.75726086383668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projet'!$B$10,Paramètres!$A$1:$I$88,7,0))</f>
        <v>0</v>
      </c>
      <c r="AS147" s="17">
        <f>IF(ISNA(VLOOKUP(A147,'Données projet'!$A$61:$I$81,6,0)),0%,VLOOKUP(A147,'Données projet'!$A$61:$I$81,6,0)*VLOOKUP('Données projet'!$B$10,Paramètres!$A$1:$I$88,7,0))</f>
        <v>0</v>
      </c>
      <c r="AT147" s="17">
        <f>IF(ISNA(VLOOKUP(A147,'Données projet'!$A$61:$I$81,7,0)),0%,VLOOKUP(A147,'Données projet'!$A$61:$I$81,7,0))</f>
        <v>0</v>
      </c>
      <c r="AU147" s="23">
        <f>EXP(-LN(2)/35)*AU146+(1-EXP(-LN(2)/35))/(LN(2)/35)*AQ147*AR147*VLOOKUP('Données projet'!$B$10,Paramètres!$A$1:$I$88,3,0)*0.475*44/12</f>
        <v>17.903678340471174</v>
      </c>
      <c r="AV147" s="23">
        <f>EXP(-LN(2)/25)*AV146+(1-EXP(-LN(2)/25))/(LN(2)/25)*Calculateur!AQ147*Calculateur!AS147*VLOOKUP('Données projet'!$B$10,Paramètres!$A$1:$I$88,3,0)*0.475*44/12</f>
        <v>5.4504208280166884</v>
      </c>
      <c r="AW147" s="23">
        <f>EXP(-LN(2)/2)*AW146+(1-EXP(-LN(2)/2))/(LN(2)/2)*AQ147*AT147*VLOOKUP('Données projet'!$B$10,Paramètres!$A$1:$I$88,3,0)*0.475*44/12</f>
        <v>0</v>
      </c>
      <c r="AX147" s="23">
        <f t="shared" si="114"/>
        <v>23.354099168487863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69.295978440941596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6.8212102632969618E-13</v>
      </c>
      <c r="BE147" s="14">
        <f>BD147*VLOOKUP('Données projet'!$B$11,Paramètres!$A$1:$I$88,3,0)*VLOOKUP('Données projet'!$B$11,Paramètres!$A$1:$I$88,5,0)</f>
        <v>3.1923264032229784E-13</v>
      </c>
      <c r="BF147" s="14">
        <f t="shared" si="145"/>
        <v>4.1896839804541558E-12</v>
      </c>
      <c r="BG147" s="22">
        <f t="shared" si="115"/>
        <v>7.8530297811856558E-12</v>
      </c>
      <c r="BH147" s="62">
        <f t="shared" si="116"/>
        <v>290.75192095012704</v>
      </c>
      <c r="BI147" s="62">
        <f ca="1">AVERAGE(OFFSET($BH$3,0,0,'Données projet'!$E$11+1,1))-AVERAGE(OFFSET($H$3,0,0,'Données projet'!$E$11+1,1))</f>
        <v>364.96458059055169</v>
      </c>
      <c r="BJ147" s="62">
        <f t="shared" si="146"/>
        <v>246.27159120786257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projet'!$B$11,Paramètres!$A$1:$I$88,7,0))</f>
        <v>0</v>
      </c>
      <c r="BN147" s="17">
        <f>IF(ISNA(VLOOKUP(A147,'Données projet'!$A$87:$I$107,6,0)),0%,VLOOKUP(A147,'Données projet'!$A$87:$I$107,6,0)*VLOOKUP('Données projet'!$B$11,Paramètres!$A$1:$I$88,7,0))</f>
        <v>0</v>
      </c>
      <c r="BO147" s="17">
        <f>IF(ISNA(VLOOKUP(A147,'Données projet'!$A$87:$I$107,7,0)),0%,VLOOKUP(A147,'Données projet'!$A$87:$I$107,7,0))</f>
        <v>0</v>
      </c>
      <c r="BP147" s="23">
        <f>EXP(-LN(2)/35)*BP146+(1-EXP(-LN(2)/35))/(LN(2)/35)*BL147*BM147*VLOOKUP('Données projet'!$B$11,Paramètres!$A$1:$I$88,3,0)*0.475*44/12</f>
        <v>99.599062742560989</v>
      </c>
      <c r="BQ147" s="23">
        <f>EXP(-LN(2)/25)*BQ146+(1-EXP(-LN(2)/25))/(LN(2)/25)*Calculateur!BL147*Calculateur!BN147*VLOOKUP('Données projet'!$B$11,Paramètres!$A$1:$I$88,3,0)*0.475*44/12</f>
        <v>29.761199502717172</v>
      </c>
      <c r="BR147" s="23">
        <f>EXP(-LN(2)/2)*BR146+(1-EXP(-LN(2)/2))/(LN(2)/2)*BL147*BO147*VLOOKUP('Données projet'!$B$11,Paramètres!$A$1:$I$88,3,0)*0.475*44/12</f>
        <v>0</v>
      </c>
      <c r="BS147" s="24">
        <f t="shared" si="117"/>
        <v>129.36026224527816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69.295978440941596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-1.1368683772161603E-13</v>
      </c>
      <c r="BZ147" s="14">
        <f>BY147*VLOOKUP('Données projet'!$B$12,Paramètres!$A$1:$I$88,3,0)*VLOOKUP('Données projet'!$B$12,Paramètres!$A$1:$I$88,5,0)</f>
        <v>-1.1527845344971866E-13</v>
      </c>
      <c r="CA147" s="14" t="e">
        <f t="shared" si="147"/>
        <v>#NUM!</v>
      </c>
      <c r="CB147" s="22" t="e">
        <f t="shared" si="118"/>
        <v>#NUM!</v>
      </c>
      <c r="CC147" s="62" t="e">
        <f t="shared" si="119"/>
        <v>#NUM!</v>
      </c>
      <c r="CD147" s="62">
        <f ca="1">AVERAGE(OFFSET($CC$3,0,0,'Données projet'!$E$12+1,1))-AVERAGE(OFFSET($H$3,0,0,'Données projet'!$E$12+1,1))</f>
        <v>310.53598044763282</v>
      </c>
      <c r="CE147" s="62">
        <f t="shared" si="148"/>
        <v>322.01096634040596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projet'!$B$12,Paramètres!$A$1:$I$88,7,0))</f>
        <v>0</v>
      </c>
      <c r="CI147" s="17">
        <f>IF(ISNA(VLOOKUP(A147,'Données projet'!$A$113:$I$133,6,0)),0%,VLOOKUP(A147,'Données projet'!$A$113:$I$133,6,0)*VLOOKUP('Données projet'!$B$12,Paramètres!$A$1:$I$88,7,0))</f>
        <v>0</v>
      </c>
      <c r="CJ147" s="17">
        <f>IF(ISNA(VLOOKUP(A147,'Données projet'!$A$113:$I$133,7,0)),0%,VLOOKUP(A147,'Données projet'!$A$113:$I$133,7,0))</f>
        <v>0</v>
      </c>
      <c r="CK147" s="23">
        <f>EXP(-LN(2)/35)*CK146+(1-EXP(-LN(2)/35))/(LN(2)/35)*CG147*CH147*VLOOKUP('Données projet'!$B$12,Paramètres!$A$1:$I$88,3,0)*0.475*44/12</f>
        <v>13.698493058354373</v>
      </c>
      <c r="CL147" s="23">
        <f>EXP(-LN(2)/25)*CL146+(1-EXP(-LN(2)/25))/(LN(2)/25)*Calculateur!CG147*Calculateur!CI147*VLOOKUP('Données projet'!$B$12,Paramètres!$A$1:$I$88,3,0)*0.475*44/12</f>
        <v>0</v>
      </c>
      <c r="CM147" s="23">
        <f>EXP(-LN(2)/2)*CM146+(1-EXP(-LN(2)/2))/(LN(2)/2)*CG147*CJ147*VLOOKUP('Données projet'!$B$12,Paramètres!$A$1:$I$88,3,0)*0.475*44/12</f>
        <v>0</v>
      </c>
      <c r="CN147" s="24">
        <f t="shared" si="120"/>
        <v>13.698493058354373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69.295978440941596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projet'!$B$13,Paramètres!$A$1:$I$88,3,0)*VLOOKUP('Données projet'!$B$13,Paramètres!$A$1:$I$88,5,0)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projet'!$B$13,Paramètres!$A$1:$I$88,7,0))</f>
        <v>0</v>
      </c>
      <c r="DD147" s="17">
        <f>IF(ISNA(VLOOKUP(A147,'Données projet'!$A$139:$I$159,6,0)),0%,VLOOKUP(A147,'Données projet'!$A$139:$I$159,6,0)*VLOOKUP('Données projet'!$B$13,Paramètres!$A$1:$I$88,7,0))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projet'!$B$13,Paramètres!$A$1:$I$88,3,0)*0.475*44/12</f>
        <v>#N/A</v>
      </c>
      <c r="DG147" s="23" t="e">
        <f>EXP(-LN(2)/25)*DG146+(1-EXP(-LN(2)/25))/(LN(2)/25)*Calculateur!DB147*Calculateur!DD147*VLOOKUP('Données projet'!$B$13,Paramètres!$A$1:$I$88,3,0)*0.475*44/12</f>
        <v>#N/A</v>
      </c>
      <c r="DH147" s="23" t="e">
        <f>EXP(-LN(2)/2)*DH146+(1-EXP(-LN(2)/2))/(LN(2)/2)*DB147*DE147*VLOOKUP('Données projet'!$B$13,Paramètres!$A$1:$I$88,3,0)*0.475*44/12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69.295978440941596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projet'!$B$14,Paramètres!$A$1:$I$88,3,0)*VLOOKUP('Données projet'!$B$14,Paramètres!$A$1:$I$88,5,0)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projet'!$B$14,Paramètres!$A$1:$I$88,7,0))</f>
        <v>0</v>
      </c>
      <c r="DY147" s="17">
        <f>IF(ISNA(VLOOKUP(A147,'Données projet'!$A$165:$I$185,6,0)),0%,VLOOKUP(A147,'Données projet'!$A$165:$I$185,6,0)*VLOOKUP('Données projet'!$B$14,Paramètres!$A$1:$I$88,7,0))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projet'!$B$14,Paramètres!$A$1:$I$88,3,0)*0.475*44/12</f>
        <v>#N/A</v>
      </c>
      <c r="EB147" s="23" t="e">
        <f>EXP(-LN(2)/25)*EB146+(1-EXP(-LN(2)/25))/(LN(2)/25)*Calculateur!DW147*Calculateur!DY147*VLOOKUP('Données projet'!$B$14,Paramètres!$A$1:$I$88,3,0)*0.475*44/12</f>
        <v>#N/A</v>
      </c>
      <c r="EC147" s="23" t="e">
        <f>EXP(-LN(2)/2)*EC146+(1-EXP(-LN(2)/2))/(LN(2)/2)*DW147*DZ147*VLOOKUP('Données projet'!$B$14,Paramètres!$A$1:$I$88,3,0)*0.475*44/12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69.295978440941596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projet'!$B$15,Paramètres!$A$1:$I$88,3,0)*VLOOKUP('Données projet'!$B$15,Paramètres!$A$1:$I$88,5,0)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projet'!$B$15,Paramètres!$A$1:$I$88,7,0))</f>
        <v>0</v>
      </c>
      <c r="ET147" s="17">
        <f>IF(ISNA(VLOOKUP(A147,'Données projet'!$A$191:$I$211,6,0)),0%,VLOOKUP(A147,'Données projet'!$A$191:$I$211,6,0)*VLOOKUP('Données projet'!$B$15,Paramètres!$A$1:$I$88,7,0))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projet'!$B$15,Paramètres!$A$1:$I$88,3,0)*0.475*44/12</f>
        <v>#N/A</v>
      </c>
      <c r="EW147" s="23" t="e">
        <f>EXP(-LN(2)/25)*EW146+(1-EXP(-LN(2)/25))/(LN(2)/25)*Calculateur!ER147*Calculateur!ET147*VLOOKUP('Données projet'!$B$15,Paramètres!$A$1:$I$88,3,0)*0.475*44/12</f>
        <v>#N/A</v>
      </c>
      <c r="EX147" s="23" t="e">
        <f>EXP(-LN(2)/2)*EX146+(1-EXP(-LN(2)/2))/(LN(2)/2)*ER147*EU147*VLOOKUP('Données projet'!$B$15,Paramètres!$A$1:$I$88,3,0)*0.475*44/12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69.295978440941596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projet'!$B$16,Paramètres!$A$1:$I$88,3,0)*VLOOKUP('Données projet'!$B$16,Paramètres!$A$1:$I$88,5,0)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projet'!$B$16,Paramètres!$A$1:$I$88,7,0))</f>
        <v>0</v>
      </c>
      <c r="FO147" s="17">
        <f>IF(ISNA(VLOOKUP(A147,'Données projet'!$A$217:$I$237,6,0)),0%,VLOOKUP(A147,'Données projet'!$A$217:$I$237,6,0)*VLOOKUP('Données projet'!$B$16,Paramètres!$A$1:$I$88,7,0))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projet'!$B$16,Paramètres!$A$1:$I$88,3,0)*0.475*44/12</f>
        <v>#N/A</v>
      </c>
      <c r="FR147" s="23" t="e">
        <f>EXP(-LN(2)/25)*FR146+(1-EXP(-LN(2)/25))/(LN(2)/25)*Calculateur!FM147*Calculateur!FO147*VLOOKUP('Données projet'!$B$16,Paramètres!$A$1:$I$88,3,0)*0.475*44/12</f>
        <v>#N/A</v>
      </c>
      <c r="FS147" s="23" t="e">
        <f>EXP(-LN(2)/2)*FS146+(1-EXP(-LN(2)/2))/(LN(2)/2)*FM147*FP147*VLOOKUP('Données projet'!$B$16,Paramètres!$A$1:$I$88,3,0)*0.475*44/12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69.295978440941596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projet'!$B$17,Paramètres!$A$1:$I$88,3,0)*VLOOKUP('Données projet'!$B$17,Paramètres!$A$1:$I$88,5,0)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projet'!$B$17,Paramètres!$A$1:$I$88,7,0))</f>
        <v>0</v>
      </c>
      <c r="GJ147" s="17">
        <f>IF(ISNA(VLOOKUP(A147,'Données projet'!$A$243:$I$263,6,0)),0%,VLOOKUP(A147,'Données projet'!$A$243:$I$263,6,0)*VLOOKUP('Données projet'!$B$17,Paramètres!$A$1:$I$88,7,0))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projet'!$B$17,Paramètres!$A$1:$I$88,3,0)*0.475*44/12</f>
        <v>#N/A</v>
      </c>
      <c r="GM147" s="23" t="e">
        <f>EXP(-LN(2)/25)*GM146+(1-EXP(-LN(2)/25))/(LN(2)/25)*Calculateur!GH147*Calculateur!GJ147*VLOOKUP('Données projet'!$B$17,Paramètres!$A$1:$I$88,3,0)*0.475*44/12</f>
        <v>#N/A</v>
      </c>
      <c r="GN147" s="23" t="e">
        <f>EXP(-LN(2)/2)*GN146+(1-EXP(-LN(2)/2))/(LN(2)/2)*GH147*GK147*VLOOKUP('Données projet'!$B$17,Paramètres!$A$1:$I$88,3,0)*0.475*44/12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69.295978440941596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projet'!$B$18,Paramètres!$A$1:$I$88,3,0)*VLOOKUP('Données projet'!$B$18,Paramètres!$A$1:$I$88,5,0)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projet'!$B$18,Paramètres!$A$1:$I$88,7,0))</f>
        <v>0</v>
      </c>
      <c r="HE147" s="17">
        <f>IF(ISNA(VLOOKUP(A147,'Données projet'!$A$269:$I$289,6,0)),0%,VLOOKUP(A147,'Données projet'!$A$269:$I$289,6,0)*VLOOKUP('Données projet'!$B$18,Paramètres!$A$1:$I$88,7,0))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projet'!$B$18,Paramètres!$A$1:$I$88,3,0)*0.475*44/12</f>
        <v>#N/A</v>
      </c>
      <c r="HH147" s="23" t="e">
        <f>EXP(-LN(2)/25)*HH146+(1-EXP(-LN(2)/25))/(LN(2)/25)*Calculateur!HC147*Calculateur!HE147*VLOOKUP('Données projet'!$B$18,Paramètres!$A$1:$I$88,3,0)*0.475*44/12</f>
        <v>#N/A</v>
      </c>
      <c r="HI147" s="23" t="e">
        <f>EXP(-LN(2)/2)*HI146+(1-EXP(-LN(2)/2))/(LN(2)/2)*HC147*HF147*VLOOKUP('Données projet'!$B$18,Paramètres!$A$1:$I$88,3,0)*0.475*44/12</f>
        <v>#N/A</v>
      </c>
      <c r="HJ147" s="24" t="e">
        <f t="shared" si="138"/>
        <v>#N/A</v>
      </c>
    </row>
    <row r="148" spans="1:218" s="5" customFormat="1" x14ac:dyDescent="0.35">
      <c r="A148" s="11">
        <f t="shared" si="139"/>
        <v>145</v>
      </c>
      <c r="B148" s="77">
        <f>'Scénario référence'!$B$16*5+'Scénario référence'!$B$17*0+'Scénario référence'!$B$18*5</f>
        <v>1.75</v>
      </c>
      <c r="C148" s="20">
        <f>Calculateur!C147+'Scénario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48" s="12">
        <f t="shared" si="140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6.416666666666667</v>
      </c>
      <c r="H148" s="70">
        <f t="shared" si="110"/>
        <v>231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69.308191641034838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3.4106051316484809E-13</v>
      </c>
      <c r="O148" s="14">
        <f>N148*VLOOKUP('Données projet'!$B$9,Paramètres!$A$1:$I$88,3,0)*VLOOKUP('Données projet'!$B$9,Paramètres!$A$1:$I$88,5,0)</f>
        <v>1.9065282685915009E-13</v>
      </c>
      <c r="P148" s="14">
        <f t="shared" si="141"/>
        <v>2.6568987209435707E-12</v>
      </c>
      <c r="Q148" s="22">
        <f t="shared" si="108"/>
        <v>4.959485612423072E-12</v>
      </c>
      <c r="R148" s="62">
        <f t="shared" si="109"/>
        <v>290.79670268379937</v>
      </c>
      <c r="S148" s="62">
        <f ca="1">AVERAGE(OFFSET($R$3,0,0,'Données projet'!$E$9+1,1))-AVERAGE(OFFSET($H$3,0,0,'Données projet'!$E$9+1,1))</f>
        <v>341.05096821796769</v>
      </c>
      <c r="T148" s="62">
        <f t="shared" si="142"/>
        <v>400.72519822215168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projet'!$B$9,Paramètres!$A$1:$I$88,7,0))</f>
        <v>0</v>
      </c>
      <c r="X148" s="17">
        <f>IF(ISNA(VLOOKUP(A148,'Données projet'!$A$35:$I$55,6,0)),0%,VLOOKUP(A148,'Données projet'!$A$35:$I$55,6,0)*VLOOKUP('Données projet'!$B$9,Paramètres!$A$1:$I$88,7,0))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projet'!$B$9,Paramètres!$A$1:$I$88,3,0)*0.475*44/12</f>
        <v>44.510254834324385</v>
      </c>
      <c r="AA148" s="23">
        <f>EXP(-LN(2)/25)*AA147+(1-EXP(-LN(2)/25))/(LN(2)/25)*Calculateur!V148*Calculateur!X148*VLOOKUP('Données projet'!$B$9,Paramètres!$A$1:$I$88,3,0)*0.475*44/12</f>
        <v>12.554336258857838</v>
      </c>
      <c r="AB148" s="23">
        <f>EXP(-LN(2)/2)*AB147+(1-EXP(-LN(2)/2))/(LN(2)/2)*V148*Y148*VLOOKUP('Données projet'!$B$9,Paramètres!$A$1:$I$88,3,0)*0.475*44/12</f>
        <v>0</v>
      </c>
      <c r="AC148" s="24">
        <f t="shared" si="111"/>
        <v>57.064591093182223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69.308191641034838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5.6843418860808015E-14</v>
      </c>
      <c r="AJ148" s="14">
        <f>AI148*VLOOKUP('Données projet'!$B$10,Paramètres!$A$1:$I$88,3,0)*VLOOKUP('Données projet'!$B$10,Paramètres!$A$1:$I$88,5,0)</f>
        <v>3.3992364478763198E-14</v>
      </c>
      <c r="AK148" s="14">
        <f t="shared" si="143"/>
        <v>5.790027782444094E-13</v>
      </c>
      <c r="AL148" s="22">
        <f t="shared" si="112"/>
        <v>1.0676332069095257E-12</v>
      </c>
      <c r="AM148" s="62">
        <f t="shared" si="113"/>
        <v>290.7967026837955</v>
      </c>
      <c r="AN148" s="62">
        <f ca="1">AVERAGE(OFFSET($AM$3,0,0,'Données projet'!$E$10+1,1))-AVERAGE(OFFSET($H$3,0,0,'Données projet'!$E$10+1,1))</f>
        <v>231.96474801342879</v>
      </c>
      <c r="AO148" s="62">
        <f t="shared" si="144"/>
        <v>237.75726086383668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projet'!$B$10,Paramètres!$A$1:$I$88,7,0))</f>
        <v>0</v>
      </c>
      <c r="AS148" s="17">
        <f>IF(ISNA(VLOOKUP(A148,'Données projet'!$A$61:$I$81,6,0)),0%,VLOOKUP(A148,'Données projet'!$A$61:$I$81,6,0)*VLOOKUP('Données projet'!$B$10,Paramètres!$A$1:$I$88,7,0))</f>
        <v>0</v>
      </c>
      <c r="AT148" s="17">
        <f>IF(ISNA(VLOOKUP(A148,'Données projet'!$A$61:$I$81,7,0)),0%,VLOOKUP(A148,'Données projet'!$A$61:$I$81,7,0))</f>
        <v>0</v>
      </c>
      <c r="AU148" s="23">
        <f>EXP(-LN(2)/35)*AU147+(1-EXP(-LN(2)/35))/(LN(2)/35)*AQ148*AR148*VLOOKUP('Données projet'!$B$10,Paramètres!$A$1:$I$88,3,0)*0.475*44/12</f>
        <v>17.552598128380044</v>
      </c>
      <c r="AV148" s="23">
        <f>EXP(-LN(2)/25)*AV147+(1-EXP(-LN(2)/25))/(LN(2)/25)*Calculateur!AQ148*Calculateur!AS148*VLOOKUP('Données projet'!$B$10,Paramètres!$A$1:$I$88,3,0)*0.475*44/12</f>
        <v>5.3013787838493975</v>
      </c>
      <c r="AW148" s="23">
        <f>EXP(-LN(2)/2)*AW147+(1-EXP(-LN(2)/2))/(LN(2)/2)*AQ148*AT148*VLOOKUP('Données projet'!$B$10,Paramètres!$A$1:$I$88,3,0)*0.475*44/12</f>
        <v>0</v>
      </c>
      <c r="AX148" s="23">
        <f t="shared" si="114"/>
        <v>22.853976912229442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69.308191641034838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6.8212102632969618E-13</v>
      </c>
      <c r="BE148" s="14">
        <f>BD148*VLOOKUP('Données projet'!$B$11,Paramètres!$A$1:$I$88,3,0)*VLOOKUP('Données projet'!$B$11,Paramètres!$A$1:$I$88,5,0)</f>
        <v>3.1923264032229784E-13</v>
      </c>
      <c r="BF148" s="14">
        <f t="shared" si="145"/>
        <v>4.1896839804541558E-12</v>
      </c>
      <c r="BG148" s="22">
        <f t="shared" si="115"/>
        <v>7.8530297811856558E-12</v>
      </c>
      <c r="BH148" s="62">
        <f t="shared" si="116"/>
        <v>290.79670268380227</v>
      </c>
      <c r="BI148" s="62">
        <f ca="1">AVERAGE(OFFSET($BH$3,0,0,'Données projet'!$E$11+1,1))-AVERAGE(OFFSET($H$3,0,0,'Données projet'!$E$11+1,1))</f>
        <v>364.96458059055169</v>
      </c>
      <c r="BJ148" s="62">
        <f t="shared" si="146"/>
        <v>246.27159120786257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projet'!$B$11,Paramètres!$A$1:$I$88,7,0))</f>
        <v>0</v>
      </c>
      <c r="BN148" s="17">
        <f>IF(ISNA(VLOOKUP(A148,'Données projet'!$A$87:$I$107,6,0)),0%,VLOOKUP(A148,'Données projet'!$A$87:$I$107,6,0)*VLOOKUP('Données projet'!$B$11,Paramètres!$A$1:$I$88,7,0))</f>
        <v>0</v>
      </c>
      <c r="BO148" s="17">
        <f>IF(ISNA(VLOOKUP(A148,'Données projet'!$A$87:$I$107,7,0)),0%,VLOOKUP(A148,'Données projet'!$A$87:$I$107,7,0))</f>
        <v>0</v>
      </c>
      <c r="BP148" s="23">
        <f>EXP(-LN(2)/35)*BP147+(1-EXP(-LN(2)/35))/(LN(2)/35)*BL148*BM148*VLOOKUP('Données projet'!$B$11,Paramètres!$A$1:$I$88,3,0)*0.475*44/12</f>
        <v>97.645985871609128</v>
      </c>
      <c r="BQ148" s="23">
        <f>EXP(-LN(2)/25)*BQ147+(1-EXP(-LN(2)/25))/(LN(2)/25)*Calculateur!BL148*Calculateur!BN148*VLOOKUP('Données projet'!$B$11,Paramètres!$A$1:$I$88,3,0)*0.475*44/12</f>
        <v>28.94737793724191</v>
      </c>
      <c r="BR148" s="23">
        <f>EXP(-LN(2)/2)*BR147+(1-EXP(-LN(2)/2))/(LN(2)/2)*BL148*BO148*VLOOKUP('Données projet'!$B$11,Paramètres!$A$1:$I$88,3,0)*0.475*44/12</f>
        <v>0</v>
      </c>
      <c r="BS148" s="24">
        <f t="shared" si="117"/>
        <v>126.59336380885104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69.308191641034838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-1.1368683772161603E-13</v>
      </c>
      <c r="BZ148" s="14">
        <f>BY148*VLOOKUP('Données projet'!$B$12,Paramètres!$A$1:$I$88,3,0)*VLOOKUP('Données projet'!$B$12,Paramètres!$A$1:$I$88,5,0)</f>
        <v>-1.1527845344971866E-13</v>
      </c>
      <c r="CA148" s="14" t="e">
        <f t="shared" si="147"/>
        <v>#NUM!</v>
      </c>
      <c r="CB148" s="22" t="e">
        <f t="shared" si="118"/>
        <v>#NUM!</v>
      </c>
      <c r="CC148" s="62" t="e">
        <f t="shared" si="119"/>
        <v>#NUM!</v>
      </c>
      <c r="CD148" s="62">
        <f ca="1">AVERAGE(OFFSET($CC$3,0,0,'Données projet'!$E$12+1,1))-AVERAGE(OFFSET($H$3,0,0,'Données projet'!$E$12+1,1))</f>
        <v>310.53598044763282</v>
      </c>
      <c r="CE148" s="62">
        <f t="shared" si="148"/>
        <v>322.01096634040596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projet'!$B$12,Paramètres!$A$1:$I$88,7,0))</f>
        <v>0</v>
      </c>
      <c r="CI148" s="17">
        <f>IF(ISNA(VLOOKUP(A148,'Données projet'!$A$113:$I$133,6,0)),0%,VLOOKUP(A148,'Données projet'!$A$113:$I$133,6,0)*VLOOKUP('Données projet'!$B$12,Paramètres!$A$1:$I$88,7,0))</f>
        <v>0</v>
      </c>
      <c r="CJ148" s="17">
        <f>IF(ISNA(VLOOKUP(A148,'Données projet'!$A$113:$I$133,7,0)),0%,VLOOKUP(A148,'Données projet'!$A$113:$I$133,7,0))</f>
        <v>0</v>
      </c>
      <c r="CK148" s="23">
        <f>EXP(-LN(2)/35)*CK147+(1-EXP(-LN(2)/35))/(LN(2)/35)*CG148*CH148*VLOOKUP('Données projet'!$B$12,Paramètres!$A$1:$I$88,3,0)*0.475*44/12</f>
        <v>13.429873964735796</v>
      </c>
      <c r="CL148" s="23">
        <f>EXP(-LN(2)/25)*CL147+(1-EXP(-LN(2)/25))/(LN(2)/25)*Calculateur!CG148*Calculateur!CI148*VLOOKUP('Données projet'!$B$12,Paramètres!$A$1:$I$88,3,0)*0.475*44/12</f>
        <v>0</v>
      </c>
      <c r="CM148" s="23">
        <f>EXP(-LN(2)/2)*CM147+(1-EXP(-LN(2)/2))/(LN(2)/2)*CG148*CJ148*VLOOKUP('Données projet'!$B$12,Paramètres!$A$1:$I$88,3,0)*0.475*44/12</f>
        <v>0</v>
      </c>
      <c r="CN148" s="24">
        <f t="shared" si="120"/>
        <v>13.429873964735796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69.308191641034838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projet'!$B$13,Paramètres!$A$1:$I$88,3,0)*VLOOKUP('Données projet'!$B$13,Paramètres!$A$1:$I$88,5,0)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projet'!$B$13,Paramètres!$A$1:$I$88,7,0))</f>
        <v>0</v>
      </c>
      <c r="DD148" s="17">
        <f>IF(ISNA(VLOOKUP(A148,'Données projet'!$A$139:$I$159,6,0)),0%,VLOOKUP(A148,'Données projet'!$A$139:$I$159,6,0)*VLOOKUP('Données projet'!$B$13,Paramètres!$A$1:$I$88,7,0))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projet'!$B$13,Paramètres!$A$1:$I$88,3,0)*0.475*44/12</f>
        <v>#N/A</v>
      </c>
      <c r="DG148" s="23" t="e">
        <f>EXP(-LN(2)/25)*DG147+(1-EXP(-LN(2)/25))/(LN(2)/25)*Calculateur!DB148*Calculateur!DD148*VLOOKUP('Données projet'!$B$13,Paramètres!$A$1:$I$88,3,0)*0.475*44/12</f>
        <v>#N/A</v>
      </c>
      <c r="DH148" s="23" t="e">
        <f>EXP(-LN(2)/2)*DH147+(1-EXP(-LN(2)/2))/(LN(2)/2)*DB148*DE148*VLOOKUP('Données projet'!$B$13,Paramètres!$A$1:$I$88,3,0)*0.475*44/12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69.308191641034838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projet'!$B$14,Paramètres!$A$1:$I$88,3,0)*VLOOKUP('Données projet'!$B$14,Paramètres!$A$1:$I$88,5,0)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projet'!$B$14,Paramètres!$A$1:$I$88,7,0))</f>
        <v>0</v>
      </c>
      <c r="DY148" s="17">
        <f>IF(ISNA(VLOOKUP(A148,'Données projet'!$A$165:$I$185,6,0)),0%,VLOOKUP(A148,'Données projet'!$A$165:$I$185,6,0)*VLOOKUP('Données projet'!$B$14,Paramètres!$A$1:$I$88,7,0))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projet'!$B$14,Paramètres!$A$1:$I$88,3,0)*0.475*44/12</f>
        <v>#N/A</v>
      </c>
      <c r="EB148" s="23" t="e">
        <f>EXP(-LN(2)/25)*EB147+(1-EXP(-LN(2)/25))/(LN(2)/25)*Calculateur!DW148*Calculateur!DY148*VLOOKUP('Données projet'!$B$14,Paramètres!$A$1:$I$88,3,0)*0.475*44/12</f>
        <v>#N/A</v>
      </c>
      <c r="EC148" s="23" t="e">
        <f>EXP(-LN(2)/2)*EC147+(1-EXP(-LN(2)/2))/(LN(2)/2)*DW148*DZ148*VLOOKUP('Données projet'!$B$14,Paramètres!$A$1:$I$88,3,0)*0.475*44/12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69.308191641034838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projet'!$B$15,Paramètres!$A$1:$I$88,3,0)*VLOOKUP('Données projet'!$B$15,Paramètres!$A$1:$I$88,5,0)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projet'!$B$15,Paramètres!$A$1:$I$88,7,0))</f>
        <v>0</v>
      </c>
      <c r="ET148" s="17">
        <f>IF(ISNA(VLOOKUP(A148,'Données projet'!$A$191:$I$211,6,0)),0%,VLOOKUP(A148,'Données projet'!$A$191:$I$211,6,0)*VLOOKUP('Données projet'!$B$15,Paramètres!$A$1:$I$88,7,0))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projet'!$B$15,Paramètres!$A$1:$I$88,3,0)*0.475*44/12</f>
        <v>#N/A</v>
      </c>
      <c r="EW148" s="23" t="e">
        <f>EXP(-LN(2)/25)*EW147+(1-EXP(-LN(2)/25))/(LN(2)/25)*Calculateur!ER148*Calculateur!ET148*VLOOKUP('Données projet'!$B$15,Paramètres!$A$1:$I$88,3,0)*0.475*44/12</f>
        <v>#N/A</v>
      </c>
      <c r="EX148" s="23" t="e">
        <f>EXP(-LN(2)/2)*EX147+(1-EXP(-LN(2)/2))/(LN(2)/2)*ER148*EU148*VLOOKUP('Données projet'!$B$15,Paramètres!$A$1:$I$88,3,0)*0.475*44/12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69.308191641034838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projet'!$B$16,Paramètres!$A$1:$I$88,3,0)*VLOOKUP('Données projet'!$B$16,Paramètres!$A$1:$I$88,5,0)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projet'!$B$16,Paramètres!$A$1:$I$88,7,0))</f>
        <v>0</v>
      </c>
      <c r="FO148" s="17">
        <f>IF(ISNA(VLOOKUP(A148,'Données projet'!$A$217:$I$237,6,0)),0%,VLOOKUP(A148,'Données projet'!$A$217:$I$237,6,0)*VLOOKUP('Données projet'!$B$16,Paramètres!$A$1:$I$88,7,0))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projet'!$B$16,Paramètres!$A$1:$I$88,3,0)*0.475*44/12</f>
        <v>#N/A</v>
      </c>
      <c r="FR148" s="23" t="e">
        <f>EXP(-LN(2)/25)*FR147+(1-EXP(-LN(2)/25))/(LN(2)/25)*Calculateur!FM148*Calculateur!FO148*VLOOKUP('Données projet'!$B$16,Paramètres!$A$1:$I$88,3,0)*0.475*44/12</f>
        <v>#N/A</v>
      </c>
      <c r="FS148" s="23" t="e">
        <f>EXP(-LN(2)/2)*FS147+(1-EXP(-LN(2)/2))/(LN(2)/2)*FM148*FP148*VLOOKUP('Données projet'!$B$16,Paramètres!$A$1:$I$88,3,0)*0.475*44/12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69.308191641034838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projet'!$B$17,Paramètres!$A$1:$I$88,3,0)*VLOOKUP('Données projet'!$B$17,Paramètres!$A$1:$I$88,5,0)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projet'!$B$17,Paramètres!$A$1:$I$88,7,0))</f>
        <v>0</v>
      </c>
      <c r="GJ148" s="17">
        <f>IF(ISNA(VLOOKUP(A148,'Données projet'!$A$243:$I$263,6,0)),0%,VLOOKUP(A148,'Données projet'!$A$243:$I$263,6,0)*VLOOKUP('Données projet'!$B$17,Paramètres!$A$1:$I$88,7,0))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projet'!$B$17,Paramètres!$A$1:$I$88,3,0)*0.475*44/12</f>
        <v>#N/A</v>
      </c>
      <c r="GM148" s="23" t="e">
        <f>EXP(-LN(2)/25)*GM147+(1-EXP(-LN(2)/25))/(LN(2)/25)*Calculateur!GH148*Calculateur!GJ148*VLOOKUP('Données projet'!$B$17,Paramètres!$A$1:$I$88,3,0)*0.475*44/12</f>
        <v>#N/A</v>
      </c>
      <c r="GN148" s="23" t="e">
        <f>EXP(-LN(2)/2)*GN147+(1-EXP(-LN(2)/2))/(LN(2)/2)*GH148*GK148*VLOOKUP('Données projet'!$B$17,Paramètres!$A$1:$I$88,3,0)*0.475*44/12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69.308191641034838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projet'!$B$18,Paramètres!$A$1:$I$88,3,0)*VLOOKUP('Données projet'!$B$18,Paramètres!$A$1:$I$88,5,0)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projet'!$B$18,Paramètres!$A$1:$I$88,7,0))</f>
        <v>0</v>
      </c>
      <c r="HE148" s="17">
        <f>IF(ISNA(VLOOKUP(A148,'Données projet'!$A$269:$I$289,6,0)),0%,VLOOKUP(A148,'Données projet'!$A$269:$I$289,6,0)*VLOOKUP('Données projet'!$B$18,Paramètres!$A$1:$I$88,7,0))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projet'!$B$18,Paramètres!$A$1:$I$88,3,0)*0.475*44/12</f>
        <v>#N/A</v>
      </c>
      <c r="HH148" s="23" t="e">
        <f>EXP(-LN(2)/25)*HH147+(1-EXP(-LN(2)/25))/(LN(2)/25)*Calculateur!HC148*Calculateur!HE148*VLOOKUP('Données projet'!$B$18,Paramètres!$A$1:$I$88,3,0)*0.475*44/12</f>
        <v>#N/A</v>
      </c>
      <c r="HI148" s="23" t="e">
        <f>EXP(-LN(2)/2)*HI147+(1-EXP(-LN(2)/2))/(LN(2)/2)*HC148*HF148*VLOOKUP('Données projet'!$B$18,Paramètres!$A$1:$I$88,3,0)*0.475*44/12</f>
        <v>#N/A</v>
      </c>
      <c r="HJ148" s="24" t="e">
        <f t="shared" si="138"/>
        <v>#N/A</v>
      </c>
    </row>
    <row r="149" spans="1:218" s="5" customFormat="1" x14ac:dyDescent="0.35">
      <c r="A149" s="11">
        <f t="shared" si="139"/>
        <v>146</v>
      </c>
      <c r="B149" s="77">
        <f>'Scénario référence'!$B$16*5+'Scénario référence'!$B$17*0+'Scénario référence'!$B$18*5</f>
        <v>1.75</v>
      </c>
      <c r="C149" s="20">
        <f>Calculateur!C148+'Scénario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49" s="12">
        <f t="shared" si="140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6.416666666666667</v>
      </c>
      <c r="H149" s="70">
        <f t="shared" si="110"/>
        <v>231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69.32019296941111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3.4106051316484809E-13</v>
      </c>
      <c r="O149" s="14">
        <f>N149*VLOOKUP('Données projet'!$B$9,Paramètres!$A$1:$I$88,3,0)*VLOOKUP('Données projet'!$B$9,Paramètres!$A$1:$I$88,5,0)</f>
        <v>1.9065282685915009E-13</v>
      </c>
      <c r="P149" s="14">
        <f t="shared" si="141"/>
        <v>2.6568987209435707E-12</v>
      </c>
      <c r="Q149" s="22">
        <f t="shared" si="108"/>
        <v>4.959485612423072E-12</v>
      </c>
      <c r="R149" s="62">
        <f t="shared" si="109"/>
        <v>290.84070755451233</v>
      </c>
      <c r="S149" s="62">
        <f ca="1">AVERAGE(OFFSET($R$3,0,0,'Données projet'!$E$9+1,1))-AVERAGE(OFFSET($H$3,0,0,'Données projet'!$E$9+1,1))</f>
        <v>341.05096821796769</v>
      </c>
      <c r="T149" s="62">
        <f t="shared" si="142"/>
        <v>400.72519822215168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projet'!$B$9,Paramètres!$A$1:$I$88,7,0))</f>
        <v>0</v>
      </c>
      <c r="X149" s="17">
        <f>IF(ISNA(VLOOKUP(A149,'Données projet'!$A$35:$I$55,6,0)),0%,VLOOKUP(A149,'Données projet'!$A$35:$I$55,6,0)*VLOOKUP('Données projet'!$B$9,Paramètres!$A$1:$I$88,7,0))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projet'!$B$9,Paramètres!$A$1:$I$88,3,0)*0.475*44/12</f>
        <v>43.63743588559803</v>
      </c>
      <c r="AA149" s="23">
        <f>EXP(-LN(2)/25)*AA148+(1-EXP(-LN(2)/25))/(LN(2)/25)*Calculateur!V149*Calculateur!X149*VLOOKUP('Données projet'!$B$9,Paramètres!$A$1:$I$88,3,0)*0.475*44/12</f>
        <v>12.211037273655519</v>
      </c>
      <c r="AB149" s="23">
        <f>EXP(-LN(2)/2)*AB148+(1-EXP(-LN(2)/2))/(LN(2)/2)*V149*Y149*VLOOKUP('Données projet'!$B$9,Paramètres!$A$1:$I$88,3,0)*0.475*44/12</f>
        <v>0</v>
      </c>
      <c r="AC149" s="24">
        <f t="shared" si="111"/>
        <v>55.848473159253551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69.32019296941111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5.6843418860808015E-14</v>
      </c>
      <c r="AJ149" s="14">
        <f>AI149*VLOOKUP('Données projet'!$B$10,Paramètres!$A$1:$I$88,3,0)*VLOOKUP('Données projet'!$B$10,Paramètres!$A$1:$I$88,5,0)</f>
        <v>3.3992364478763198E-14</v>
      </c>
      <c r="AK149" s="14">
        <f t="shared" si="143"/>
        <v>5.790027782444094E-13</v>
      </c>
      <c r="AL149" s="22">
        <f t="shared" si="112"/>
        <v>1.0676332069095257E-12</v>
      </c>
      <c r="AM149" s="62">
        <f t="shared" si="113"/>
        <v>290.84070755450847</v>
      </c>
      <c r="AN149" s="62">
        <f ca="1">AVERAGE(OFFSET($AM$3,0,0,'Données projet'!$E$10+1,1))-AVERAGE(OFFSET($H$3,0,0,'Données projet'!$E$10+1,1))</f>
        <v>231.96474801342879</v>
      </c>
      <c r="AO149" s="62">
        <f t="shared" si="144"/>
        <v>237.75726086383668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projet'!$B$10,Paramètres!$A$1:$I$88,7,0))</f>
        <v>0</v>
      </c>
      <c r="AS149" s="17">
        <f>IF(ISNA(VLOOKUP(A149,'Données projet'!$A$61:$I$81,6,0)),0%,VLOOKUP(A149,'Données projet'!$A$61:$I$81,6,0)*VLOOKUP('Données projet'!$B$10,Paramètres!$A$1:$I$88,7,0))</f>
        <v>0</v>
      </c>
      <c r="AT149" s="17">
        <f>IF(ISNA(VLOOKUP(A149,'Données projet'!$A$61:$I$81,7,0)),0%,VLOOKUP(A149,'Données projet'!$A$61:$I$81,7,0))</f>
        <v>0</v>
      </c>
      <c r="AU149" s="23">
        <f>EXP(-LN(2)/35)*AU148+(1-EXP(-LN(2)/35))/(LN(2)/35)*AQ149*AR149*VLOOKUP('Données projet'!$B$10,Paramètres!$A$1:$I$88,3,0)*0.475*44/12</f>
        <v>17.208402385110237</v>
      </c>
      <c r="AV149" s="23">
        <f>EXP(-LN(2)/25)*AV148+(1-EXP(-LN(2)/25))/(LN(2)/25)*Calculateur!AQ149*Calculateur!AS149*VLOOKUP('Données projet'!$B$10,Paramètres!$A$1:$I$88,3,0)*0.475*44/12</f>
        <v>5.1564123022176416</v>
      </c>
      <c r="AW149" s="23">
        <f>EXP(-LN(2)/2)*AW148+(1-EXP(-LN(2)/2))/(LN(2)/2)*AQ149*AT149*VLOOKUP('Données projet'!$B$10,Paramètres!$A$1:$I$88,3,0)*0.475*44/12</f>
        <v>0</v>
      </c>
      <c r="AX149" s="23">
        <f t="shared" si="114"/>
        <v>22.364814687327879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69.32019296941111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6.8212102632969618E-13</v>
      </c>
      <c r="BE149" s="14">
        <f>BD149*VLOOKUP('Données projet'!$B$11,Paramètres!$A$1:$I$88,3,0)*VLOOKUP('Données projet'!$B$11,Paramètres!$A$1:$I$88,5,0)</f>
        <v>3.1923264032229784E-13</v>
      </c>
      <c r="BF149" s="14">
        <f t="shared" si="145"/>
        <v>4.1896839804541558E-12</v>
      </c>
      <c r="BG149" s="22">
        <f t="shared" si="115"/>
        <v>7.8530297811856558E-12</v>
      </c>
      <c r="BH149" s="62">
        <f t="shared" si="116"/>
        <v>290.84070755451523</v>
      </c>
      <c r="BI149" s="62">
        <f ca="1">AVERAGE(OFFSET($BH$3,0,0,'Données projet'!$E$11+1,1))-AVERAGE(OFFSET($H$3,0,0,'Données projet'!$E$11+1,1))</f>
        <v>364.96458059055169</v>
      </c>
      <c r="BJ149" s="62">
        <f t="shared" si="146"/>
        <v>246.27159120786257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projet'!$B$11,Paramètres!$A$1:$I$88,7,0))</f>
        <v>0</v>
      </c>
      <c r="BN149" s="17">
        <f>IF(ISNA(VLOOKUP(A149,'Données projet'!$A$87:$I$107,6,0)),0%,VLOOKUP(A149,'Données projet'!$A$87:$I$107,6,0)*VLOOKUP('Données projet'!$B$11,Paramètres!$A$1:$I$88,7,0))</f>
        <v>0</v>
      </c>
      <c r="BO149" s="17">
        <f>IF(ISNA(VLOOKUP(A149,'Données projet'!$A$87:$I$107,7,0)),0%,VLOOKUP(A149,'Données projet'!$A$87:$I$107,7,0))</f>
        <v>0</v>
      </c>
      <c r="BP149" s="23">
        <f>EXP(-LN(2)/35)*BP148+(1-EXP(-LN(2)/35))/(LN(2)/35)*BL149*BM149*VLOOKUP('Données projet'!$B$11,Paramètres!$A$1:$I$88,3,0)*0.475*44/12</f>
        <v>95.731207646837376</v>
      </c>
      <c r="BQ149" s="23">
        <f>EXP(-LN(2)/25)*BQ148+(1-EXP(-LN(2)/25))/(LN(2)/25)*Calculateur!BL149*Calculateur!BN149*VLOOKUP('Données projet'!$B$11,Paramètres!$A$1:$I$88,3,0)*0.475*44/12</f>
        <v>28.155810365271584</v>
      </c>
      <c r="BR149" s="23">
        <f>EXP(-LN(2)/2)*BR148+(1-EXP(-LN(2)/2))/(LN(2)/2)*BL149*BO149*VLOOKUP('Données projet'!$B$11,Paramètres!$A$1:$I$88,3,0)*0.475*44/12</f>
        <v>0</v>
      </c>
      <c r="BS149" s="24">
        <f t="shared" si="117"/>
        <v>123.88701801210897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69.32019296941111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-1.1368683772161603E-13</v>
      </c>
      <c r="BZ149" s="14">
        <f>BY149*VLOOKUP('Données projet'!$B$12,Paramètres!$A$1:$I$88,3,0)*VLOOKUP('Données projet'!$B$12,Paramètres!$A$1:$I$88,5,0)</f>
        <v>-1.1527845344971866E-13</v>
      </c>
      <c r="CA149" s="14" t="e">
        <f t="shared" si="147"/>
        <v>#NUM!</v>
      </c>
      <c r="CB149" s="22" t="e">
        <f t="shared" si="118"/>
        <v>#NUM!</v>
      </c>
      <c r="CC149" s="62" t="e">
        <f t="shared" si="119"/>
        <v>#NUM!</v>
      </c>
      <c r="CD149" s="62">
        <f ca="1">AVERAGE(OFFSET($CC$3,0,0,'Données projet'!$E$12+1,1))-AVERAGE(OFFSET($H$3,0,0,'Données projet'!$E$12+1,1))</f>
        <v>310.53598044763282</v>
      </c>
      <c r="CE149" s="62">
        <f t="shared" si="148"/>
        <v>322.01096634040596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projet'!$B$12,Paramètres!$A$1:$I$88,7,0))</f>
        <v>0</v>
      </c>
      <c r="CI149" s="17">
        <f>IF(ISNA(VLOOKUP(A149,'Données projet'!$A$113:$I$133,6,0)),0%,VLOOKUP(A149,'Données projet'!$A$113:$I$133,6,0)*VLOOKUP('Données projet'!$B$12,Paramètres!$A$1:$I$88,7,0))</f>
        <v>0</v>
      </c>
      <c r="CJ149" s="17">
        <f>IF(ISNA(VLOOKUP(A149,'Données projet'!$A$113:$I$133,7,0)),0%,VLOOKUP(A149,'Données projet'!$A$113:$I$133,7,0))</f>
        <v>0</v>
      </c>
      <c r="CK149" s="23">
        <f>EXP(-LN(2)/35)*CK148+(1-EXP(-LN(2)/35))/(LN(2)/35)*CG149*CH149*VLOOKUP('Données projet'!$B$12,Paramètres!$A$1:$I$88,3,0)*0.475*44/12</f>
        <v>13.16652232770161</v>
      </c>
      <c r="CL149" s="23">
        <f>EXP(-LN(2)/25)*CL148+(1-EXP(-LN(2)/25))/(LN(2)/25)*Calculateur!CG149*Calculateur!CI149*VLOOKUP('Données projet'!$B$12,Paramètres!$A$1:$I$88,3,0)*0.475*44/12</f>
        <v>0</v>
      </c>
      <c r="CM149" s="23">
        <f>EXP(-LN(2)/2)*CM148+(1-EXP(-LN(2)/2))/(LN(2)/2)*CG149*CJ149*VLOOKUP('Données projet'!$B$12,Paramètres!$A$1:$I$88,3,0)*0.475*44/12</f>
        <v>0</v>
      </c>
      <c r="CN149" s="24">
        <f t="shared" si="120"/>
        <v>13.16652232770161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69.32019296941111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projet'!$B$13,Paramètres!$A$1:$I$88,3,0)*VLOOKUP('Données projet'!$B$13,Paramètres!$A$1:$I$88,5,0)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projet'!$B$13,Paramètres!$A$1:$I$88,7,0))</f>
        <v>0</v>
      </c>
      <c r="DD149" s="17">
        <f>IF(ISNA(VLOOKUP(A149,'Données projet'!$A$139:$I$159,6,0)),0%,VLOOKUP(A149,'Données projet'!$A$139:$I$159,6,0)*VLOOKUP('Données projet'!$B$13,Paramètres!$A$1:$I$88,7,0))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projet'!$B$13,Paramètres!$A$1:$I$88,3,0)*0.475*44/12</f>
        <v>#N/A</v>
      </c>
      <c r="DG149" s="23" t="e">
        <f>EXP(-LN(2)/25)*DG148+(1-EXP(-LN(2)/25))/(LN(2)/25)*Calculateur!DB149*Calculateur!DD149*VLOOKUP('Données projet'!$B$13,Paramètres!$A$1:$I$88,3,0)*0.475*44/12</f>
        <v>#N/A</v>
      </c>
      <c r="DH149" s="23" t="e">
        <f>EXP(-LN(2)/2)*DH148+(1-EXP(-LN(2)/2))/(LN(2)/2)*DB149*DE149*VLOOKUP('Données projet'!$B$13,Paramètres!$A$1:$I$88,3,0)*0.475*44/12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69.32019296941111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projet'!$B$14,Paramètres!$A$1:$I$88,3,0)*VLOOKUP('Données projet'!$B$14,Paramètres!$A$1:$I$88,5,0)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projet'!$B$14,Paramètres!$A$1:$I$88,7,0))</f>
        <v>0</v>
      </c>
      <c r="DY149" s="17">
        <f>IF(ISNA(VLOOKUP(A149,'Données projet'!$A$165:$I$185,6,0)),0%,VLOOKUP(A149,'Données projet'!$A$165:$I$185,6,0)*VLOOKUP('Données projet'!$B$14,Paramètres!$A$1:$I$88,7,0))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projet'!$B$14,Paramètres!$A$1:$I$88,3,0)*0.475*44/12</f>
        <v>#N/A</v>
      </c>
      <c r="EB149" s="23" t="e">
        <f>EXP(-LN(2)/25)*EB148+(1-EXP(-LN(2)/25))/(LN(2)/25)*Calculateur!DW149*Calculateur!DY149*VLOOKUP('Données projet'!$B$14,Paramètres!$A$1:$I$88,3,0)*0.475*44/12</f>
        <v>#N/A</v>
      </c>
      <c r="EC149" s="23" t="e">
        <f>EXP(-LN(2)/2)*EC148+(1-EXP(-LN(2)/2))/(LN(2)/2)*DW149*DZ149*VLOOKUP('Données projet'!$B$14,Paramètres!$A$1:$I$88,3,0)*0.475*44/12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69.32019296941111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projet'!$B$15,Paramètres!$A$1:$I$88,3,0)*VLOOKUP('Données projet'!$B$15,Paramètres!$A$1:$I$88,5,0)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projet'!$B$15,Paramètres!$A$1:$I$88,7,0))</f>
        <v>0</v>
      </c>
      <c r="ET149" s="17">
        <f>IF(ISNA(VLOOKUP(A149,'Données projet'!$A$191:$I$211,6,0)),0%,VLOOKUP(A149,'Données projet'!$A$191:$I$211,6,0)*VLOOKUP('Données projet'!$B$15,Paramètres!$A$1:$I$88,7,0))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projet'!$B$15,Paramètres!$A$1:$I$88,3,0)*0.475*44/12</f>
        <v>#N/A</v>
      </c>
      <c r="EW149" s="23" t="e">
        <f>EXP(-LN(2)/25)*EW148+(1-EXP(-LN(2)/25))/(LN(2)/25)*Calculateur!ER149*Calculateur!ET149*VLOOKUP('Données projet'!$B$15,Paramètres!$A$1:$I$88,3,0)*0.475*44/12</f>
        <v>#N/A</v>
      </c>
      <c r="EX149" s="23" t="e">
        <f>EXP(-LN(2)/2)*EX148+(1-EXP(-LN(2)/2))/(LN(2)/2)*ER149*EU149*VLOOKUP('Données projet'!$B$15,Paramètres!$A$1:$I$88,3,0)*0.475*44/12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69.32019296941111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projet'!$B$16,Paramètres!$A$1:$I$88,3,0)*VLOOKUP('Données projet'!$B$16,Paramètres!$A$1:$I$88,5,0)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projet'!$B$16,Paramètres!$A$1:$I$88,7,0))</f>
        <v>0</v>
      </c>
      <c r="FO149" s="17">
        <f>IF(ISNA(VLOOKUP(A149,'Données projet'!$A$217:$I$237,6,0)),0%,VLOOKUP(A149,'Données projet'!$A$217:$I$237,6,0)*VLOOKUP('Données projet'!$B$16,Paramètres!$A$1:$I$88,7,0))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projet'!$B$16,Paramètres!$A$1:$I$88,3,0)*0.475*44/12</f>
        <v>#N/A</v>
      </c>
      <c r="FR149" s="23" t="e">
        <f>EXP(-LN(2)/25)*FR148+(1-EXP(-LN(2)/25))/(LN(2)/25)*Calculateur!FM149*Calculateur!FO149*VLOOKUP('Données projet'!$B$16,Paramètres!$A$1:$I$88,3,0)*0.475*44/12</f>
        <v>#N/A</v>
      </c>
      <c r="FS149" s="23" t="e">
        <f>EXP(-LN(2)/2)*FS148+(1-EXP(-LN(2)/2))/(LN(2)/2)*FM149*FP149*VLOOKUP('Données projet'!$B$16,Paramètres!$A$1:$I$88,3,0)*0.475*44/12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69.32019296941111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projet'!$B$17,Paramètres!$A$1:$I$88,3,0)*VLOOKUP('Données projet'!$B$17,Paramètres!$A$1:$I$88,5,0)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projet'!$B$17,Paramètres!$A$1:$I$88,7,0))</f>
        <v>0</v>
      </c>
      <c r="GJ149" s="17">
        <f>IF(ISNA(VLOOKUP(A149,'Données projet'!$A$243:$I$263,6,0)),0%,VLOOKUP(A149,'Données projet'!$A$243:$I$263,6,0)*VLOOKUP('Données projet'!$B$17,Paramètres!$A$1:$I$88,7,0))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projet'!$B$17,Paramètres!$A$1:$I$88,3,0)*0.475*44/12</f>
        <v>#N/A</v>
      </c>
      <c r="GM149" s="23" t="e">
        <f>EXP(-LN(2)/25)*GM148+(1-EXP(-LN(2)/25))/(LN(2)/25)*Calculateur!GH149*Calculateur!GJ149*VLOOKUP('Données projet'!$B$17,Paramètres!$A$1:$I$88,3,0)*0.475*44/12</f>
        <v>#N/A</v>
      </c>
      <c r="GN149" s="23" t="e">
        <f>EXP(-LN(2)/2)*GN148+(1-EXP(-LN(2)/2))/(LN(2)/2)*GH149*GK149*VLOOKUP('Données projet'!$B$17,Paramètres!$A$1:$I$88,3,0)*0.475*44/12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69.32019296941111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projet'!$B$18,Paramètres!$A$1:$I$88,3,0)*VLOOKUP('Données projet'!$B$18,Paramètres!$A$1:$I$88,5,0)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projet'!$B$18,Paramètres!$A$1:$I$88,7,0))</f>
        <v>0</v>
      </c>
      <c r="HE149" s="17">
        <f>IF(ISNA(VLOOKUP(A149,'Données projet'!$A$269:$I$289,6,0)),0%,VLOOKUP(A149,'Données projet'!$A$269:$I$289,6,0)*VLOOKUP('Données projet'!$B$18,Paramètres!$A$1:$I$88,7,0))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projet'!$B$18,Paramètres!$A$1:$I$88,3,0)*0.475*44/12</f>
        <v>#N/A</v>
      </c>
      <c r="HH149" s="23" t="e">
        <f>EXP(-LN(2)/25)*HH148+(1-EXP(-LN(2)/25))/(LN(2)/25)*Calculateur!HC149*Calculateur!HE149*VLOOKUP('Données projet'!$B$18,Paramètres!$A$1:$I$88,3,0)*0.475*44/12</f>
        <v>#N/A</v>
      </c>
      <c r="HI149" s="23" t="e">
        <f>EXP(-LN(2)/2)*HI148+(1-EXP(-LN(2)/2))/(LN(2)/2)*HC149*HF149*VLOOKUP('Données projet'!$B$18,Paramètres!$A$1:$I$88,3,0)*0.475*44/12</f>
        <v>#N/A</v>
      </c>
      <c r="HJ149" s="24" t="e">
        <f t="shared" si="138"/>
        <v>#N/A</v>
      </c>
    </row>
    <row r="150" spans="1:218" s="5" customFormat="1" x14ac:dyDescent="0.35">
      <c r="A150" s="11">
        <f t="shared" si="139"/>
        <v>147</v>
      </c>
      <c r="B150" s="77">
        <f>'Scénario référence'!$B$16*5+'Scénario référence'!$B$17*0+'Scénario référence'!$B$18*5</f>
        <v>1.75</v>
      </c>
      <c r="C150" s="20">
        <f>Calculateur!C149+'Scénario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50" s="12">
        <f t="shared" si="140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6.416666666666667</v>
      </c>
      <c r="H150" s="70">
        <f t="shared" si="110"/>
        <v>231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69.331986101570976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3.4106051316484809E-13</v>
      </c>
      <c r="O150" s="14">
        <f>N150*VLOOKUP('Données projet'!$B$9,Paramètres!$A$1:$I$88,3,0)*VLOOKUP('Données projet'!$B$9,Paramètres!$A$1:$I$88,5,0)</f>
        <v>1.9065282685915009E-13</v>
      </c>
      <c r="P150" s="14">
        <f t="shared" si="141"/>
        <v>2.6568987209435707E-12</v>
      </c>
      <c r="Q150" s="22">
        <f t="shared" si="108"/>
        <v>4.959485612423072E-12</v>
      </c>
      <c r="R150" s="62">
        <f t="shared" si="109"/>
        <v>290.88394903909852</v>
      </c>
      <c r="S150" s="62">
        <f ca="1">AVERAGE(OFFSET($R$3,0,0,'Données projet'!$E$9+1,1))-AVERAGE(OFFSET($H$3,0,0,'Données projet'!$E$9+1,1))</f>
        <v>341.05096821796769</v>
      </c>
      <c r="T150" s="62">
        <f t="shared" si="142"/>
        <v>400.72519822215168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projet'!$B$9,Paramètres!$A$1:$I$88,7,0))</f>
        <v>0</v>
      </c>
      <c r="X150" s="17">
        <f>IF(ISNA(VLOOKUP(A150,'Données projet'!$A$35:$I$55,6,0)),0%,VLOOKUP(A150,'Données projet'!$A$35:$I$55,6,0)*VLOOKUP('Données projet'!$B$9,Paramètres!$A$1:$I$88,7,0))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projet'!$B$9,Paramètres!$A$1:$I$88,3,0)*0.475*44/12</f>
        <v>42.78173238408921</v>
      </c>
      <c r="AA150" s="23">
        <f>EXP(-LN(2)/25)*AA149+(1-EXP(-LN(2)/25))/(LN(2)/25)*Calculateur!V150*Calculateur!X150*VLOOKUP('Données projet'!$B$9,Paramètres!$A$1:$I$88,3,0)*0.475*44/12</f>
        <v>11.877125817256868</v>
      </c>
      <c r="AB150" s="23">
        <f>EXP(-LN(2)/2)*AB149+(1-EXP(-LN(2)/2))/(LN(2)/2)*V150*Y150*VLOOKUP('Données projet'!$B$9,Paramètres!$A$1:$I$88,3,0)*0.475*44/12</f>
        <v>0</v>
      </c>
      <c r="AC150" s="24">
        <f t="shared" si="111"/>
        <v>54.658858201346078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69.331986101570976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5.6843418860808015E-14</v>
      </c>
      <c r="AJ150" s="14">
        <f>AI150*VLOOKUP('Données projet'!$B$10,Paramètres!$A$1:$I$88,3,0)*VLOOKUP('Données projet'!$B$10,Paramètres!$A$1:$I$88,5,0)</f>
        <v>3.3992364478763198E-14</v>
      </c>
      <c r="AK150" s="14">
        <f t="shared" si="143"/>
        <v>5.790027782444094E-13</v>
      </c>
      <c r="AL150" s="22">
        <f t="shared" si="112"/>
        <v>1.0676332069095257E-12</v>
      </c>
      <c r="AM150" s="62">
        <f t="shared" si="113"/>
        <v>290.88394903909466</v>
      </c>
      <c r="AN150" s="62">
        <f ca="1">AVERAGE(OFFSET($AM$3,0,0,'Données projet'!$E$10+1,1))-AVERAGE(OFFSET($H$3,0,0,'Données projet'!$E$10+1,1))</f>
        <v>231.96474801342879</v>
      </c>
      <c r="AO150" s="62">
        <f t="shared" si="144"/>
        <v>237.75726086383668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projet'!$B$10,Paramètres!$A$1:$I$88,7,0))</f>
        <v>0</v>
      </c>
      <c r="AS150" s="17">
        <f>IF(ISNA(VLOOKUP(A150,'Données projet'!$A$61:$I$81,6,0)),0%,VLOOKUP(A150,'Données projet'!$A$61:$I$81,6,0)*VLOOKUP('Données projet'!$B$10,Paramètres!$A$1:$I$88,7,0))</f>
        <v>0</v>
      </c>
      <c r="AT150" s="17">
        <f>IF(ISNA(VLOOKUP(A150,'Données projet'!$A$61:$I$81,7,0)),0%,VLOOKUP(A150,'Données projet'!$A$61:$I$81,7,0))</f>
        <v>0</v>
      </c>
      <c r="AU150" s="23">
        <f>EXP(-LN(2)/35)*AU149+(1-EXP(-LN(2)/35))/(LN(2)/35)*AQ150*AR150*VLOOKUP('Données projet'!$B$10,Paramètres!$A$1:$I$88,3,0)*0.475*44/12</f>
        <v>16.870956110427276</v>
      </c>
      <c r="AV150" s="23">
        <f>EXP(-LN(2)/25)*AV149+(1-EXP(-LN(2)/25))/(LN(2)/25)*Calculateur!AQ150*Calculateur!AS150*VLOOKUP('Données projet'!$B$10,Paramètres!$A$1:$I$88,3,0)*0.475*44/12</f>
        <v>5.0154099366495624</v>
      </c>
      <c r="AW150" s="23">
        <f>EXP(-LN(2)/2)*AW149+(1-EXP(-LN(2)/2))/(LN(2)/2)*AQ150*AT150*VLOOKUP('Données projet'!$B$10,Paramètres!$A$1:$I$88,3,0)*0.475*44/12</f>
        <v>0</v>
      </c>
      <c r="AX150" s="23">
        <f t="shared" si="114"/>
        <v>21.886366047076837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69.331986101570976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6.8212102632969618E-13</v>
      </c>
      <c r="BE150" s="14">
        <f>BD150*VLOOKUP('Données projet'!$B$11,Paramètres!$A$1:$I$88,3,0)*VLOOKUP('Données projet'!$B$11,Paramètres!$A$1:$I$88,5,0)</f>
        <v>3.1923264032229784E-13</v>
      </c>
      <c r="BF150" s="14">
        <f t="shared" si="145"/>
        <v>4.1896839804541558E-12</v>
      </c>
      <c r="BG150" s="22">
        <f t="shared" si="115"/>
        <v>7.8530297811856558E-12</v>
      </c>
      <c r="BH150" s="62">
        <f t="shared" si="116"/>
        <v>290.88394903910142</v>
      </c>
      <c r="BI150" s="62">
        <f ca="1">AVERAGE(OFFSET($BH$3,0,0,'Données projet'!$E$11+1,1))-AVERAGE(OFFSET($H$3,0,0,'Données projet'!$E$11+1,1))</f>
        <v>364.96458059055169</v>
      </c>
      <c r="BJ150" s="62">
        <f t="shared" si="146"/>
        <v>246.27159120786257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projet'!$B$11,Paramètres!$A$1:$I$88,7,0))</f>
        <v>0</v>
      </c>
      <c r="BN150" s="17">
        <f>IF(ISNA(VLOOKUP(A150,'Données projet'!$A$87:$I$107,6,0)),0%,VLOOKUP(A150,'Données projet'!$A$87:$I$107,6,0)*VLOOKUP('Données projet'!$B$11,Paramètres!$A$1:$I$88,7,0))</f>
        <v>0</v>
      </c>
      <c r="BO150" s="17">
        <f>IF(ISNA(VLOOKUP(A150,'Données projet'!$A$87:$I$107,7,0)),0%,VLOOKUP(A150,'Données projet'!$A$87:$I$107,7,0))</f>
        <v>0</v>
      </c>
      <c r="BP150" s="23">
        <f>EXP(-LN(2)/35)*BP149+(1-EXP(-LN(2)/35))/(LN(2)/35)*BL150*BM150*VLOOKUP('Données projet'!$B$11,Paramètres!$A$1:$I$88,3,0)*0.475*44/12</f>
        <v>93.853977055154004</v>
      </c>
      <c r="BQ150" s="23">
        <f>EXP(-LN(2)/25)*BQ149+(1-EXP(-LN(2)/25))/(LN(2)/25)*Calculateur!BL150*Calculateur!BN150*VLOOKUP('Données projet'!$B$11,Paramètres!$A$1:$I$88,3,0)*0.475*44/12</f>
        <v>27.385888250183516</v>
      </c>
      <c r="BR150" s="23">
        <f>EXP(-LN(2)/2)*BR149+(1-EXP(-LN(2)/2))/(LN(2)/2)*BL150*BO150*VLOOKUP('Données projet'!$B$11,Paramètres!$A$1:$I$88,3,0)*0.475*44/12</f>
        <v>0</v>
      </c>
      <c r="BS150" s="24">
        <f t="shared" si="117"/>
        <v>121.23986530533752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69.331986101570976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-1.1368683772161603E-13</v>
      </c>
      <c r="BZ150" s="14">
        <f>BY150*VLOOKUP('Données projet'!$B$12,Paramètres!$A$1:$I$88,3,0)*VLOOKUP('Données projet'!$B$12,Paramètres!$A$1:$I$88,5,0)</f>
        <v>-1.1527845344971866E-13</v>
      </c>
      <c r="CA150" s="14" t="e">
        <f t="shared" si="147"/>
        <v>#NUM!</v>
      </c>
      <c r="CB150" s="22" t="e">
        <f t="shared" si="118"/>
        <v>#NUM!</v>
      </c>
      <c r="CC150" s="62" t="e">
        <f t="shared" si="119"/>
        <v>#NUM!</v>
      </c>
      <c r="CD150" s="62">
        <f ca="1">AVERAGE(OFFSET($CC$3,0,0,'Données projet'!$E$12+1,1))-AVERAGE(OFFSET($H$3,0,0,'Données projet'!$E$12+1,1))</f>
        <v>310.53598044763282</v>
      </c>
      <c r="CE150" s="62">
        <f t="shared" si="148"/>
        <v>322.01096634040596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projet'!$B$12,Paramètres!$A$1:$I$88,7,0))</f>
        <v>0</v>
      </c>
      <c r="CI150" s="17">
        <f>IF(ISNA(VLOOKUP(A150,'Données projet'!$A$113:$I$133,6,0)),0%,VLOOKUP(A150,'Données projet'!$A$113:$I$133,6,0)*VLOOKUP('Données projet'!$B$12,Paramètres!$A$1:$I$88,7,0))</f>
        <v>0</v>
      </c>
      <c r="CJ150" s="17">
        <f>IF(ISNA(VLOOKUP(A150,'Données projet'!$A$113:$I$133,7,0)),0%,VLOOKUP(A150,'Données projet'!$A$113:$I$133,7,0))</f>
        <v>0</v>
      </c>
      <c r="CK150" s="23">
        <f>EXP(-LN(2)/35)*CK149+(1-EXP(-LN(2)/35))/(LN(2)/35)*CG150*CH150*VLOOKUP('Données projet'!$B$12,Paramètres!$A$1:$I$88,3,0)*0.475*44/12</f>
        <v>12.908334855641028</v>
      </c>
      <c r="CL150" s="23">
        <f>EXP(-LN(2)/25)*CL149+(1-EXP(-LN(2)/25))/(LN(2)/25)*Calculateur!CG150*Calculateur!CI150*VLOOKUP('Données projet'!$B$12,Paramètres!$A$1:$I$88,3,0)*0.475*44/12</f>
        <v>0</v>
      </c>
      <c r="CM150" s="23">
        <f>EXP(-LN(2)/2)*CM149+(1-EXP(-LN(2)/2))/(LN(2)/2)*CG150*CJ150*VLOOKUP('Données projet'!$B$12,Paramètres!$A$1:$I$88,3,0)*0.475*44/12</f>
        <v>0</v>
      </c>
      <c r="CN150" s="24">
        <f t="shared" si="120"/>
        <v>12.908334855641028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69.331986101570976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projet'!$B$13,Paramètres!$A$1:$I$88,3,0)*VLOOKUP('Données projet'!$B$13,Paramètres!$A$1:$I$88,5,0)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projet'!$B$13,Paramètres!$A$1:$I$88,7,0))</f>
        <v>0</v>
      </c>
      <c r="DD150" s="17">
        <f>IF(ISNA(VLOOKUP(A150,'Données projet'!$A$139:$I$159,6,0)),0%,VLOOKUP(A150,'Données projet'!$A$139:$I$159,6,0)*VLOOKUP('Données projet'!$B$13,Paramètres!$A$1:$I$88,7,0))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projet'!$B$13,Paramètres!$A$1:$I$88,3,0)*0.475*44/12</f>
        <v>#N/A</v>
      </c>
      <c r="DG150" s="23" t="e">
        <f>EXP(-LN(2)/25)*DG149+(1-EXP(-LN(2)/25))/(LN(2)/25)*Calculateur!DB150*Calculateur!DD150*VLOOKUP('Données projet'!$B$13,Paramètres!$A$1:$I$88,3,0)*0.475*44/12</f>
        <v>#N/A</v>
      </c>
      <c r="DH150" s="23" t="e">
        <f>EXP(-LN(2)/2)*DH149+(1-EXP(-LN(2)/2))/(LN(2)/2)*DB150*DE150*VLOOKUP('Données projet'!$B$13,Paramètres!$A$1:$I$88,3,0)*0.475*44/12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69.331986101570976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projet'!$B$14,Paramètres!$A$1:$I$88,3,0)*VLOOKUP('Données projet'!$B$14,Paramètres!$A$1:$I$88,5,0)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projet'!$B$14,Paramètres!$A$1:$I$88,7,0))</f>
        <v>0</v>
      </c>
      <c r="DY150" s="17">
        <f>IF(ISNA(VLOOKUP(A150,'Données projet'!$A$165:$I$185,6,0)),0%,VLOOKUP(A150,'Données projet'!$A$165:$I$185,6,0)*VLOOKUP('Données projet'!$B$14,Paramètres!$A$1:$I$88,7,0))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projet'!$B$14,Paramètres!$A$1:$I$88,3,0)*0.475*44/12</f>
        <v>#N/A</v>
      </c>
      <c r="EB150" s="23" t="e">
        <f>EXP(-LN(2)/25)*EB149+(1-EXP(-LN(2)/25))/(LN(2)/25)*Calculateur!DW150*Calculateur!DY150*VLOOKUP('Données projet'!$B$14,Paramètres!$A$1:$I$88,3,0)*0.475*44/12</f>
        <v>#N/A</v>
      </c>
      <c r="EC150" s="23" t="e">
        <f>EXP(-LN(2)/2)*EC149+(1-EXP(-LN(2)/2))/(LN(2)/2)*DW150*DZ150*VLOOKUP('Données projet'!$B$14,Paramètres!$A$1:$I$88,3,0)*0.475*44/12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69.331986101570976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projet'!$B$15,Paramètres!$A$1:$I$88,3,0)*VLOOKUP('Données projet'!$B$15,Paramètres!$A$1:$I$88,5,0)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projet'!$B$15,Paramètres!$A$1:$I$88,7,0))</f>
        <v>0</v>
      </c>
      <c r="ET150" s="17">
        <f>IF(ISNA(VLOOKUP(A150,'Données projet'!$A$191:$I$211,6,0)),0%,VLOOKUP(A150,'Données projet'!$A$191:$I$211,6,0)*VLOOKUP('Données projet'!$B$15,Paramètres!$A$1:$I$88,7,0))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projet'!$B$15,Paramètres!$A$1:$I$88,3,0)*0.475*44/12</f>
        <v>#N/A</v>
      </c>
      <c r="EW150" s="23" t="e">
        <f>EXP(-LN(2)/25)*EW149+(1-EXP(-LN(2)/25))/(LN(2)/25)*Calculateur!ER150*Calculateur!ET150*VLOOKUP('Données projet'!$B$15,Paramètres!$A$1:$I$88,3,0)*0.475*44/12</f>
        <v>#N/A</v>
      </c>
      <c r="EX150" s="23" t="e">
        <f>EXP(-LN(2)/2)*EX149+(1-EXP(-LN(2)/2))/(LN(2)/2)*ER150*EU150*VLOOKUP('Données projet'!$B$15,Paramètres!$A$1:$I$88,3,0)*0.475*44/12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69.331986101570976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projet'!$B$16,Paramètres!$A$1:$I$88,3,0)*VLOOKUP('Données projet'!$B$16,Paramètres!$A$1:$I$88,5,0)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projet'!$B$16,Paramètres!$A$1:$I$88,7,0))</f>
        <v>0</v>
      </c>
      <c r="FO150" s="17">
        <f>IF(ISNA(VLOOKUP(A150,'Données projet'!$A$217:$I$237,6,0)),0%,VLOOKUP(A150,'Données projet'!$A$217:$I$237,6,0)*VLOOKUP('Données projet'!$B$16,Paramètres!$A$1:$I$88,7,0))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projet'!$B$16,Paramètres!$A$1:$I$88,3,0)*0.475*44/12</f>
        <v>#N/A</v>
      </c>
      <c r="FR150" s="23" t="e">
        <f>EXP(-LN(2)/25)*FR149+(1-EXP(-LN(2)/25))/(LN(2)/25)*Calculateur!FM150*Calculateur!FO150*VLOOKUP('Données projet'!$B$16,Paramètres!$A$1:$I$88,3,0)*0.475*44/12</f>
        <v>#N/A</v>
      </c>
      <c r="FS150" s="23" t="e">
        <f>EXP(-LN(2)/2)*FS149+(1-EXP(-LN(2)/2))/(LN(2)/2)*FM150*FP150*VLOOKUP('Données projet'!$B$16,Paramètres!$A$1:$I$88,3,0)*0.475*44/12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69.331986101570976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projet'!$B$17,Paramètres!$A$1:$I$88,3,0)*VLOOKUP('Données projet'!$B$17,Paramètres!$A$1:$I$88,5,0)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projet'!$B$17,Paramètres!$A$1:$I$88,7,0))</f>
        <v>0</v>
      </c>
      <c r="GJ150" s="17">
        <f>IF(ISNA(VLOOKUP(A150,'Données projet'!$A$243:$I$263,6,0)),0%,VLOOKUP(A150,'Données projet'!$A$243:$I$263,6,0)*VLOOKUP('Données projet'!$B$17,Paramètres!$A$1:$I$88,7,0))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projet'!$B$17,Paramètres!$A$1:$I$88,3,0)*0.475*44/12</f>
        <v>#N/A</v>
      </c>
      <c r="GM150" s="23" t="e">
        <f>EXP(-LN(2)/25)*GM149+(1-EXP(-LN(2)/25))/(LN(2)/25)*Calculateur!GH150*Calculateur!GJ150*VLOOKUP('Données projet'!$B$17,Paramètres!$A$1:$I$88,3,0)*0.475*44/12</f>
        <v>#N/A</v>
      </c>
      <c r="GN150" s="23" t="e">
        <f>EXP(-LN(2)/2)*GN149+(1-EXP(-LN(2)/2))/(LN(2)/2)*GH150*GK150*VLOOKUP('Données projet'!$B$17,Paramètres!$A$1:$I$88,3,0)*0.475*44/12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69.331986101570976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projet'!$B$18,Paramètres!$A$1:$I$88,3,0)*VLOOKUP('Données projet'!$B$18,Paramètres!$A$1:$I$88,5,0)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projet'!$B$18,Paramètres!$A$1:$I$88,7,0))</f>
        <v>0</v>
      </c>
      <c r="HE150" s="17">
        <f>IF(ISNA(VLOOKUP(A150,'Données projet'!$A$269:$I$289,6,0)),0%,VLOOKUP(A150,'Données projet'!$A$269:$I$289,6,0)*VLOOKUP('Données projet'!$B$18,Paramètres!$A$1:$I$88,7,0))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projet'!$B$18,Paramètres!$A$1:$I$88,3,0)*0.475*44/12</f>
        <v>#N/A</v>
      </c>
      <c r="HH150" s="23" t="e">
        <f>EXP(-LN(2)/25)*HH149+(1-EXP(-LN(2)/25))/(LN(2)/25)*Calculateur!HC150*Calculateur!HE150*VLOOKUP('Données projet'!$B$18,Paramètres!$A$1:$I$88,3,0)*0.475*44/12</f>
        <v>#N/A</v>
      </c>
      <c r="HI150" s="23" t="e">
        <f>EXP(-LN(2)/2)*HI149+(1-EXP(-LN(2)/2))/(LN(2)/2)*HC150*HF150*VLOOKUP('Données projet'!$B$18,Paramètres!$A$1:$I$88,3,0)*0.475*44/12</f>
        <v>#N/A</v>
      </c>
      <c r="HJ150" s="24" t="e">
        <f t="shared" si="138"/>
        <v>#N/A</v>
      </c>
    </row>
    <row r="151" spans="1:218" s="5" customFormat="1" x14ac:dyDescent="0.35">
      <c r="A151" s="11">
        <f t="shared" si="139"/>
        <v>148</v>
      </c>
      <c r="B151" s="77">
        <f>'Scénario référence'!$B$16*5+'Scénario référence'!$B$17*0+'Scénario référence'!$B$18*5</f>
        <v>1.75</v>
      </c>
      <c r="C151" s="20">
        <f>Calculateur!C150+'Scénario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51" s="12">
        <f t="shared" si="140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6.416666666666667</v>
      </c>
      <c r="H151" s="70">
        <f t="shared" si="110"/>
        <v>231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69.343574649253384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3.4106051316484809E-13</v>
      </c>
      <c r="O151" s="14">
        <f>N151*VLOOKUP('Données projet'!$B$9,Paramètres!$A$1:$I$88,3,0)*VLOOKUP('Données projet'!$B$9,Paramètres!$A$1:$I$88,5,0)</f>
        <v>1.9065282685915009E-13</v>
      </c>
      <c r="P151" s="14">
        <f t="shared" si="141"/>
        <v>2.6568987209435707E-12</v>
      </c>
      <c r="Q151" s="22">
        <f t="shared" si="108"/>
        <v>4.959485612423072E-12</v>
      </c>
      <c r="R151" s="62">
        <f t="shared" si="109"/>
        <v>290.9264403806007</v>
      </c>
      <c r="S151" s="62">
        <f ca="1">AVERAGE(OFFSET($R$3,0,0,'Données projet'!$E$9+1,1))-AVERAGE(OFFSET($H$3,0,0,'Données projet'!$E$9+1,1))</f>
        <v>341.05096821796769</v>
      </c>
      <c r="T151" s="62">
        <f t="shared" si="142"/>
        <v>400.72519822215168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projet'!$B$9,Paramètres!$A$1:$I$88,7,0))</f>
        <v>0</v>
      </c>
      <c r="X151" s="17">
        <f>IF(ISNA(VLOOKUP(A151,'Données projet'!$A$35:$I$55,6,0)),0%,VLOOKUP(A151,'Données projet'!$A$35:$I$55,6,0)*VLOOKUP('Données projet'!$B$9,Paramètres!$A$1:$I$88,7,0))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projet'!$B$9,Paramètres!$A$1:$I$88,3,0)*0.475*44/12</f>
        <v>41.942808706317379</v>
      </c>
      <c r="AA151" s="23">
        <f>EXP(-LN(2)/25)*AA150+(1-EXP(-LN(2)/25))/(LN(2)/25)*Calculateur!V151*Calculateur!X151*VLOOKUP('Données projet'!$B$9,Paramètres!$A$1:$I$88,3,0)*0.475*44/12</f>
        <v>11.552345187193078</v>
      </c>
      <c r="AB151" s="23">
        <f>EXP(-LN(2)/2)*AB150+(1-EXP(-LN(2)/2))/(LN(2)/2)*V151*Y151*VLOOKUP('Données projet'!$B$9,Paramètres!$A$1:$I$88,3,0)*0.475*44/12</f>
        <v>0</v>
      </c>
      <c r="AC151" s="24">
        <f t="shared" si="111"/>
        <v>53.495153893510455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69.343574649253384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5.6843418860808015E-14</v>
      </c>
      <c r="AJ151" s="14">
        <f>AI151*VLOOKUP('Données projet'!$B$10,Paramètres!$A$1:$I$88,3,0)*VLOOKUP('Données projet'!$B$10,Paramètres!$A$1:$I$88,5,0)</f>
        <v>3.3992364478763198E-14</v>
      </c>
      <c r="AK151" s="14">
        <f t="shared" si="143"/>
        <v>5.790027782444094E-13</v>
      </c>
      <c r="AL151" s="22">
        <f t="shared" si="112"/>
        <v>1.0676332069095257E-12</v>
      </c>
      <c r="AM151" s="62">
        <f t="shared" si="113"/>
        <v>290.92644038059683</v>
      </c>
      <c r="AN151" s="62">
        <f ca="1">AVERAGE(OFFSET($AM$3,0,0,'Données projet'!$E$10+1,1))-AVERAGE(OFFSET($H$3,0,0,'Données projet'!$E$10+1,1))</f>
        <v>231.96474801342879</v>
      </c>
      <c r="AO151" s="62">
        <f t="shared" si="144"/>
        <v>237.75726086383668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projet'!$B$10,Paramètres!$A$1:$I$88,7,0))</f>
        <v>0</v>
      </c>
      <c r="AS151" s="17">
        <f>IF(ISNA(VLOOKUP(A151,'Données projet'!$A$61:$I$81,6,0)),0%,VLOOKUP(A151,'Données projet'!$A$61:$I$81,6,0)*VLOOKUP('Données projet'!$B$10,Paramètres!$A$1:$I$88,7,0))</f>
        <v>0</v>
      </c>
      <c r="AT151" s="17">
        <f>IF(ISNA(VLOOKUP(A151,'Données projet'!$A$61:$I$81,7,0)),0%,VLOOKUP(A151,'Données projet'!$A$61:$I$81,7,0))</f>
        <v>0</v>
      </c>
      <c r="AU151" s="23">
        <f>EXP(-LN(2)/35)*AU150+(1-EXP(-LN(2)/35))/(LN(2)/35)*AQ151*AR151*VLOOKUP('Données projet'!$B$10,Paramètres!$A$1:$I$88,3,0)*0.475*44/12</f>
        <v>16.540126951368944</v>
      </c>
      <c r="AV151" s="23">
        <f>EXP(-LN(2)/25)*AV150+(1-EXP(-LN(2)/25))/(LN(2)/25)*Calculateur!AQ151*Calculateur!AS151*VLOOKUP('Données projet'!$B$10,Paramètres!$A$1:$I$88,3,0)*0.475*44/12</f>
        <v>4.878263288182934</v>
      </c>
      <c r="AW151" s="23">
        <f>EXP(-LN(2)/2)*AW150+(1-EXP(-LN(2)/2))/(LN(2)/2)*AQ151*AT151*VLOOKUP('Données projet'!$B$10,Paramètres!$A$1:$I$88,3,0)*0.475*44/12</f>
        <v>0</v>
      </c>
      <c r="AX151" s="23">
        <f t="shared" si="114"/>
        <v>21.418390239551876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69.343574649253384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6.8212102632969618E-13</v>
      </c>
      <c r="BE151" s="14">
        <f>BD151*VLOOKUP('Données projet'!$B$11,Paramètres!$A$1:$I$88,3,0)*VLOOKUP('Données projet'!$B$11,Paramètres!$A$1:$I$88,5,0)</f>
        <v>3.1923264032229784E-13</v>
      </c>
      <c r="BF151" s="14">
        <f t="shared" si="145"/>
        <v>4.1896839804541558E-12</v>
      </c>
      <c r="BG151" s="22">
        <f t="shared" si="115"/>
        <v>7.8530297811856558E-12</v>
      </c>
      <c r="BH151" s="62">
        <f t="shared" si="116"/>
        <v>290.92644038060359</v>
      </c>
      <c r="BI151" s="62">
        <f ca="1">AVERAGE(OFFSET($BH$3,0,0,'Données projet'!$E$11+1,1))-AVERAGE(OFFSET($H$3,0,0,'Données projet'!$E$11+1,1))</f>
        <v>364.96458059055169</v>
      </c>
      <c r="BJ151" s="62">
        <f t="shared" si="146"/>
        <v>246.27159120786257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projet'!$B$11,Paramètres!$A$1:$I$88,7,0))</f>
        <v>0</v>
      </c>
      <c r="BN151" s="17">
        <f>IF(ISNA(VLOOKUP(A151,'Données projet'!$A$87:$I$107,6,0)),0%,VLOOKUP(A151,'Données projet'!$A$87:$I$107,6,0)*VLOOKUP('Données projet'!$B$11,Paramètres!$A$1:$I$88,7,0))</f>
        <v>0</v>
      </c>
      <c r="BO151" s="17">
        <f>IF(ISNA(VLOOKUP(A151,'Données projet'!$A$87:$I$107,7,0)),0%,VLOOKUP(A151,'Données projet'!$A$87:$I$107,7,0))</f>
        <v>0</v>
      </c>
      <c r="BP151" s="23">
        <f>EXP(-LN(2)/35)*BP150+(1-EXP(-LN(2)/35))/(LN(2)/35)*BL151*BM151*VLOOKUP('Données projet'!$B$11,Paramètres!$A$1:$I$88,3,0)*0.475*44/12</f>
        <v>92.013557810375943</v>
      </c>
      <c r="BQ151" s="23">
        <f>EXP(-LN(2)/25)*BQ150+(1-EXP(-LN(2)/25))/(LN(2)/25)*Calculateur!BL151*Calculateur!BN151*VLOOKUP('Données projet'!$B$11,Paramètres!$A$1:$I$88,3,0)*0.475*44/12</f>
        <v>26.637019695820975</v>
      </c>
      <c r="BR151" s="23">
        <f>EXP(-LN(2)/2)*BR150+(1-EXP(-LN(2)/2))/(LN(2)/2)*BL151*BO151*VLOOKUP('Données projet'!$B$11,Paramètres!$A$1:$I$88,3,0)*0.475*44/12</f>
        <v>0</v>
      </c>
      <c r="BS151" s="24">
        <f t="shared" si="117"/>
        <v>118.65057750619692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69.343574649253384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-1.1368683772161603E-13</v>
      </c>
      <c r="BZ151" s="14">
        <f>BY151*VLOOKUP('Données projet'!$B$12,Paramètres!$A$1:$I$88,3,0)*VLOOKUP('Données projet'!$B$12,Paramètres!$A$1:$I$88,5,0)</f>
        <v>-1.1527845344971866E-13</v>
      </c>
      <c r="CA151" s="14" t="e">
        <f t="shared" si="147"/>
        <v>#NUM!</v>
      </c>
      <c r="CB151" s="22" t="e">
        <f t="shared" si="118"/>
        <v>#NUM!</v>
      </c>
      <c r="CC151" s="62" t="e">
        <f t="shared" si="119"/>
        <v>#NUM!</v>
      </c>
      <c r="CD151" s="62">
        <f ca="1">AVERAGE(OFFSET($CC$3,0,0,'Données projet'!$E$12+1,1))-AVERAGE(OFFSET($H$3,0,0,'Données projet'!$E$12+1,1))</f>
        <v>310.53598044763282</v>
      </c>
      <c r="CE151" s="62">
        <f t="shared" si="148"/>
        <v>322.01096634040596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projet'!$B$12,Paramètres!$A$1:$I$88,7,0))</f>
        <v>0</v>
      </c>
      <c r="CI151" s="17">
        <f>IF(ISNA(VLOOKUP(A151,'Données projet'!$A$113:$I$133,6,0)),0%,VLOOKUP(A151,'Données projet'!$A$113:$I$133,6,0)*VLOOKUP('Données projet'!$B$12,Paramètres!$A$1:$I$88,7,0))</f>
        <v>0</v>
      </c>
      <c r="CJ151" s="17">
        <f>IF(ISNA(VLOOKUP(A151,'Données projet'!$A$113:$I$133,7,0)),0%,VLOOKUP(A151,'Données projet'!$A$113:$I$133,7,0))</f>
        <v>0</v>
      </c>
      <c r="CK151" s="23">
        <f>EXP(-LN(2)/35)*CK150+(1-EXP(-LN(2)/35))/(LN(2)/35)*CG151*CH151*VLOOKUP('Données projet'!$B$12,Paramètres!$A$1:$I$88,3,0)*0.475*44/12</f>
        <v>12.655210282428746</v>
      </c>
      <c r="CL151" s="23">
        <f>EXP(-LN(2)/25)*CL150+(1-EXP(-LN(2)/25))/(LN(2)/25)*Calculateur!CG151*Calculateur!CI151*VLOOKUP('Données projet'!$B$12,Paramètres!$A$1:$I$88,3,0)*0.475*44/12</f>
        <v>0</v>
      </c>
      <c r="CM151" s="23">
        <f>EXP(-LN(2)/2)*CM150+(1-EXP(-LN(2)/2))/(LN(2)/2)*CG151*CJ151*VLOOKUP('Données projet'!$B$12,Paramètres!$A$1:$I$88,3,0)*0.475*44/12</f>
        <v>0</v>
      </c>
      <c r="CN151" s="24">
        <f t="shared" si="120"/>
        <v>12.655210282428746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69.343574649253384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projet'!$B$13,Paramètres!$A$1:$I$88,3,0)*VLOOKUP('Données projet'!$B$13,Paramètres!$A$1:$I$88,5,0)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projet'!$B$13,Paramètres!$A$1:$I$88,7,0))</f>
        <v>0</v>
      </c>
      <c r="DD151" s="17">
        <f>IF(ISNA(VLOOKUP(A151,'Données projet'!$A$139:$I$159,6,0)),0%,VLOOKUP(A151,'Données projet'!$A$139:$I$159,6,0)*VLOOKUP('Données projet'!$B$13,Paramètres!$A$1:$I$88,7,0))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projet'!$B$13,Paramètres!$A$1:$I$88,3,0)*0.475*44/12</f>
        <v>#N/A</v>
      </c>
      <c r="DG151" s="23" t="e">
        <f>EXP(-LN(2)/25)*DG150+(1-EXP(-LN(2)/25))/(LN(2)/25)*Calculateur!DB151*Calculateur!DD151*VLOOKUP('Données projet'!$B$13,Paramètres!$A$1:$I$88,3,0)*0.475*44/12</f>
        <v>#N/A</v>
      </c>
      <c r="DH151" s="23" t="e">
        <f>EXP(-LN(2)/2)*DH150+(1-EXP(-LN(2)/2))/(LN(2)/2)*DB151*DE151*VLOOKUP('Données projet'!$B$13,Paramètres!$A$1:$I$88,3,0)*0.475*44/12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69.343574649253384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projet'!$B$14,Paramètres!$A$1:$I$88,3,0)*VLOOKUP('Données projet'!$B$14,Paramètres!$A$1:$I$88,5,0)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projet'!$B$14,Paramètres!$A$1:$I$88,7,0))</f>
        <v>0</v>
      </c>
      <c r="DY151" s="17">
        <f>IF(ISNA(VLOOKUP(A151,'Données projet'!$A$165:$I$185,6,0)),0%,VLOOKUP(A151,'Données projet'!$A$165:$I$185,6,0)*VLOOKUP('Données projet'!$B$14,Paramètres!$A$1:$I$88,7,0))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projet'!$B$14,Paramètres!$A$1:$I$88,3,0)*0.475*44/12</f>
        <v>#N/A</v>
      </c>
      <c r="EB151" s="23" t="e">
        <f>EXP(-LN(2)/25)*EB150+(1-EXP(-LN(2)/25))/(LN(2)/25)*Calculateur!DW151*Calculateur!DY151*VLOOKUP('Données projet'!$B$14,Paramètres!$A$1:$I$88,3,0)*0.475*44/12</f>
        <v>#N/A</v>
      </c>
      <c r="EC151" s="23" t="e">
        <f>EXP(-LN(2)/2)*EC150+(1-EXP(-LN(2)/2))/(LN(2)/2)*DW151*DZ151*VLOOKUP('Données projet'!$B$14,Paramètres!$A$1:$I$88,3,0)*0.475*44/12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69.343574649253384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projet'!$B$15,Paramètres!$A$1:$I$88,3,0)*VLOOKUP('Données projet'!$B$15,Paramètres!$A$1:$I$88,5,0)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projet'!$B$15,Paramètres!$A$1:$I$88,7,0))</f>
        <v>0</v>
      </c>
      <c r="ET151" s="17">
        <f>IF(ISNA(VLOOKUP(A151,'Données projet'!$A$191:$I$211,6,0)),0%,VLOOKUP(A151,'Données projet'!$A$191:$I$211,6,0)*VLOOKUP('Données projet'!$B$15,Paramètres!$A$1:$I$88,7,0))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projet'!$B$15,Paramètres!$A$1:$I$88,3,0)*0.475*44/12</f>
        <v>#N/A</v>
      </c>
      <c r="EW151" s="23" t="e">
        <f>EXP(-LN(2)/25)*EW150+(1-EXP(-LN(2)/25))/(LN(2)/25)*Calculateur!ER151*Calculateur!ET151*VLOOKUP('Données projet'!$B$15,Paramètres!$A$1:$I$88,3,0)*0.475*44/12</f>
        <v>#N/A</v>
      </c>
      <c r="EX151" s="23" t="e">
        <f>EXP(-LN(2)/2)*EX150+(1-EXP(-LN(2)/2))/(LN(2)/2)*ER151*EU151*VLOOKUP('Données projet'!$B$15,Paramètres!$A$1:$I$88,3,0)*0.475*44/12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69.343574649253384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projet'!$B$16,Paramètres!$A$1:$I$88,3,0)*VLOOKUP('Données projet'!$B$16,Paramètres!$A$1:$I$88,5,0)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projet'!$B$16,Paramètres!$A$1:$I$88,7,0))</f>
        <v>0</v>
      </c>
      <c r="FO151" s="17">
        <f>IF(ISNA(VLOOKUP(A151,'Données projet'!$A$217:$I$237,6,0)),0%,VLOOKUP(A151,'Données projet'!$A$217:$I$237,6,0)*VLOOKUP('Données projet'!$B$16,Paramètres!$A$1:$I$88,7,0))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projet'!$B$16,Paramètres!$A$1:$I$88,3,0)*0.475*44/12</f>
        <v>#N/A</v>
      </c>
      <c r="FR151" s="23" t="e">
        <f>EXP(-LN(2)/25)*FR150+(1-EXP(-LN(2)/25))/(LN(2)/25)*Calculateur!FM151*Calculateur!FO151*VLOOKUP('Données projet'!$B$16,Paramètres!$A$1:$I$88,3,0)*0.475*44/12</f>
        <v>#N/A</v>
      </c>
      <c r="FS151" s="23" t="e">
        <f>EXP(-LN(2)/2)*FS150+(1-EXP(-LN(2)/2))/(LN(2)/2)*FM151*FP151*VLOOKUP('Données projet'!$B$16,Paramètres!$A$1:$I$88,3,0)*0.475*44/12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69.343574649253384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projet'!$B$17,Paramètres!$A$1:$I$88,3,0)*VLOOKUP('Données projet'!$B$17,Paramètres!$A$1:$I$88,5,0)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projet'!$B$17,Paramètres!$A$1:$I$88,7,0))</f>
        <v>0</v>
      </c>
      <c r="GJ151" s="17">
        <f>IF(ISNA(VLOOKUP(A151,'Données projet'!$A$243:$I$263,6,0)),0%,VLOOKUP(A151,'Données projet'!$A$243:$I$263,6,0)*VLOOKUP('Données projet'!$B$17,Paramètres!$A$1:$I$88,7,0))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projet'!$B$17,Paramètres!$A$1:$I$88,3,0)*0.475*44/12</f>
        <v>#N/A</v>
      </c>
      <c r="GM151" s="23" t="e">
        <f>EXP(-LN(2)/25)*GM150+(1-EXP(-LN(2)/25))/(LN(2)/25)*Calculateur!GH151*Calculateur!GJ151*VLOOKUP('Données projet'!$B$17,Paramètres!$A$1:$I$88,3,0)*0.475*44/12</f>
        <v>#N/A</v>
      </c>
      <c r="GN151" s="23" t="e">
        <f>EXP(-LN(2)/2)*GN150+(1-EXP(-LN(2)/2))/(LN(2)/2)*GH151*GK151*VLOOKUP('Données projet'!$B$17,Paramètres!$A$1:$I$88,3,0)*0.475*44/12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69.343574649253384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projet'!$B$18,Paramètres!$A$1:$I$88,3,0)*VLOOKUP('Données projet'!$B$18,Paramètres!$A$1:$I$88,5,0)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projet'!$B$18,Paramètres!$A$1:$I$88,7,0))</f>
        <v>0</v>
      </c>
      <c r="HE151" s="17">
        <f>IF(ISNA(VLOOKUP(A151,'Données projet'!$A$269:$I$289,6,0)),0%,VLOOKUP(A151,'Données projet'!$A$269:$I$289,6,0)*VLOOKUP('Données projet'!$B$18,Paramètres!$A$1:$I$88,7,0))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projet'!$B$18,Paramètres!$A$1:$I$88,3,0)*0.475*44/12</f>
        <v>#N/A</v>
      </c>
      <c r="HH151" s="23" t="e">
        <f>EXP(-LN(2)/25)*HH150+(1-EXP(-LN(2)/25))/(LN(2)/25)*Calculateur!HC151*Calculateur!HE151*VLOOKUP('Données projet'!$B$18,Paramètres!$A$1:$I$88,3,0)*0.475*44/12</f>
        <v>#N/A</v>
      </c>
      <c r="HI151" s="23" t="e">
        <f>EXP(-LN(2)/2)*HI150+(1-EXP(-LN(2)/2))/(LN(2)/2)*HC151*HF151*VLOOKUP('Données projet'!$B$18,Paramètres!$A$1:$I$88,3,0)*0.475*44/12</f>
        <v>#N/A</v>
      </c>
      <c r="HJ151" s="24" t="e">
        <f t="shared" si="138"/>
        <v>#N/A</v>
      </c>
    </row>
    <row r="152" spans="1:218" s="5" customFormat="1" x14ac:dyDescent="0.35">
      <c r="A152" s="11">
        <f t="shared" si="139"/>
        <v>149</v>
      </c>
      <c r="B152" s="77">
        <f>'Scénario référence'!$B$16*5+'Scénario référence'!$B$17*0+'Scénario référence'!$B$18*5</f>
        <v>1.75</v>
      </c>
      <c r="C152" s="20">
        <f>Calculateur!C151+'Scénario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52" s="12">
        <f t="shared" si="140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6.416666666666667</v>
      </c>
      <c r="H152" s="70">
        <f t="shared" si="110"/>
        <v>231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69.354962161541607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3.4106051316484809E-13</v>
      </c>
      <c r="O152" s="14">
        <f>N152*VLOOKUP('Données projet'!$B$9,Paramètres!$A$1:$I$88,3,0)*VLOOKUP('Données projet'!$B$9,Paramètres!$A$1:$I$88,5,0)</f>
        <v>1.9065282685915009E-13</v>
      </c>
      <c r="P152" s="14">
        <f t="shared" si="141"/>
        <v>2.6568987209435707E-12</v>
      </c>
      <c r="Q152" s="22">
        <f t="shared" si="108"/>
        <v>4.959485612423072E-12</v>
      </c>
      <c r="R152" s="62">
        <f t="shared" si="109"/>
        <v>290.96819459232415</v>
      </c>
      <c r="S152" s="62">
        <f ca="1">AVERAGE(OFFSET($R$3,0,0,'Données projet'!$E$9+1,1))-AVERAGE(OFFSET($H$3,0,0,'Données projet'!$E$9+1,1))</f>
        <v>341.05096821796769</v>
      </c>
      <c r="T152" s="62">
        <f t="shared" si="142"/>
        <v>400.72519822215168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projet'!$B$9,Paramètres!$A$1:$I$88,7,0))</f>
        <v>0</v>
      </c>
      <c r="X152" s="17">
        <f>IF(ISNA(VLOOKUP(A152,'Données projet'!$A$35:$I$55,6,0)),0%,VLOOKUP(A152,'Données projet'!$A$35:$I$55,6,0)*VLOOKUP('Données projet'!$B$9,Paramètres!$A$1:$I$88,7,0))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projet'!$B$9,Paramètres!$A$1:$I$88,3,0)*0.475*44/12</f>
        <v>41.120335810173735</v>
      </c>
      <c r="AA152" s="23">
        <f>EXP(-LN(2)/25)*AA151+(1-EXP(-LN(2)/25))/(LN(2)/25)*Calculateur!V152*Calculateur!X152*VLOOKUP('Données projet'!$B$9,Paramètres!$A$1:$I$88,3,0)*0.475*44/12</f>
        <v>11.236445700537853</v>
      </c>
      <c r="AB152" s="23">
        <f>EXP(-LN(2)/2)*AB151+(1-EXP(-LN(2)/2))/(LN(2)/2)*V152*Y152*VLOOKUP('Données projet'!$B$9,Paramètres!$A$1:$I$88,3,0)*0.475*44/12</f>
        <v>0</v>
      </c>
      <c r="AC152" s="24">
        <f t="shared" si="111"/>
        <v>52.356781510711585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69.354962161541607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5.6843418860808015E-14</v>
      </c>
      <c r="AJ152" s="14">
        <f>AI152*VLOOKUP('Données projet'!$B$10,Paramètres!$A$1:$I$88,3,0)*VLOOKUP('Données projet'!$B$10,Paramètres!$A$1:$I$88,5,0)</f>
        <v>3.3992364478763198E-14</v>
      </c>
      <c r="AK152" s="14">
        <f t="shared" si="143"/>
        <v>5.790027782444094E-13</v>
      </c>
      <c r="AL152" s="22">
        <f t="shared" si="112"/>
        <v>1.0676332069095257E-12</v>
      </c>
      <c r="AM152" s="62">
        <f t="shared" si="113"/>
        <v>290.96819459232029</v>
      </c>
      <c r="AN152" s="62">
        <f ca="1">AVERAGE(OFFSET($AM$3,0,0,'Données projet'!$E$10+1,1))-AVERAGE(OFFSET($H$3,0,0,'Données projet'!$E$10+1,1))</f>
        <v>231.96474801342879</v>
      </c>
      <c r="AO152" s="62">
        <f t="shared" si="144"/>
        <v>237.75726086383668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projet'!$B$10,Paramètres!$A$1:$I$88,7,0))</f>
        <v>0</v>
      </c>
      <c r="AS152" s="17">
        <f>IF(ISNA(VLOOKUP(A152,'Données projet'!$A$61:$I$81,6,0)),0%,VLOOKUP(A152,'Données projet'!$A$61:$I$81,6,0)*VLOOKUP('Données projet'!$B$10,Paramètres!$A$1:$I$88,7,0))</f>
        <v>0</v>
      </c>
      <c r="AT152" s="17">
        <f>IF(ISNA(VLOOKUP(A152,'Données projet'!$A$61:$I$81,7,0)),0%,VLOOKUP(A152,'Données projet'!$A$61:$I$81,7,0))</f>
        <v>0</v>
      </c>
      <c r="AU152" s="23">
        <f>EXP(-LN(2)/35)*AU151+(1-EXP(-LN(2)/35))/(LN(2)/35)*AQ152*AR152*VLOOKUP('Données projet'!$B$10,Paramètres!$A$1:$I$88,3,0)*0.475*44/12</f>
        <v>16.215785150333883</v>
      </c>
      <c r="AV152" s="23">
        <f>EXP(-LN(2)/25)*AV151+(1-EXP(-LN(2)/25))/(LN(2)/25)*Calculateur!AQ152*Calculateur!AS152*VLOOKUP('Données projet'!$B$10,Paramètres!$A$1:$I$88,3,0)*0.475*44/12</f>
        <v>4.7448669220308544</v>
      </c>
      <c r="AW152" s="23">
        <f>EXP(-LN(2)/2)*AW151+(1-EXP(-LN(2)/2))/(LN(2)/2)*AQ152*AT152*VLOOKUP('Données projet'!$B$10,Paramètres!$A$1:$I$88,3,0)*0.475*44/12</f>
        <v>0</v>
      </c>
      <c r="AX152" s="23">
        <f t="shared" si="114"/>
        <v>20.960652072364738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69.354962161541607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6.8212102632969618E-13</v>
      </c>
      <c r="BE152" s="14">
        <f>BD152*VLOOKUP('Données projet'!$B$11,Paramètres!$A$1:$I$88,3,0)*VLOOKUP('Données projet'!$B$11,Paramètres!$A$1:$I$88,5,0)</f>
        <v>3.1923264032229784E-13</v>
      </c>
      <c r="BF152" s="14">
        <f t="shared" si="145"/>
        <v>4.1896839804541558E-12</v>
      </c>
      <c r="BG152" s="22">
        <f t="shared" si="115"/>
        <v>7.8530297811856558E-12</v>
      </c>
      <c r="BH152" s="62">
        <f t="shared" si="116"/>
        <v>290.96819459232705</v>
      </c>
      <c r="BI152" s="62">
        <f ca="1">AVERAGE(OFFSET($BH$3,0,0,'Données projet'!$E$11+1,1))-AVERAGE(OFFSET($H$3,0,0,'Données projet'!$E$11+1,1))</f>
        <v>364.96458059055169</v>
      </c>
      <c r="BJ152" s="62">
        <f t="shared" si="146"/>
        <v>246.27159120786257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projet'!$B$11,Paramètres!$A$1:$I$88,7,0))</f>
        <v>0</v>
      </c>
      <c r="BN152" s="17">
        <f>IF(ISNA(VLOOKUP(A152,'Données projet'!$A$87:$I$107,6,0)),0%,VLOOKUP(A152,'Données projet'!$A$87:$I$107,6,0)*VLOOKUP('Données projet'!$B$11,Paramètres!$A$1:$I$88,7,0))</f>
        <v>0</v>
      </c>
      <c r="BO152" s="17">
        <f>IF(ISNA(VLOOKUP(A152,'Données projet'!$A$87:$I$107,7,0)),0%,VLOOKUP(A152,'Données projet'!$A$87:$I$107,7,0))</f>
        <v>0</v>
      </c>
      <c r="BP152" s="23">
        <f>EXP(-LN(2)/35)*BP151+(1-EXP(-LN(2)/35))/(LN(2)/35)*BL152*BM152*VLOOKUP('Données projet'!$B$11,Paramètres!$A$1:$I$88,3,0)*0.475*44/12</f>
        <v>90.209228064443082</v>
      </c>
      <c r="BQ152" s="23">
        <f>EXP(-LN(2)/25)*BQ151+(1-EXP(-LN(2)/25))/(LN(2)/25)*Calculateur!BL152*Calculateur!BN152*VLOOKUP('Données projet'!$B$11,Paramètres!$A$1:$I$88,3,0)*0.475*44/12</f>
        <v>25.908628991458762</v>
      </c>
      <c r="BR152" s="23">
        <f>EXP(-LN(2)/2)*BR151+(1-EXP(-LN(2)/2))/(LN(2)/2)*BL152*BO152*VLOOKUP('Données projet'!$B$11,Paramètres!$A$1:$I$88,3,0)*0.475*44/12</f>
        <v>0</v>
      </c>
      <c r="BS152" s="24">
        <f t="shared" si="117"/>
        <v>116.11785705590185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69.354962161541607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-1.1368683772161603E-13</v>
      </c>
      <c r="BZ152" s="14">
        <f>BY152*VLOOKUP('Données projet'!$B$12,Paramètres!$A$1:$I$88,3,0)*VLOOKUP('Données projet'!$B$12,Paramètres!$A$1:$I$88,5,0)</f>
        <v>-1.1527845344971866E-13</v>
      </c>
      <c r="CA152" s="14" t="e">
        <f t="shared" si="147"/>
        <v>#NUM!</v>
      </c>
      <c r="CB152" s="22" t="e">
        <f t="shared" si="118"/>
        <v>#NUM!</v>
      </c>
      <c r="CC152" s="62" t="e">
        <f t="shared" si="119"/>
        <v>#NUM!</v>
      </c>
      <c r="CD152" s="62">
        <f ca="1">AVERAGE(OFFSET($CC$3,0,0,'Données projet'!$E$12+1,1))-AVERAGE(OFFSET($H$3,0,0,'Données projet'!$E$12+1,1))</f>
        <v>310.53598044763282</v>
      </c>
      <c r="CE152" s="62">
        <f t="shared" si="148"/>
        <v>322.01096634040596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projet'!$B$12,Paramètres!$A$1:$I$88,7,0))</f>
        <v>0</v>
      </c>
      <c r="CI152" s="17">
        <f>IF(ISNA(VLOOKUP(A152,'Données projet'!$A$113:$I$133,6,0)),0%,VLOOKUP(A152,'Données projet'!$A$113:$I$133,6,0)*VLOOKUP('Données projet'!$B$12,Paramètres!$A$1:$I$88,7,0))</f>
        <v>0</v>
      </c>
      <c r="CJ152" s="17">
        <f>IF(ISNA(VLOOKUP(A152,'Données projet'!$A$113:$I$133,7,0)),0%,VLOOKUP(A152,'Données projet'!$A$113:$I$133,7,0))</f>
        <v>0</v>
      </c>
      <c r="CK152" s="23">
        <f>EXP(-LN(2)/35)*CK151+(1-EXP(-LN(2)/35))/(LN(2)/35)*CG152*CH152*VLOOKUP('Données projet'!$B$12,Paramètres!$A$1:$I$88,3,0)*0.475*44/12</f>
        <v>12.40704932770641</v>
      </c>
      <c r="CL152" s="23">
        <f>EXP(-LN(2)/25)*CL151+(1-EXP(-LN(2)/25))/(LN(2)/25)*Calculateur!CG152*Calculateur!CI152*VLOOKUP('Données projet'!$B$12,Paramètres!$A$1:$I$88,3,0)*0.475*44/12</f>
        <v>0</v>
      </c>
      <c r="CM152" s="23">
        <f>EXP(-LN(2)/2)*CM151+(1-EXP(-LN(2)/2))/(LN(2)/2)*CG152*CJ152*VLOOKUP('Données projet'!$B$12,Paramètres!$A$1:$I$88,3,0)*0.475*44/12</f>
        <v>0</v>
      </c>
      <c r="CN152" s="24">
        <f t="shared" si="120"/>
        <v>12.40704932770641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69.354962161541607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projet'!$B$13,Paramètres!$A$1:$I$88,3,0)*VLOOKUP('Données projet'!$B$13,Paramètres!$A$1:$I$88,5,0)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projet'!$B$13,Paramètres!$A$1:$I$88,7,0))</f>
        <v>0</v>
      </c>
      <c r="DD152" s="17">
        <f>IF(ISNA(VLOOKUP(A152,'Données projet'!$A$139:$I$159,6,0)),0%,VLOOKUP(A152,'Données projet'!$A$139:$I$159,6,0)*VLOOKUP('Données projet'!$B$13,Paramètres!$A$1:$I$88,7,0))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projet'!$B$13,Paramètres!$A$1:$I$88,3,0)*0.475*44/12</f>
        <v>#N/A</v>
      </c>
      <c r="DG152" s="23" t="e">
        <f>EXP(-LN(2)/25)*DG151+(1-EXP(-LN(2)/25))/(LN(2)/25)*Calculateur!DB152*Calculateur!DD152*VLOOKUP('Données projet'!$B$13,Paramètres!$A$1:$I$88,3,0)*0.475*44/12</f>
        <v>#N/A</v>
      </c>
      <c r="DH152" s="23" t="e">
        <f>EXP(-LN(2)/2)*DH151+(1-EXP(-LN(2)/2))/(LN(2)/2)*DB152*DE152*VLOOKUP('Données projet'!$B$13,Paramètres!$A$1:$I$88,3,0)*0.475*44/12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69.354962161541607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projet'!$B$14,Paramètres!$A$1:$I$88,3,0)*VLOOKUP('Données projet'!$B$14,Paramètres!$A$1:$I$88,5,0)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projet'!$B$14,Paramètres!$A$1:$I$88,7,0))</f>
        <v>0</v>
      </c>
      <c r="DY152" s="17">
        <f>IF(ISNA(VLOOKUP(A152,'Données projet'!$A$165:$I$185,6,0)),0%,VLOOKUP(A152,'Données projet'!$A$165:$I$185,6,0)*VLOOKUP('Données projet'!$B$14,Paramètres!$A$1:$I$88,7,0))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projet'!$B$14,Paramètres!$A$1:$I$88,3,0)*0.475*44/12</f>
        <v>#N/A</v>
      </c>
      <c r="EB152" s="23" t="e">
        <f>EXP(-LN(2)/25)*EB151+(1-EXP(-LN(2)/25))/(LN(2)/25)*Calculateur!DW152*Calculateur!DY152*VLOOKUP('Données projet'!$B$14,Paramètres!$A$1:$I$88,3,0)*0.475*44/12</f>
        <v>#N/A</v>
      </c>
      <c r="EC152" s="23" t="e">
        <f>EXP(-LN(2)/2)*EC151+(1-EXP(-LN(2)/2))/(LN(2)/2)*DW152*DZ152*VLOOKUP('Données projet'!$B$14,Paramètres!$A$1:$I$88,3,0)*0.475*44/12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69.354962161541607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projet'!$B$15,Paramètres!$A$1:$I$88,3,0)*VLOOKUP('Données projet'!$B$15,Paramètres!$A$1:$I$88,5,0)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projet'!$B$15,Paramètres!$A$1:$I$88,7,0))</f>
        <v>0</v>
      </c>
      <c r="ET152" s="17">
        <f>IF(ISNA(VLOOKUP(A152,'Données projet'!$A$191:$I$211,6,0)),0%,VLOOKUP(A152,'Données projet'!$A$191:$I$211,6,0)*VLOOKUP('Données projet'!$B$15,Paramètres!$A$1:$I$88,7,0))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projet'!$B$15,Paramètres!$A$1:$I$88,3,0)*0.475*44/12</f>
        <v>#N/A</v>
      </c>
      <c r="EW152" s="23" t="e">
        <f>EXP(-LN(2)/25)*EW151+(1-EXP(-LN(2)/25))/(LN(2)/25)*Calculateur!ER152*Calculateur!ET152*VLOOKUP('Données projet'!$B$15,Paramètres!$A$1:$I$88,3,0)*0.475*44/12</f>
        <v>#N/A</v>
      </c>
      <c r="EX152" s="23" t="e">
        <f>EXP(-LN(2)/2)*EX151+(1-EXP(-LN(2)/2))/(LN(2)/2)*ER152*EU152*VLOOKUP('Données projet'!$B$15,Paramètres!$A$1:$I$88,3,0)*0.475*44/12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69.354962161541607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projet'!$B$16,Paramètres!$A$1:$I$88,3,0)*VLOOKUP('Données projet'!$B$16,Paramètres!$A$1:$I$88,5,0)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projet'!$B$16,Paramètres!$A$1:$I$88,7,0))</f>
        <v>0</v>
      </c>
      <c r="FO152" s="17">
        <f>IF(ISNA(VLOOKUP(A152,'Données projet'!$A$217:$I$237,6,0)),0%,VLOOKUP(A152,'Données projet'!$A$217:$I$237,6,0)*VLOOKUP('Données projet'!$B$16,Paramètres!$A$1:$I$88,7,0))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projet'!$B$16,Paramètres!$A$1:$I$88,3,0)*0.475*44/12</f>
        <v>#N/A</v>
      </c>
      <c r="FR152" s="23" t="e">
        <f>EXP(-LN(2)/25)*FR151+(1-EXP(-LN(2)/25))/(LN(2)/25)*Calculateur!FM152*Calculateur!FO152*VLOOKUP('Données projet'!$B$16,Paramètres!$A$1:$I$88,3,0)*0.475*44/12</f>
        <v>#N/A</v>
      </c>
      <c r="FS152" s="23" t="e">
        <f>EXP(-LN(2)/2)*FS151+(1-EXP(-LN(2)/2))/(LN(2)/2)*FM152*FP152*VLOOKUP('Données projet'!$B$16,Paramètres!$A$1:$I$88,3,0)*0.475*44/12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69.354962161541607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projet'!$B$17,Paramètres!$A$1:$I$88,3,0)*VLOOKUP('Données projet'!$B$17,Paramètres!$A$1:$I$88,5,0)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projet'!$B$17,Paramètres!$A$1:$I$88,7,0))</f>
        <v>0</v>
      </c>
      <c r="GJ152" s="17">
        <f>IF(ISNA(VLOOKUP(A152,'Données projet'!$A$243:$I$263,6,0)),0%,VLOOKUP(A152,'Données projet'!$A$243:$I$263,6,0)*VLOOKUP('Données projet'!$B$17,Paramètres!$A$1:$I$88,7,0))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projet'!$B$17,Paramètres!$A$1:$I$88,3,0)*0.475*44/12</f>
        <v>#N/A</v>
      </c>
      <c r="GM152" s="23" t="e">
        <f>EXP(-LN(2)/25)*GM151+(1-EXP(-LN(2)/25))/(LN(2)/25)*Calculateur!GH152*Calculateur!GJ152*VLOOKUP('Données projet'!$B$17,Paramètres!$A$1:$I$88,3,0)*0.475*44/12</f>
        <v>#N/A</v>
      </c>
      <c r="GN152" s="23" t="e">
        <f>EXP(-LN(2)/2)*GN151+(1-EXP(-LN(2)/2))/(LN(2)/2)*GH152*GK152*VLOOKUP('Données projet'!$B$17,Paramètres!$A$1:$I$88,3,0)*0.475*44/12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69.354962161541607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projet'!$B$18,Paramètres!$A$1:$I$88,3,0)*VLOOKUP('Données projet'!$B$18,Paramètres!$A$1:$I$88,5,0)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projet'!$B$18,Paramètres!$A$1:$I$88,7,0))</f>
        <v>0</v>
      </c>
      <c r="HE152" s="17">
        <f>IF(ISNA(VLOOKUP(A152,'Données projet'!$A$269:$I$289,6,0)),0%,VLOOKUP(A152,'Données projet'!$A$269:$I$289,6,0)*VLOOKUP('Données projet'!$B$18,Paramètres!$A$1:$I$88,7,0))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projet'!$B$18,Paramètres!$A$1:$I$88,3,0)*0.475*44/12</f>
        <v>#N/A</v>
      </c>
      <c r="HH152" s="23" t="e">
        <f>EXP(-LN(2)/25)*HH151+(1-EXP(-LN(2)/25))/(LN(2)/25)*Calculateur!HC152*Calculateur!HE152*VLOOKUP('Données projet'!$B$18,Paramètres!$A$1:$I$88,3,0)*0.475*44/12</f>
        <v>#N/A</v>
      </c>
      <c r="HI152" s="23" t="e">
        <f>EXP(-LN(2)/2)*HI151+(1-EXP(-LN(2)/2))/(LN(2)/2)*HC152*HF152*VLOOKUP('Données projet'!$B$18,Paramètres!$A$1:$I$88,3,0)*0.475*44/12</f>
        <v>#N/A</v>
      </c>
      <c r="HJ152" s="24" t="e">
        <f t="shared" si="138"/>
        <v>#N/A</v>
      </c>
    </row>
    <row r="153" spans="1:218" s="5" customFormat="1" x14ac:dyDescent="0.35">
      <c r="A153" s="11">
        <f>A152+1</f>
        <v>150</v>
      </c>
      <c r="B153" s="77">
        <f>'Scénario référence'!$B$16*5+'Scénario référence'!$B$17*0+'Scénario référence'!$B$18*5</f>
        <v>1.75</v>
      </c>
      <c r="C153" s="20">
        <f>Calculateur!C152+'Scénario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53" s="12">
        <f t="shared" si="140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6.416666666666667</v>
      </c>
      <c r="H153" s="70">
        <f t="shared" si="110"/>
        <v>231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69.366152125950293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3.4106051316484809E-13</v>
      </c>
      <c r="O153" s="14">
        <f>N153*VLOOKUP('Données projet'!$B$9,Paramètres!$A$1:$I$88,3,0)*VLOOKUP('Données projet'!$B$9,Paramètres!$A$1:$I$88,5,0)</f>
        <v>1.9065282685915009E-13</v>
      </c>
      <c r="P153" s="14">
        <f t="shared" si="141"/>
        <v>2.6568987209435707E-12</v>
      </c>
      <c r="Q153" s="22">
        <f t="shared" si="108"/>
        <v>4.959485612423072E-12</v>
      </c>
      <c r="R153" s="62">
        <f t="shared" si="109"/>
        <v>291.00922446182267</v>
      </c>
      <c r="S153" s="62">
        <f ca="1">AVERAGE(OFFSET($R$3,0,0,'Données projet'!$E$9+1,1))-AVERAGE(OFFSET($H$3,0,0,'Données projet'!$E$9+1,1))</f>
        <v>341.05096821796769</v>
      </c>
      <c r="T153" s="62">
        <f t="shared" si="142"/>
        <v>400.72519822215168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projet'!$B$9,Paramètres!$A$1:$I$88,7,0))</f>
        <v>0</v>
      </c>
      <c r="X153" s="17">
        <f>IF(ISNA(VLOOKUP(A153,'Données projet'!$A$35:$I$55,6,0)),0%,VLOOKUP(A153,'Données projet'!$A$35:$I$55,6,0)*VLOOKUP('Données projet'!$B$9,Paramètres!$A$1:$I$88,7,0))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projet'!$B$9,Paramètres!$A$1:$I$88,3,0)*0.475*44/12</f>
        <v>40.313991105864538</v>
      </c>
      <c r="AA153" s="23">
        <f>EXP(-LN(2)/25)*AA152+(1-EXP(-LN(2)/25))/(LN(2)/25)*Calculateur!V153*Calculateur!X153*VLOOKUP('Données projet'!$B$9,Paramètres!$A$1:$I$88,3,0)*0.475*44/12</f>
        <v>10.929184501957648</v>
      </c>
      <c r="AB153" s="23">
        <f>EXP(-LN(2)/2)*AB152+(1-EXP(-LN(2)/2))/(LN(2)/2)*V153*Y153*VLOOKUP('Données projet'!$B$9,Paramètres!$A$1:$I$88,3,0)*0.475*44/12</f>
        <v>0</v>
      </c>
      <c r="AC153" s="24">
        <f t="shared" si="111"/>
        <v>51.243175607822188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69.366152125950293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5.6843418860808015E-14</v>
      </c>
      <c r="AJ153" s="14">
        <f>AI153*VLOOKUP('Données projet'!$B$10,Paramètres!$A$1:$I$88,3,0)*VLOOKUP('Données projet'!$B$10,Paramètres!$A$1:$I$88,5,0)</f>
        <v>3.3992364478763198E-14</v>
      </c>
      <c r="AK153" s="14">
        <f t="shared" si="143"/>
        <v>5.790027782444094E-13</v>
      </c>
      <c r="AL153" s="22">
        <f t="shared" si="112"/>
        <v>1.0676332069095257E-12</v>
      </c>
      <c r="AM153" s="62">
        <f t="shared" si="113"/>
        <v>291.0092244618188</v>
      </c>
      <c r="AN153" s="62">
        <f ca="1">AVERAGE(OFFSET($AM$3,0,0,'Données projet'!$E$10+1,1))-AVERAGE(OFFSET($H$3,0,0,'Données projet'!$E$10+1,1))</f>
        <v>231.96474801342879</v>
      </c>
      <c r="AO153" s="62">
        <f t="shared" si="144"/>
        <v>237.75726086383668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projet'!$B$10,Paramètres!$A$1:$I$88,7,0))</f>
        <v>0</v>
      </c>
      <c r="AS153" s="17">
        <f>IF(ISNA(VLOOKUP(A153,'Données projet'!$A$61:$I$81,6,0)),0%,VLOOKUP(A153,'Données projet'!$A$61:$I$81,6,0)*VLOOKUP('Données projet'!$B$10,Paramètres!$A$1:$I$88,7,0))</f>
        <v>0</v>
      </c>
      <c r="AT153" s="17">
        <f>IF(ISNA(VLOOKUP(A153,'Données projet'!$A$61:$I$81,7,0)),0%,VLOOKUP(A153,'Données projet'!$A$61:$I$81,7,0))</f>
        <v>0</v>
      </c>
      <c r="AU153" s="23">
        <f>EXP(-LN(2)/35)*AU152+(1-EXP(-LN(2)/35))/(LN(2)/35)*AQ153*AR153*VLOOKUP('Données projet'!$B$10,Paramètres!$A$1:$I$88,3,0)*0.475*44/12</f>
        <v>15.897803494188157</v>
      </c>
      <c r="AV153" s="23">
        <f>EXP(-LN(2)/25)*AV152+(1-EXP(-LN(2)/25))/(LN(2)/25)*Calculateur!AQ153*Calculateur!AS153*VLOOKUP('Données projet'!$B$10,Paramètres!$A$1:$I$88,3,0)*0.475*44/12</f>
        <v>4.6151182865262141</v>
      </c>
      <c r="AW153" s="23">
        <f>EXP(-LN(2)/2)*AW152+(1-EXP(-LN(2)/2))/(LN(2)/2)*AQ153*AT153*VLOOKUP('Données projet'!$B$10,Paramètres!$A$1:$I$88,3,0)*0.475*44/12</f>
        <v>0</v>
      </c>
      <c r="AX153" s="23">
        <f t="shared" si="114"/>
        <v>20.512921780714372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69.366152125950293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6.8212102632969618E-13</v>
      </c>
      <c r="BE153" s="14">
        <f>BD153*VLOOKUP('Données projet'!$B$11,Paramètres!$A$1:$I$88,3,0)*VLOOKUP('Données projet'!$B$11,Paramètres!$A$1:$I$88,5,0)</f>
        <v>3.1923264032229784E-13</v>
      </c>
      <c r="BF153" s="14">
        <f t="shared" si="145"/>
        <v>4.1896839804541558E-12</v>
      </c>
      <c r="BG153" s="22">
        <f t="shared" si="115"/>
        <v>7.8530297811856558E-12</v>
      </c>
      <c r="BH153" s="62">
        <f t="shared" si="116"/>
        <v>291.00922446182557</v>
      </c>
      <c r="BI153" s="62">
        <f ca="1">AVERAGE(OFFSET($BH$3,0,0,'Données projet'!$E$11+1,1))-AVERAGE(OFFSET($H$3,0,0,'Données projet'!$E$11+1,1))</f>
        <v>364.96458059055169</v>
      </c>
      <c r="BJ153" s="62">
        <f t="shared" si="146"/>
        <v>246.27159120786257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projet'!$B$11,Paramètres!$A$1:$I$88,7,0))</f>
        <v>0</v>
      </c>
      <c r="BN153" s="17">
        <f>IF(ISNA(VLOOKUP(A153,'Données projet'!$A$87:$I$107,6,0)),0%,VLOOKUP(A153,'Données projet'!$A$87:$I$107,6,0)*VLOOKUP('Données projet'!$B$11,Paramètres!$A$1:$I$88,7,0))</f>
        <v>0</v>
      </c>
      <c r="BO153" s="17">
        <f>IF(ISNA(VLOOKUP(A153,'Données projet'!$A$87:$I$107,7,0)),0%,VLOOKUP(A153,'Données projet'!$A$87:$I$107,7,0))</f>
        <v>0</v>
      </c>
      <c r="BP153" s="23">
        <f>EXP(-LN(2)/35)*BP152+(1-EXP(-LN(2)/35))/(LN(2)/35)*BL153*BM153*VLOOKUP('Données projet'!$B$11,Paramètres!$A$1:$I$88,3,0)*0.475*44/12</f>
        <v>88.440280124295484</v>
      </c>
      <c r="BQ153" s="23">
        <f>EXP(-LN(2)/25)*BQ152+(1-EXP(-LN(2)/25))/(LN(2)/25)*Calculateur!BL153*Calculateur!BN153*VLOOKUP('Données projet'!$B$11,Paramètres!$A$1:$I$88,3,0)*0.475*44/12</f>
        <v>25.200156169211738</v>
      </c>
      <c r="BR153" s="23">
        <f>EXP(-LN(2)/2)*BR152+(1-EXP(-LN(2)/2))/(LN(2)/2)*BL153*BO153*VLOOKUP('Données projet'!$B$11,Paramètres!$A$1:$I$88,3,0)*0.475*44/12</f>
        <v>0</v>
      </c>
      <c r="BS153" s="24">
        <f t="shared" si="117"/>
        <v>113.64043629350722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69.366152125950293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-1.1368683772161603E-13</v>
      </c>
      <c r="BZ153" s="14">
        <f>BY153*VLOOKUP('Données projet'!$B$12,Paramètres!$A$1:$I$88,3,0)*VLOOKUP('Données projet'!$B$12,Paramètres!$A$1:$I$88,5,0)</f>
        <v>-1.1527845344971866E-13</v>
      </c>
      <c r="CA153" s="14" t="e">
        <f t="shared" si="147"/>
        <v>#NUM!</v>
      </c>
      <c r="CB153" s="22" t="e">
        <f t="shared" si="118"/>
        <v>#NUM!</v>
      </c>
      <c r="CC153" s="62" t="e">
        <f t="shared" si="119"/>
        <v>#NUM!</v>
      </c>
      <c r="CD153" s="62">
        <f ca="1">AVERAGE(OFFSET($CC$3,0,0,'Données projet'!$E$12+1,1))-AVERAGE(OFFSET($H$3,0,0,'Données projet'!$E$12+1,1))</f>
        <v>310.53598044763282</v>
      </c>
      <c r="CE153" s="62">
        <f t="shared" si="148"/>
        <v>322.01096634040596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projet'!$B$12,Paramètres!$A$1:$I$88,7,0))</f>
        <v>0</v>
      </c>
      <c r="CI153" s="17">
        <f>IF(ISNA(VLOOKUP(A153,'Données projet'!$A$113:$I$133,6,0)),0%,VLOOKUP(A153,'Données projet'!$A$113:$I$133,6,0)*VLOOKUP('Données projet'!$B$12,Paramètres!$A$1:$I$88,7,0))</f>
        <v>0</v>
      </c>
      <c r="CJ153" s="17">
        <f>IF(ISNA(VLOOKUP(A153,'Données projet'!$A$113:$I$133,7,0)),0%,VLOOKUP(A153,'Données projet'!$A$113:$I$133,7,0))</f>
        <v>0</v>
      </c>
      <c r="CK153" s="23">
        <f>EXP(-LN(2)/35)*CK152+(1-EXP(-LN(2)/35))/(LN(2)/35)*CG153*CH153*VLOOKUP('Données projet'!$B$12,Paramètres!$A$1:$I$88,3,0)*0.475*44/12</f>
        <v>12.163754657942944</v>
      </c>
      <c r="CL153" s="23">
        <f>EXP(-LN(2)/25)*CL152+(1-EXP(-LN(2)/25))/(LN(2)/25)*Calculateur!CG153*Calculateur!CI153*VLOOKUP('Données projet'!$B$12,Paramètres!$A$1:$I$88,3,0)*0.475*44/12</f>
        <v>0</v>
      </c>
      <c r="CM153" s="23">
        <f>EXP(-LN(2)/2)*CM152+(1-EXP(-LN(2)/2))/(LN(2)/2)*CG153*CJ153*VLOOKUP('Données projet'!$B$12,Paramètres!$A$1:$I$88,3,0)*0.475*44/12</f>
        <v>0</v>
      </c>
      <c r="CN153" s="24">
        <f t="shared" si="120"/>
        <v>12.163754657942944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69.366152125950293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projet'!$B$13,Paramètres!$A$1:$I$88,3,0)*VLOOKUP('Données projet'!$B$13,Paramètres!$A$1:$I$88,5,0)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projet'!$B$13,Paramètres!$A$1:$I$88,7,0))</f>
        <v>0</v>
      </c>
      <c r="DD153" s="17">
        <f>IF(ISNA(VLOOKUP(A153,'Données projet'!$A$139:$I$159,6,0)),0%,VLOOKUP(A153,'Données projet'!$A$139:$I$159,6,0)*VLOOKUP('Données projet'!$B$13,Paramètres!$A$1:$I$88,7,0))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projet'!$B$13,Paramètres!$A$1:$I$88,3,0)*0.475*44/12</f>
        <v>#N/A</v>
      </c>
      <c r="DG153" s="23" t="e">
        <f>EXP(-LN(2)/25)*DG152+(1-EXP(-LN(2)/25))/(LN(2)/25)*Calculateur!DB153*Calculateur!DD153*VLOOKUP('Données projet'!$B$13,Paramètres!$A$1:$I$88,3,0)*0.475*44/12</f>
        <v>#N/A</v>
      </c>
      <c r="DH153" s="23" t="e">
        <f>EXP(-LN(2)/2)*DH152+(1-EXP(-LN(2)/2))/(LN(2)/2)*DB153*DE153*VLOOKUP('Données projet'!$B$13,Paramètres!$A$1:$I$88,3,0)*0.475*44/12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69.366152125950293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projet'!$B$14,Paramètres!$A$1:$I$88,3,0)*VLOOKUP('Données projet'!$B$14,Paramètres!$A$1:$I$88,5,0)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projet'!$B$14,Paramètres!$A$1:$I$88,7,0))</f>
        <v>0</v>
      </c>
      <c r="DY153" s="17">
        <f>IF(ISNA(VLOOKUP(A153,'Données projet'!$A$165:$I$185,6,0)),0%,VLOOKUP(A153,'Données projet'!$A$165:$I$185,6,0)*VLOOKUP('Données projet'!$B$14,Paramètres!$A$1:$I$88,7,0))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projet'!$B$14,Paramètres!$A$1:$I$88,3,0)*0.475*44/12</f>
        <v>#N/A</v>
      </c>
      <c r="EB153" s="23" t="e">
        <f>EXP(-LN(2)/25)*EB152+(1-EXP(-LN(2)/25))/(LN(2)/25)*Calculateur!DW153*Calculateur!DY153*VLOOKUP('Données projet'!$B$14,Paramètres!$A$1:$I$88,3,0)*0.475*44/12</f>
        <v>#N/A</v>
      </c>
      <c r="EC153" s="23" t="e">
        <f>EXP(-LN(2)/2)*EC152+(1-EXP(-LN(2)/2))/(LN(2)/2)*DW153*DZ153*VLOOKUP('Données projet'!$B$14,Paramètres!$A$1:$I$88,3,0)*0.475*44/12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69.366152125950293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projet'!$B$15,Paramètres!$A$1:$I$88,3,0)*VLOOKUP('Données projet'!$B$15,Paramètres!$A$1:$I$88,5,0)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projet'!$B$15,Paramètres!$A$1:$I$88,7,0))</f>
        <v>0</v>
      </c>
      <c r="ET153" s="17">
        <f>IF(ISNA(VLOOKUP(A153,'Données projet'!$A$191:$I$211,6,0)),0%,VLOOKUP(A153,'Données projet'!$A$191:$I$211,6,0)*VLOOKUP('Données projet'!$B$15,Paramètres!$A$1:$I$88,7,0))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projet'!$B$15,Paramètres!$A$1:$I$88,3,0)*0.475*44/12</f>
        <v>#N/A</v>
      </c>
      <c r="EW153" s="23" t="e">
        <f>EXP(-LN(2)/25)*EW152+(1-EXP(-LN(2)/25))/(LN(2)/25)*Calculateur!ER153*Calculateur!ET153*VLOOKUP('Données projet'!$B$15,Paramètres!$A$1:$I$88,3,0)*0.475*44/12</f>
        <v>#N/A</v>
      </c>
      <c r="EX153" s="23" t="e">
        <f>EXP(-LN(2)/2)*EX152+(1-EXP(-LN(2)/2))/(LN(2)/2)*ER153*EU153*VLOOKUP('Données projet'!$B$15,Paramètres!$A$1:$I$88,3,0)*0.475*44/12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69.366152125950293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projet'!$B$16,Paramètres!$A$1:$I$88,3,0)*VLOOKUP('Données projet'!$B$16,Paramètres!$A$1:$I$88,5,0)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projet'!$B$16,Paramètres!$A$1:$I$88,7,0))</f>
        <v>0</v>
      </c>
      <c r="FO153" s="17">
        <f>IF(ISNA(VLOOKUP(A153,'Données projet'!$A$217:$I$237,6,0)),0%,VLOOKUP(A153,'Données projet'!$A$217:$I$237,6,0)*VLOOKUP('Données projet'!$B$16,Paramètres!$A$1:$I$88,7,0))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projet'!$B$16,Paramètres!$A$1:$I$88,3,0)*0.475*44/12</f>
        <v>#N/A</v>
      </c>
      <c r="FR153" s="23" t="e">
        <f>EXP(-LN(2)/25)*FR152+(1-EXP(-LN(2)/25))/(LN(2)/25)*Calculateur!FM153*Calculateur!FO153*VLOOKUP('Données projet'!$B$16,Paramètres!$A$1:$I$88,3,0)*0.475*44/12</f>
        <v>#N/A</v>
      </c>
      <c r="FS153" s="23" t="e">
        <f>EXP(-LN(2)/2)*FS152+(1-EXP(-LN(2)/2))/(LN(2)/2)*FM153*FP153*VLOOKUP('Données projet'!$B$16,Paramètres!$A$1:$I$88,3,0)*0.475*44/12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69.366152125950293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projet'!$B$17,Paramètres!$A$1:$I$88,3,0)*VLOOKUP('Données projet'!$B$17,Paramètres!$A$1:$I$88,5,0)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projet'!$B$17,Paramètres!$A$1:$I$88,7,0))</f>
        <v>0</v>
      </c>
      <c r="GJ153" s="17">
        <f>IF(ISNA(VLOOKUP(A153,'Données projet'!$A$243:$I$263,6,0)),0%,VLOOKUP(A153,'Données projet'!$A$243:$I$263,6,0)*VLOOKUP('Données projet'!$B$17,Paramètres!$A$1:$I$88,7,0))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projet'!$B$17,Paramètres!$A$1:$I$88,3,0)*0.475*44/12</f>
        <v>#N/A</v>
      </c>
      <c r="GM153" s="23" t="e">
        <f>EXP(-LN(2)/25)*GM152+(1-EXP(-LN(2)/25))/(LN(2)/25)*Calculateur!GH153*Calculateur!GJ153*VLOOKUP('Données projet'!$B$17,Paramètres!$A$1:$I$88,3,0)*0.475*44/12</f>
        <v>#N/A</v>
      </c>
      <c r="GN153" s="23" t="e">
        <f>EXP(-LN(2)/2)*GN152+(1-EXP(-LN(2)/2))/(LN(2)/2)*GH153*GK153*VLOOKUP('Données projet'!$B$17,Paramètres!$A$1:$I$88,3,0)*0.475*44/12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69.366152125950293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projet'!$B$18,Paramètres!$A$1:$I$88,3,0)*VLOOKUP('Données projet'!$B$18,Paramètres!$A$1:$I$88,5,0)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projet'!$B$18,Paramètres!$A$1:$I$88,7,0))</f>
        <v>0</v>
      </c>
      <c r="HE153" s="17">
        <f>IF(ISNA(VLOOKUP(A153,'Données projet'!$A$269:$I$289,6,0)),0%,VLOOKUP(A153,'Données projet'!$A$269:$I$289,6,0)*VLOOKUP('Données projet'!$B$18,Paramètres!$A$1:$I$88,7,0))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projet'!$B$18,Paramètres!$A$1:$I$88,3,0)*0.475*44/12</f>
        <v>#N/A</v>
      </c>
      <c r="HH153" s="23" t="e">
        <f>EXP(-LN(2)/25)*HH152+(1-EXP(-LN(2)/25))/(LN(2)/25)*Calculateur!HC153*Calculateur!HE153*VLOOKUP('Données projet'!$B$18,Paramètres!$A$1:$I$88,3,0)*0.475*44/12</f>
        <v>#N/A</v>
      </c>
      <c r="HI153" s="23" t="e">
        <f>EXP(-LN(2)/2)*HI152+(1-EXP(-LN(2)/2))/(LN(2)/2)*HC153*HF153*VLOOKUP('Données projet'!$B$18,Paramètres!$A$1:$I$88,3,0)*0.475*44/12</f>
        <v>#N/A</v>
      </c>
      <c r="HJ153" s="24" t="e">
        <f t="shared" si="138"/>
        <v>#N/A</v>
      </c>
    </row>
    <row r="154" spans="1:218" x14ac:dyDescent="0.35">
      <c r="A154" s="11">
        <f t="shared" ref="A154:A202" si="161">A153+1</f>
        <v>151</v>
      </c>
      <c r="B154" s="77">
        <f>'Scénario référence'!$B$16*5+'Scénario référence'!$B$17*0+'Scénario référence'!$B$18*5</f>
        <v>1.75</v>
      </c>
      <c r="C154" s="20">
        <f>Calculateur!C153+'Scénario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54" s="12">
        <f t="shared" si="140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6.416666666666667</v>
      </c>
      <c r="H154" s="70">
        <f t="shared" si="110"/>
        <v>231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69.377147969493507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3.4106051316484809E-13</v>
      </c>
      <c r="O154" s="14">
        <f>N154*VLOOKUP('Données projet'!$B$9,Paramètres!$A$1:$I$88,3,0)*VLOOKUP('Données projet'!$B$9,Paramètres!$A$1:$I$88,5,0)</f>
        <v>1.9065282685915009E-13</v>
      </c>
      <c r="P154" s="14">
        <f t="shared" si="141"/>
        <v>2.6568987209435707E-12</v>
      </c>
      <c r="Q154" s="22">
        <f t="shared" ref="Q154:Q203" si="162">(O154+P154)*0.475*44/12</f>
        <v>4.959485612423072E-12</v>
      </c>
      <c r="R154" s="62">
        <f t="shared" si="109"/>
        <v>291.04954255481448</v>
      </c>
      <c r="S154" s="62">
        <f ca="1">AVERAGE(OFFSET($R$3,0,0,'Données projet'!$E$9+1,1))-AVERAGE(OFFSET($H$3,0,0,'Données projet'!$E$9+1,1))</f>
        <v>341.05096821796769</v>
      </c>
      <c r="T154" s="62">
        <f t="shared" si="142"/>
        <v>400.72519822215168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projet'!$B$9,Paramètres!$A$1:$I$88,7,0))</f>
        <v>0</v>
      </c>
      <c r="X154" s="17">
        <f>IF(ISNA(VLOOKUP(A154,'Données projet'!$A$35:$I$55,6,0)),0%,VLOOKUP(A154,'Données projet'!$A$35:$I$55,6,0)*VLOOKUP('Données projet'!$B$9,Paramètres!$A$1:$I$88,7,0))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projet'!$B$9,Paramètres!$A$1:$I$88,3,0)*0.475*44/12</f>
        <v>39.523458329385136</v>
      </c>
      <c r="AA154" s="23">
        <f>EXP(-LN(2)/25)*AA153+(1-EXP(-LN(2)/25))/(LN(2)/25)*Calculateur!V154*Calculateur!X154*VLOOKUP('Données projet'!$B$9,Paramètres!$A$1:$I$88,3,0)*0.475*44/12</f>
        <v>10.630325377010783</v>
      </c>
      <c r="AB154" s="23">
        <f>EXP(-LN(2)/2)*AB153+(1-EXP(-LN(2)/2))/(LN(2)/2)*V154*Y154*VLOOKUP('Données projet'!$B$9,Paramètres!$A$1:$I$88,3,0)*0.475*44/12</f>
        <v>0</v>
      </c>
      <c r="AC154" s="24">
        <f t="shared" ref="AC154:AC203" si="163">SUM(Z154:AB154)</f>
        <v>50.15378370639592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69.377147969493507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5.6843418860808015E-14</v>
      </c>
      <c r="AJ154" s="14">
        <f>AI154*VLOOKUP('Données projet'!$B$10,Paramètres!$A$1:$I$88,3,0)*VLOOKUP('Données projet'!$B$10,Paramètres!$A$1:$I$88,5,0)</f>
        <v>3.3992364478763198E-14</v>
      </c>
      <c r="AK154" s="14">
        <f t="shared" ref="AK154:AK203" si="164">EXP(-1.0587+0.8836*LN(AJ154)+0.284)</f>
        <v>5.790027782444094E-13</v>
      </c>
      <c r="AL154" s="22">
        <f t="shared" ref="AL154:AL203" si="165">(AJ154+AK154)*0.475*44/12</f>
        <v>1.0676332069095257E-12</v>
      </c>
      <c r="AM154" s="62">
        <f t="shared" si="113"/>
        <v>291.04954255481061</v>
      </c>
      <c r="AN154" s="62">
        <f ca="1">AVERAGE(OFFSET($AM$3,0,0,'Données projet'!$E$10+1,1))-AVERAGE(OFFSET($H$3,0,0,'Données projet'!$E$10+1,1))</f>
        <v>231.96474801342879</v>
      </c>
      <c r="AO154" s="62">
        <f t="shared" si="144"/>
        <v>237.75726086383668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projet'!$B$10,Paramètres!$A$1:$I$88,7,0))</f>
        <v>0</v>
      </c>
      <c r="AS154" s="17">
        <f>IF(ISNA(VLOOKUP(A154,'Données projet'!$A$61:$I$81,6,0)),0%,VLOOKUP(A154,'Données projet'!$A$61:$I$81,6,0)*VLOOKUP('Données projet'!$B$10,Paramètres!$A$1:$I$88,7,0))</f>
        <v>0</v>
      </c>
      <c r="AT154" s="17">
        <f>IF(ISNA(VLOOKUP(A154,'Données projet'!$A$61:$I$81,7,0)),0%,VLOOKUP(A154,'Données projet'!$A$61:$I$81,7,0))</f>
        <v>0</v>
      </c>
      <c r="AU154" s="23">
        <f>EXP(-LN(2)/35)*AU153+(1-EXP(-LN(2)/35))/(LN(2)/35)*AQ154*AR154*VLOOKUP('Données projet'!$B$10,Paramètres!$A$1:$I$88,3,0)*0.475*44/12</f>
        <v>15.586057264369789</v>
      </c>
      <c r="AV154" s="23">
        <f>EXP(-LN(2)/25)*AV153+(1-EXP(-LN(2)/25))/(LN(2)/25)*Calculateur!AQ154*Calculateur!AS154*VLOOKUP('Données projet'!$B$10,Paramètres!$A$1:$I$88,3,0)*0.475*44/12</f>
        <v>4.4889176342826325</v>
      </c>
      <c r="AW154" s="23">
        <f>EXP(-LN(2)/2)*AW153+(1-EXP(-LN(2)/2))/(LN(2)/2)*AQ154*AT154*VLOOKUP('Données projet'!$B$10,Paramètres!$A$1:$I$88,3,0)*0.475*44/12</f>
        <v>0</v>
      </c>
      <c r="AX154" s="23">
        <f t="shared" ref="AX154:AX203" si="166">SUM(AU154:AW154)</f>
        <v>20.074974898652421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69.377147969493507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6.8212102632969618E-13</v>
      </c>
      <c r="BE154" s="14">
        <f>BD154*VLOOKUP('Données projet'!$B$11,Paramètres!$A$1:$I$88,3,0)*VLOOKUP('Données projet'!$B$11,Paramètres!$A$1:$I$88,5,0)</f>
        <v>3.1923264032229784E-13</v>
      </c>
      <c r="BF154" s="14">
        <f t="shared" ref="BF154:BF203" si="167">EXP(-1.0587+0.8836*LN(BE154)+0.284)</f>
        <v>4.1896839804541558E-12</v>
      </c>
      <c r="BG154" s="22">
        <f t="shared" ref="BG154:BG203" si="168">(BE154+BF154)*0.475*44/12</f>
        <v>7.8530297811856558E-12</v>
      </c>
      <c r="BH154" s="62">
        <f t="shared" si="116"/>
        <v>291.04954255481738</v>
      </c>
      <c r="BI154" s="62">
        <f ca="1">AVERAGE(OFFSET($BH$3,0,0,'Données projet'!$E$11+1,1))-AVERAGE(OFFSET($H$3,0,0,'Données projet'!$E$11+1,1))</f>
        <v>364.96458059055169</v>
      </c>
      <c r="BJ154" s="62">
        <f t="shared" si="146"/>
        <v>246.27159120786257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projet'!$B$11,Paramètres!$A$1:$I$88,7,0))</f>
        <v>0</v>
      </c>
      <c r="BN154" s="17">
        <f>IF(ISNA(VLOOKUP(A154,'Données projet'!$A$87:$I$107,6,0)),0%,VLOOKUP(A154,'Données projet'!$A$87:$I$107,6,0)*VLOOKUP('Données projet'!$B$11,Paramètres!$A$1:$I$88,7,0))</f>
        <v>0</v>
      </c>
      <c r="BO154" s="17">
        <f>IF(ISNA(VLOOKUP(A154,'Données projet'!$A$87:$I$107,7,0)),0%,VLOOKUP(A154,'Données projet'!$A$87:$I$107,7,0))</f>
        <v>0</v>
      </c>
      <c r="BP154" s="23">
        <f>EXP(-LN(2)/35)*BP153+(1-EXP(-LN(2)/35))/(LN(2)/35)*BL154*BM154*VLOOKUP('Données projet'!$B$11,Paramètres!$A$1:$I$88,3,0)*0.475*44/12</f>
        <v>86.706020174302466</v>
      </c>
      <c r="BQ154" s="23">
        <f>EXP(-LN(2)/25)*BQ153+(1-EXP(-LN(2)/25))/(LN(2)/25)*Calculateur!BL154*Calculateur!BN154*VLOOKUP('Données projet'!$B$11,Paramètres!$A$1:$I$88,3,0)*0.475*44/12</f>
        <v>24.511056573546025</v>
      </c>
      <c r="BR154" s="23">
        <f>EXP(-LN(2)/2)*BR153+(1-EXP(-LN(2)/2))/(LN(2)/2)*BL154*BO154*VLOOKUP('Données projet'!$B$11,Paramètres!$A$1:$I$88,3,0)*0.475*44/12</f>
        <v>0</v>
      </c>
      <c r="BS154" s="24">
        <f t="shared" ref="BS154:BS203" si="169">SUM(BP154:BR154)</f>
        <v>111.21707674784849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69.377147969493507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-1.1368683772161603E-13</v>
      </c>
      <c r="BZ154" s="14">
        <f>BY154*VLOOKUP('Données projet'!$B$12,Paramètres!$A$1:$I$88,3,0)*VLOOKUP('Données projet'!$B$12,Paramètres!$A$1:$I$88,5,0)</f>
        <v>-1.1527845344971866E-13</v>
      </c>
      <c r="CA154" s="14" t="e">
        <f t="shared" ref="CA154:CA203" si="170">EXP(-1.0587+0.8836*LN(BZ154)+0.284)</f>
        <v>#NUM!</v>
      </c>
      <c r="CB154" s="22" t="e">
        <f t="shared" ref="CB154:CB203" si="171">(BZ154+CA154)*0.475*44/12</f>
        <v>#NUM!</v>
      </c>
      <c r="CC154" s="62" t="e">
        <f t="shared" si="119"/>
        <v>#NUM!</v>
      </c>
      <c r="CD154" s="62">
        <f ca="1">AVERAGE(OFFSET($CC$3,0,0,'Données projet'!$E$12+1,1))-AVERAGE(OFFSET($H$3,0,0,'Données projet'!$E$12+1,1))</f>
        <v>310.53598044763282</v>
      </c>
      <c r="CE154" s="62">
        <f t="shared" si="148"/>
        <v>322.01096634040596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projet'!$B$12,Paramètres!$A$1:$I$88,7,0))</f>
        <v>0</v>
      </c>
      <c r="CI154" s="17">
        <f>IF(ISNA(VLOOKUP(A154,'Données projet'!$A$113:$I$133,6,0)),0%,VLOOKUP(A154,'Données projet'!$A$113:$I$133,6,0)*VLOOKUP('Données projet'!$B$12,Paramètres!$A$1:$I$88,7,0))</f>
        <v>0</v>
      </c>
      <c r="CJ154" s="17">
        <f>IF(ISNA(VLOOKUP(A154,'Données projet'!$A$113:$I$133,7,0)),0%,VLOOKUP(A154,'Données projet'!$A$113:$I$133,7,0))</f>
        <v>0</v>
      </c>
      <c r="CK154" s="23">
        <f>EXP(-LN(2)/35)*CK153+(1-EXP(-LN(2)/35))/(LN(2)/35)*CG154*CH154*VLOOKUP('Données projet'!$B$12,Paramètres!$A$1:$I$88,3,0)*0.475*44/12</f>
        <v>11.925230848258442</v>
      </c>
      <c r="CL154" s="23">
        <f>EXP(-LN(2)/25)*CL153+(1-EXP(-LN(2)/25))/(LN(2)/25)*Calculateur!CG154*Calculateur!CI154*VLOOKUP('Données projet'!$B$12,Paramètres!$A$1:$I$88,3,0)*0.475*44/12</f>
        <v>0</v>
      </c>
      <c r="CM154" s="23">
        <f>EXP(-LN(2)/2)*CM153+(1-EXP(-LN(2)/2))/(LN(2)/2)*CG154*CJ154*VLOOKUP('Données projet'!$B$12,Paramètres!$A$1:$I$88,3,0)*0.475*44/12</f>
        <v>0</v>
      </c>
      <c r="CN154" s="24">
        <f t="shared" ref="CN154:CN203" si="172">SUM(CK154:CM154)</f>
        <v>11.925230848258442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69.377147969493507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projet'!$B$13,Paramètres!$A$1:$I$88,3,0)*VLOOKUP('Données projet'!$B$13,Paramètres!$A$1:$I$88,5,0)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projet'!$B$13,Paramètres!$A$1:$I$88,7,0))</f>
        <v>0</v>
      </c>
      <c r="DD154" s="17">
        <f>IF(ISNA(VLOOKUP(A154,'Données projet'!$A$139:$I$159,6,0)),0%,VLOOKUP(A154,'Données projet'!$A$139:$I$159,6,0)*VLOOKUP('Données projet'!$B$13,Paramètres!$A$1:$I$88,7,0))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projet'!$B$13,Paramètres!$A$1:$I$88,3,0)*0.475*44/12</f>
        <v>#N/A</v>
      </c>
      <c r="DG154" s="23" t="e">
        <f>EXP(-LN(2)/25)*DG153+(1-EXP(-LN(2)/25))/(LN(2)/25)*Calculateur!DB154*Calculateur!DD154*VLOOKUP('Données projet'!$B$13,Paramètres!$A$1:$I$88,3,0)*0.475*44/12</f>
        <v>#N/A</v>
      </c>
      <c r="DH154" s="23" t="e">
        <f>EXP(-LN(2)/2)*DH153+(1-EXP(-LN(2)/2))/(LN(2)/2)*DB154*DE154*VLOOKUP('Données projet'!$B$13,Paramètres!$A$1:$I$88,3,0)*0.475*44/12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69.377147969493507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projet'!$B$14,Paramètres!$A$1:$I$88,3,0)*VLOOKUP('Données projet'!$B$14,Paramètres!$A$1:$I$88,5,0)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projet'!$B$14,Paramètres!$A$1:$I$88,7,0))</f>
        <v>0</v>
      </c>
      <c r="DY154" s="17">
        <f>IF(ISNA(VLOOKUP(A154,'Données projet'!$A$165:$I$185,6,0)),0%,VLOOKUP(A154,'Données projet'!$A$165:$I$185,6,0)*VLOOKUP('Données projet'!$B$14,Paramètres!$A$1:$I$88,7,0))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projet'!$B$14,Paramètres!$A$1:$I$88,3,0)*0.475*44/12</f>
        <v>#N/A</v>
      </c>
      <c r="EB154" s="23" t="e">
        <f>EXP(-LN(2)/25)*EB153+(1-EXP(-LN(2)/25))/(LN(2)/25)*Calculateur!DW154*Calculateur!DY154*VLOOKUP('Données projet'!$B$14,Paramètres!$A$1:$I$88,3,0)*0.475*44/12</f>
        <v>#N/A</v>
      </c>
      <c r="EC154" s="23" t="e">
        <f>EXP(-LN(2)/2)*EC153+(1-EXP(-LN(2)/2))/(LN(2)/2)*DW154*DZ154*VLOOKUP('Données projet'!$B$14,Paramètres!$A$1:$I$88,3,0)*0.475*44/12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69.377147969493507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projet'!$B$15,Paramètres!$A$1:$I$88,3,0)*VLOOKUP('Données projet'!$B$15,Paramètres!$A$1:$I$88,5,0)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projet'!$B$15,Paramètres!$A$1:$I$88,7,0))</f>
        <v>0</v>
      </c>
      <c r="ET154" s="17">
        <f>IF(ISNA(VLOOKUP(A154,'Données projet'!$A$191:$I$211,6,0)),0%,VLOOKUP(A154,'Données projet'!$A$191:$I$211,6,0)*VLOOKUP('Données projet'!$B$15,Paramètres!$A$1:$I$88,7,0))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projet'!$B$15,Paramètres!$A$1:$I$88,3,0)*0.475*44/12</f>
        <v>#N/A</v>
      </c>
      <c r="EW154" s="23" t="e">
        <f>EXP(-LN(2)/25)*EW153+(1-EXP(-LN(2)/25))/(LN(2)/25)*Calculateur!ER154*Calculateur!ET154*VLOOKUP('Données projet'!$B$15,Paramètres!$A$1:$I$88,3,0)*0.475*44/12</f>
        <v>#N/A</v>
      </c>
      <c r="EX154" s="23" t="e">
        <f>EXP(-LN(2)/2)*EX153+(1-EXP(-LN(2)/2))/(LN(2)/2)*ER154*EU154*VLOOKUP('Données projet'!$B$15,Paramètres!$A$1:$I$88,3,0)*0.475*44/12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69.377147969493507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projet'!$B$16,Paramètres!$A$1:$I$88,3,0)*VLOOKUP('Données projet'!$B$16,Paramètres!$A$1:$I$88,5,0)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projet'!$B$16,Paramètres!$A$1:$I$88,7,0))</f>
        <v>0</v>
      </c>
      <c r="FO154" s="17">
        <f>IF(ISNA(VLOOKUP(A154,'Données projet'!$A$217:$I$237,6,0)),0%,VLOOKUP(A154,'Données projet'!$A$217:$I$237,6,0)*VLOOKUP('Données projet'!$B$16,Paramètres!$A$1:$I$88,7,0))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projet'!$B$16,Paramètres!$A$1:$I$88,3,0)*0.475*44/12</f>
        <v>#N/A</v>
      </c>
      <c r="FR154" s="23" t="e">
        <f>EXP(-LN(2)/25)*FR153+(1-EXP(-LN(2)/25))/(LN(2)/25)*Calculateur!FM154*Calculateur!FO154*VLOOKUP('Données projet'!$B$16,Paramètres!$A$1:$I$88,3,0)*0.475*44/12</f>
        <v>#N/A</v>
      </c>
      <c r="FS154" s="23" t="e">
        <f>EXP(-LN(2)/2)*FS153+(1-EXP(-LN(2)/2))/(LN(2)/2)*FM154*FP154*VLOOKUP('Données projet'!$B$16,Paramètres!$A$1:$I$88,3,0)*0.475*44/12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69.377147969493507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projet'!$B$17,Paramètres!$A$1:$I$88,3,0)*VLOOKUP('Données projet'!$B$17,Paramètres!$A$1:$I$88,5,0)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projet'!$B$17,Paramètres!$A$1:$I$88,7,0))</f>
        <v>0</v>
      </c>
      <c r="GJ154" s="17">
        <f>IF(ISNA(VLOOKUP(A154,'Données projet'!$A$243:$I$263,6,0)),0%,VLOOKUP(A154,'Données projet'!$A$243:$I$263,6,0)*VLOOKUP('Données projet'!$B$17,Paramètres!$A$1:$I$88,7,0))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projet'!$B$17,Paramètres!$A$1:$I$88,3,0)*0.475*44/12</f>
        <v>#N/A</v>
      </c>
      <c r="GM154" s="23" t="e">
        <f>EXP(-LN(2)/25)*GM153+(1-EXP(-LN(2)/25))/(LN(2)/25)*Calculateur!GH154*Calculateur!GJ154*VLOOKUP('Données projet'!$B$17,Paramètres!$A$1:$I$88,3,0)*0.475*44/12</f>
        <v>#N/A</v>
      </c>
      <c r="GN154" s="23" t="e">
        <f>EXP(-LN(2)/2)*GN153+(1-EXP(-LN(2)/2))/(LN(2)/2)*GH154*GK154*VLOOKUP('Données projet'!$B$17,Paramètres!$A$1:$I$88,3,0)*0.475*44/12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69.377147969493507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projet'!$B$18,Paramètres!$A$1:$I$88,3,0)*VLOOKUP('Données projet'!$B$18,Paramètres!$A$1:$I$88,5,0)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projet'!$B$18,Paramètres!$A$1:$I$88,7,0))</f>
        <v>0</v>
      </c>
      <c r="HE154" s="17">
        <f>IF(ISNA(VLOOKUP(A154,'Données projet'!$A$269:$I$289,6,0)),0%,VLOOKUP(A154,'Données projet'!$A$269:$I$289,6,0)*VLOOKUP('Données projet'!$B$18,Paramètres!$A$1:$I$88,7,0))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projet'!$B$18,Paramètres!$A$1:$I$88,3,0)*0.475*44/12</f>
        <v>#N/A</v>
      </c>
      <c r="HH154" s="23" t="e">
        <f>EXP(-LN(2)/25)*HH153+(1-EXP(-LN(2)/25))/(LN(2)/25)*Calculateur!HC154*Calculateur!HE154*VLOOKUP('Données projet'!$B$18,Paramètres!$A$1:$I$88,3,0)*0.475*44/12</f>
        <v>#N/A</v>
      </c>
      <c r="HI154" s="23" t="e">
        <f>EXP(-LN(2)/2)*HI153+(1-EXP(-LN(2)/2))/(LN(2)/2)*HC154*HF154*VLOOKUP('Données projet'!$B$18,Paramètres!$A$1:$I$88,3,0)*0.475*44/12</f>
        <v>#N/A</v>
      </c>
      <c r="HJ154" s="24" t="e">
        <f t="shared" ref="HJ154:HJ203" si="190">SUM(HG154:HI154)</f>
        <v>#N/A</v>
      </c>
    </row>
    <row r="155" spans="1:218" x14ac:dyDescent="0.35">
      <c r="A155" s="11">
        <f t="shared" si="161"/>
        <v>152</v>
      </c>
      <c r="B155" s="77">
        <f>'Scénario référence'!$B$16*5+'Scénario référence'!$B$17*0+'Scénario référence'!$B$18*5</f>
        <v>1.75</v>
      </c>
      <c r="C155" s="20">
        <f>Calculateur!C154+'Scénario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55" s="12">
        <f t="shared" si="140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6.416666666666667</v>
      </c>
      <c r="H155" s="70">
        <f t="shared" si="110"/>
        <v>231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69.387953059734258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3.4106051316484809E-13</v>
      </c>
      <c r="O155" s="14">
        <f>N155*VLOOKUP('Données projet'!$B$9,Paramètres!$A$1:$I$88,3,0)*VLOOKUP('Données projet'!$B$9,Paramètres!$A$1:$I$88,5,0)</f>
        <v>1.9065282685915009E-13</v>
      </c>
      <c r="P155" s="14">
        <f t="shared" si="141"/>
        <v>2.6568987209435707E-12</v>
      </c>
      <c r="Q155" s="22">
        <f t="shared" si="162"/>
        <v>4.959485612423072E-12</v>
      </c>
      <c r="R155" s="62">
        <f t="shared" si="109"/>
        <v>291.08916121903053</v>
      </c>
      <c r="S155" s="62">
        <f ca="1">AVERAGE(OFFSET($R$3,0,0,'Données projet'!$E$9+1,1))-AVERAGE(OFFSET($H$3,0,0,'Données projet'!$E$9+1,1))</f>
        <v>341.05096821796769</v>
      </c>
      <c r="T155" s="62">
        <f t="shared" si="142"/>
        <v>400.72519822215168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projet'!$B$9,Paramètres!$A$1:$I$88,7,0))</f>
        <v>0</v>
      </c>
      <c r="X155" s="17">
        <f>IF(ISNA(VLOOKUP(A155,'Données projet'!$A$35:$I$55,6,0)),0%,VLOOKUP(A155,'Données projet'!$A$35:$I$55,6,0)*VLOOKUP('Données projet'!$B$9,Paramètres!$A$1:$I$88,7,0))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projet'!$B$9,Paramètres!$A$1:$I$88,3,0)*0.475*44/12</f>
        <v>38.74842741847511</v>
      </c>
      <c r="AA155" s="23">
        <f>EXP(-LN(2)/25)*AA154+(1-EXP(-LN(2)/25))/(LN(2)/25)*Calculateur!V155*Calculateur!X155*VLOOKUP('Données projet'!$B$9,Paramètres!$A$1:$I$88,3,0)*0.475*44/12</f>
        <v>10.339638570551907</v>
      </c>
      <c r="AB155" s="23">
        <f>EXP(-LN(2)/2)*AB154+(1-EXP(-LN(2)/2))/(LN(2)/2)*V155*Y155*VLOOKUP('Données projet'!$B$9,Paramètres!$A$1:$I$88,3,0)*0.475*44/12</f>
        <v>0</v>
      </c>
      <c r="AC155" s="24">
        <f t="shared" si="163"/>
        <v>49.088065989027015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69.387953059734258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5.6843418860808015E-14</v>
      </c>
      <c r="AJ155" s="14">
        <f>AI155*VLOOKUP('Données projet'!$B$10,Paramètres!$A$1:$I$88,3,0)*VLOOKUP('Données projet'!$B$10,Paramètres!$A$1:$I$88,5,0)</f>
        <v>3.3992364478763198E-14</v>
      </c>
      <c r="AK155" s="14">
        <f t="shared" si="164"/>
        <v>5.790027782444094E-13</v>
      </c>
      <c r="AL155" s="22">
        <f t="shared" si="165"/>
        <v>1.0676332069095257E-12</v>
      </c>
      <c r="AM155" s="62">
        <f t="shared" si="113"/>
        <v>291.08916121902666</v>
      </c>
      <c r="AN155" s="62">
        <f ca="1">AVERAGE(OFFSET($AM$3,0,0,'Données projet'!$E$10+1,1))-AVERAGE(OFFSET($H$3,0,0,'Données projet'!$E$10+1,1))</f>
        <v>231.96474801342879</v>
      </c>
      <c r="AO155" s="62">
        <f t="shared" si="144"/>
        <v>237.75726086383668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projet'!$B$10,Paramètres!$A$1:$I$88,7,0))</f>
        <v>0</v>
      </c>
      <c r="AS155" s="17">
        <f>IF(ISNA(VLOOKUP(A155,'Données projet'!$A$61:$I$81,6,0)),0%,VLOOKUP(A155,'Données projet'!$A$61:$I$81,6,0)*VLOOKUP('Données projet'!$B$10,Paramètres!$A$1:$I$88,7,0))</f>
        <v>0</v>
      </c>
      <c r="AT155" s="17">
        <f>IF(ISNA(VLOOKUP(A155,'Données projet'!$A$61:$I$81,7,0)),0%,VLOOKUP(A155,'Données projet'!$A$61:$I$81,7,0))</f>
        <v>0</v>
      </c>
      <c r="AU155" s="23">
        <f>EXP(-LN(2)/35)*AU154+(1-EXP(-LN(2)/35))/(LN(2)/35)*AQ155*AR155*VLOOKUP('Données projet'!$B$10,Paramètres!$A$1:$I$88,3,0)*0.475*44/12</f>
        <v>15.280424187971734</v>
      </c>
      <c r="AV155" s="23">
        <f>EXP(-LN(2)/25)*AV154+(1-EXP(-LN(2)/25))/(LN(2)/25)*Calculateur!AQ155*Calculateur!AS155*VLOOKUP('Données projet'!$B$10,Paramètres!$A$1:$I$88,3,0)*0.475*44/12</f>
        <v>4.366167945511255</v>
      </c>
      <c r="AW155" s="23">
        <f>EXP(-LN(2)/2)*AW154+(1-EXP(-LN(2)/2))/(LN(2)/2)*AQ155*AT155*VLOOKUP('Données projet'!$B$10,Paramètres!$A$1:$I$88,3,0)*0.475*44/12</f>
        <v>0</v>
      </c>
      <c r="AX155" s="23">
        <f t="shared" si="166"/>
        <v>19.64659213348299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69.387953059734258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6.8212102632969618E-13</v>
      </c>
      <c r="BE155" s="14">
        <f>BD155*VLOOKUP('Données projet'!$B$11,Paramètres!$A$1:$I$88,3,0)*VLOOKUP('Données projet'!$B$11,Paramètres!$A$1:$I$88,5,0)</f>
        <v>3.1923264032229784E-13</v>
      </c>
      <c r="BF155" s="14">
        <f t="shared" si="167"/>
        <v>4.1896839804541558E-12</v>
      </c>
      <c r="BG155" s="22">
        <f t="shared" si="168"/>
        <v>7.8530297811856558E-12</v>
      </c>
      <c r="BH155" s="62">
        <f t="shared" si="116"/>
        <v>291.08916121903343</v>
      </c>
      <c r="BI155" s="62">
        <f ca="1">AVERAGE(OFFSET($BH$3,0,0,'Données projet'!$E$11+1,1))-AVERAGE(OFFSET($H$3,0,0,'Données projet'!$E$11+1,1))</f>
        <v>364.96458059055169</v>
      </c>
      <c r="BJ155" s="62">
        <f t="shared" si="146"/>
        <v>246.27159120786257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projet'!$B$11,Paramètres!$A$1:$I$88,7,0))</f>
        <v>0</v>
      </c>
      <c r="BN155" s="17">
        <f>IF(ISNA(VLOOKUP(A155,'Données projet'!$A$87:$I$107,6,0)),0%,VLOOKUP(A155,'Données projet'!$A$87:$I$107,6,0)*VLOOKUP('Données projet'!$B$11,Paramètres!$A$1:$I$88,7,0))</f>
        <v>0</v>
      </c>
      <c r="BO155" s="17">
        <f>IF(ISNA(VLOOKUP(A155,'Données projet'!$A$87:$I$107,7,0)),0%,VLOOKUP(A155,'Données projet'!$A$87:$I$107,7,0))</f>
        <v>0</v>
      </c>
      <c r="BP155" s="23">
        <f>EXP(-LN(2)/35)*BP154+(1-EXP(-LN(2)/35))/(LN(2)/35)*BL155*BM155*VLOOKUP('Données projet'!$B$11,Paramètres!$A$1:$I$88,3,0)*0.475*44/12</f>
        <v>85.005768004134694</v>
      </c>
      <c r="BQ155" s="23">
        <f>EXP(-LN(2)/25)*BQ154+(1-EXP(-LN(2)/25))/(LN(2)/25)*Calculateur!BL155*Calculateur!BN155*VLOOKUP('Données projet'!$B$11,Paramètres!$A$1:$I$88,3,0)*0.475*44/12</f>
        <v>23.840800442561964</v>
      </c>
      <c r="BR155" s="23">
        <f>EXP(-LN(2)/2)*BR154+(1-EXP(-LN(2)/2))/(LN(2)/2)*BL155*BO155*VLOOKUP('Données projet'!$B$11,Paramètres!$A$1:$I$88,3,0)*0.475*44/12</f>
        <v>0</v>
      </c>
      <c r="BS155" s="24">
        <f t="shared" si="169"/>
        <v>108.84656844669666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69.387953059734258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-1.1368683772161603E-13</v>
      </c>
      <c r="BZ155" s="14">
        <f>BY155*VLOOKUP('Données projet'!$B$12,Paramètres!$A$1:$I$88,3,0)*VLOOKUP('Données projet'!$B$12,Paramètres!$A$1:$I$88,5,0)</f>
        <v>-1.1527845344971866E-13</v>
      </c>
      <c r="CA155" s="14" t="e">
        <f t="shared" si="170"/>
        <v>#NUM!</v>
      </c>
      <c r="CB155" s="22" t="e">
        <f t="shared" si="171"/>
        <v>#NUM!</v>
      </c>
      <c r="CC155" s="62" t="e">
        <f t="shared" si="119"/>
        <v>#NUM!</v>
      </c>
      <c r="CD155" s="62">
        <f ca="1">AVERAGE(OFFSET($CC$3,0,0,'Données projet'!$E$12+1,1))-AVERAGE(OFFSET($H$3,0,0,'Données projet'!$E$12+1,1))</f>
        <v>310.53598044763282</v>
      </c>
      <c r="CE155" s="62">
        <f t="shared" si="148"/>
        <v>322.01096634040596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projet'!$B$12,Paramètres!$A$1:$I$88,7,0))</f>
        <v>0</v>
      </c>
      <c r="CI155" s="17">
        <f>IF(ISNA(VLOOKUP(A155,'Données projet'!$A$113:$I$133,6,0)),0%,VLOOKUP(A155,'Données projet'!$A$113:$I$133,6,0)*VLOOKUP('Données projet'!$B$12,Paramètres!$A$1:$I$88,7,0))</f>
        <v>0</v>
      </c>
      <c r="CJ155" s="17">
        <f>IF(ISNA(VLOOKUP(A155,'Données projet'!$A$113:$I$133,7,0)),0%,VLOOKUP(A155,'Données projet'!$A$113:$I$133,7,0))</f>
        <v>0</v>
      </c>
      <c r="CK155" s="23">
        <f>EXP(-LN(2)/35)*CK154+(1-EXP(-LN(2)/35))/(LN(2)/35)*CG155*CH155*VLOOKUP('Données projet'!$B$12,Paramètres!$A$1:$I$88,3,0)*0.475*44/12</f>
        <v>11.691384344996695</v>
      </c>
      <c r="CL155" s="23">
        <f>EXP(-LN(2)/25)*CL154+(1-EXP(-LN(2)/25))/(LN(2)/25)*Calculateur!CG155*Calculateur!CI155*VLOOKUP('Données projet'!$B$12,Paramètres!$A$1:$I$88,3,0)*0.475*44/12</f>
        <v>0</v>
      </c>
      <c r="CM155" s="23">
        <f>EXP(-LN(2)/2)*CM154+(1-EXP(-LN(2)/2))/(LN(2)/2)*CG155*CJ155*VLOOKUP('Données projet'!$B$12,Paramètres!$A$1:$I$88,3,0)*0.475*44/12</f>
        <v>0</v>
      </c>
      <c r="CN155" s="24">
        <f t="shared" si="172"/>
        <v>11.691384344996695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69.387953059734258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projet'!$B$13,Paramètres!$A$1:$I$88,3,0)*VLOOKUP('Données projet'!$B$13,Paramètres!$A$1:$I$88,5,0)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projet'!$B$13,Paramètres!$A$1:$I$88,7,0))</f>
        <v>0</v>
      </c>
      <c r="DD155" s="17">
        <f>IF(ISNA(VLOOKUP(A155,'Données projet'!$A$139:$I$159,6,0)),0%,VLOOKUP(A155,'Données projet'!$A$139:$I$159,6,0)*VLOOKUP('Données projet'!$B$13,Paramètres!$A$1:$I$88,7,0))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projet'!$B$13,Paramètres!$A$1:$I$88,3,0)*0.475*44/12</f>
        <v>#N/A</v>
      </c>
      <c r="DG155" s="23" t="e">
        <f>EXP(-LN(2)/25)*DG154+(1-EXP(-LN(2)/25))/(LN(2)/25)*Calculateur!DB155*Calculateur!DD155*VLOOKUP('Données projet'!$B$13,Paramètres!$A$1:$I$88,3,0)*0.475*44/12</f>
        <v>#N/A</v>
      </c>
      <c r="DH155" s="23" t="e">
        <f>EXP(-LN(2)/2)*DH154+(1-EXP(-LN(2)/2))/(LN(2)/2)*DB155*DE155*VLOOKUP('Données projet'!$B$13,Paramètres!$A$1:$I$88,3,0)*0.475*44/12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69.387953059734258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projet'!$B$14,Paramètres!$A$1:$I$88,3,0)*VLOOKUP('Données projet'!$B$14,Paramètres!$A$1:$I$88,5,0)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projet'!$B$14,Paramètres!$A$1:$I$88,7,0))</f>
        <v>0</v>
      </c>
      <c r="DY155" s="17">
        <f>IF(ISNA(VLOOKUP(A155,'Données projet'!$A$165:$I$185,6,0)),0%,VLOOKUP(A155,'Données projet'!$A$165:$I$185,6,0)*VLOOKUP('Données projet'!$B$14,Paramètres!$A$1:$I$88,7,0))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projet'!$B$14,Paramètres!$A$1:$I$88,3,0)*0.475*44/12</f>
        <v>#N/A</v>
      </c>
      <c r="EB155" s="23" t="e">
        <f>EXP(-LN(2)/25)*EB154+(1-EXP(-LN(2)/25))/(LN(2)/25)*Calculateur!DW155*Calculateur!DY155*VLOOKUP('Données projet'!$B$14,Paramètres!$A$1:$I$88,3,0)*0.475*44/12</f>
        <v>#N/A</v>
      </c>
      <c r="EC155" s="23" t="e">
        <f>EXP(-LN(2)/2)*EC154+(1-EXP(-LN(2)/2))/(LN(2)/2)*DW155*DZ155*VLOOKUP('Données projet'!$B$14,Paramètres!$A$1:$I$88,3,0)*0.475*44/12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69.387953059734258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projet'!$B$15,Paramètres!$A$1:$I$88,3,0)*VLOOKUP('Données projet'!$B$15,Paramètres!$A$1:$I$88,5,0)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projet'!$B$15,Paramètres!$A$1:$I$88,7,0))</f>
        <v>0</v>
      </c>
      <c r="ET155" s="17">
        <f>IF(ISNA(VLOOKUP(A155,'Données projet'!$A$191:$I$211,6,0)),0%,VLOOKUP(A155,'Données projet'!$A$191:$I$211,6,0)*VLOOKUP('Données projet'!$B$15,Paramètres!$A$1:$I$88,7,0))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projet'!$B$15,Paramètres!$A$1:$I$88,3,0)*0.475*44/12</f>
        <v>#N/A</v>
      </c>
      <c r="EW155" s="23" t="e">
        <f>EXP(-LN(2)/25)*EW154+(1-EXP(-LN(2)/25))/(LN(2)/25)*Calculateur!ER155*Calculateur!ET155*VLOOKUP('Données projet'!$B$15,Paramètres!$A$1:$I$88,3,0)*0.475*44/12</f>
        <v>#N/A</v>
      </c>
      <c r="EX155" s="23" t="e">
        <f>EXP(-LN(2)/2)*EX154+(1-EXP(-LN(2)/2))/(LN(2)/2)*ER155*EU155*VLOOKUP('Données projet'!$B$15,Paramètres!$A$1:$I$88,3,0)*0.475*44/12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69.387953059734258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projet'!$B$16,Paramètres!$A$1:$I$88,3,0)*VLOOKUP('Données projet'!$B$16,Paramètres!$A$1:$I$88,5,0)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projet'!$B$16,Paramètres!$A$1:$I$88,7,0))</f>
        <v>0</v>
      </c>
      <c r="FO155" s="17">
        <f>IF(ISNA(VLOOKUP(A155,'Données projet'!$A$217:$I$237,6,0)),0%,VLOOKUP(A155,'Données projet'!$A$217:$I$237,6,0)*VLOOKUP('Données projet'!$B$16,Paramètres!$A$1:$I$88,7,0))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projet'!$B$16,Paramètres!$A$1:$I$88,3,0)*0.475*44/12</f>
        <v>#N/A</v>
      </c>
      <c r="FR155" s="23" t="e">
        <f>EXP(-LN(2)/25)*FR154+(1-EXP(-LN(2)/25))/(LN(2)/25)*Calculateur!FM155*Calculateur!FO155*VLOOKUP('Données projet'!$B$16,Paramètres!$A$1:$I$88,3,0)*0.475*44/12</f>
        <v>#N/A</v>
      </c>
      <c r="FS155" s="23" t="e">
        <f>EXP(-LN(2)/2)*FS154+(1-EXP(-LN(2)/2))/(LN(2)/2)*FM155*FP155*VLOOKUP('Données projet'!$B$16,Paramètres!$A$1:$I$88,3,0)*0.475*44/12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69.387953059734258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projet'!$B$17,Paramètres!$A$1:$I$88,3,0)*VLOOKUP('Données projet'!$B$17,Paramètres!$A$1:$I$88,5,0)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projet'!$B$17,Paramètres!$A$1:$I$88,7,0))</f>
        <v>0</v>
      </c>
      <c r="GJ155" s="17">
        <f>IF(ISNA(VLOOKUP(A155,'Données projet'!$A$243:$I$263,6,0)),0%,VLOOKUP(A155,'Données projet'!$A$243:$I$263,6,0)*VLOOKUP('Données projet'!$B$17,Paramètres!$A$1:$I$88,7,0))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projet'!$B$17,Paramètres!$A$1:$I$88,3,0)*0.475*44/12</f>
        <v>#N/A</v>
      </c>
      <c r="GM155" s="23" t="e">
        <f>EXP(-LN(2)/25)*GM154+(1-EXP(-LN(2)/25))/(LN(2)/25)*Calculateur!GH155*Calculateur!GJ155*VLOOKUP('Données projet'!$B$17,Paramètres!$A$1:$I$88,3,0)*0.475*44/12</f>
        <v>#N/A</v>
      </c>
      <c r="GN155" s="23" t="e">
        <f>EXP(-LN(2)/2)*GN154+(1-EXP(-LN(2)/2))/(LN(2)/2)*GH155*GK155*VLOOKUP('Données projet'!$B$17,Paramètres!$A$1:$I$88,3,0)*0.475*44/12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69.387953059734258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projet'!$B$18,Paramètres!$A$1:$I$88,3,0)*VLOOKUP('Données projet'!$B$18,Paramètres!$A$1:$I$88,5,0)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projet'!$B$18,Paramètres!$A$1:$I$88,7,0))</f>
        <v>0</v>
      </c>
      <c r="HE155" s="17">
        <f>IF(ISNA(VLOOKUP(A155,'Données projet'!$A$269:$I$289,6,0)),0%,VLOOKUP(A155,'Données projet'!$A$269:$I$289,6,0)*VLOOKUP('Données projet'!$B$18,Paramètres!$A$1:$I$88,7,0))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projet'!$B$18,Paramètres!$A$1:$I$88,3,0)*0.475*44/12</f>
        <v>#N/A</v>
      </c>
      <c r="HH155" s="23" t="e">
        <f>EXP(-LN(2)/25)*HH154+(1-EXP(-LN(2)/25))/(LN(2)/25)*Calculateur!HC155*Calculateur!HE155*VLOOKUP('Données projet'!$B$18,Paramètres!$A$1:$I$88,3,0)*0.475*44/12</f>
        <v>#N/A</v>
      </c>
      <c r="HI155" s="23" t="e">
        <f>EXP(-LN(2)/2)*HI154+(1-EXP(-LN(2)/2))/(LN(2)/2)*HC155*HF155*VLOOKUP('Données projet'!$B$18,Paramètres!$A$1:$I$88,3,0)*0.475*44/12</f>
        <v>#N/A</v>
      </c>
      <c r="HJ155" s="24" t="e">
        <f t="shared" si="190"/>
        <v>#N/A</v>
      </c>
    </row>
    <row r="156" spans="1:218" x14ac:dyDescent="0.35">
      <c r="A156" s="11">
        <f t="shared" si="161"/>
        <v>153</v>
      </c>
      <c r="B156" s="77">
        <f>'Scénario référence'!$B$16*5+'Scénario référence'!$B$17*0+'Scénario référence'!$B$18*5</f>
        <v>1.75</v>
      </c>
      <c r="C156" s="20">
        <f>Calculateur!C155+'Scénario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56" s="12">
        <f t="shared" si="140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6.416666666666667</v>
      </c>
      <c r="H156" s="70">
        <f t="shared" si="110"/>
        <v>231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69.398570705815914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3.4106051316484809E-13</v>
      </c>
      <c r="O156" s="14">
        <f>N156*VLOOKUP('Données projet'!$B$9,Paramètres!$A$1:$I$88,3,0)*VLOOKUP('Données projet'!$B$9,Paramètres!$A$1:$I$88,5,0)</f>
        <v>1.9065282685915009E-13</v>
      </c>
      <c r="P156" s="14">
        <f t="shared" si="141"/>
        <v>2.6568987209435707E-12</v>
      </c>
      <c r="Q156" s="22">
        <f t="shared" si="162"/>
        <v>4.959485612423072E-12</v>
      </c>
      <c r="R156" s="62">
        <f t="shared" si="109"/>
        <v>291.12809258799666</v>
      </c>
      <c r="S156" s="62">
        <f ca="1">AVERAGE(OFFSET($R$3,0,0,'Données projet'!$E$9+1,1))-AVERAGE(OFFSET($H$3,0,0,'Données projet'!$E$9+1,1))</f>
        <v>341.05096821796769</v>
      </c>
      <c r="T156" s="62">
        <f t="shared" si="142"/>
        <v>400.72519822215168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projet'!$B$9,Paramètres!$A$1:$I$88,7,0))</f>
        <v>0</v>
      </c>
      <c r="X156" s="17">
        <f>IF(ISNA(VLOOKUP(A156,'Données projet'!$A$35:$I$55,6,0)),0%,VLOOKUP(A156,'Données projet'!$A$35:$I$55,6,0)*VLOOKUP('Données projet'!$B$9,Paramètres!$A$1:$I$88,7,0))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projet'!$B$9,Paramètres!$A$1:$I$88,3,0)*0.475*44/12</f>
        <v>37.988594391005854</v>
      </c>
      <c r="AA156" s="23">
        <f>EXP(-LN(2)/25)*AA155+(1-EXP(-LN(2)/25))/(LN(2)/25)*Calculateur!V156*Calculateur!X156*VLOOKUP('Données projet'!$B$9,Paramètres!$A$1:$I$88,3,0)*0.475*44/12</f>
        <v>10.056900610102204</v>
      </c>
      <c r="AB156" s="23">
        <f>EXP(-LN(2)/2)*AB155+(1-EXP(-LN(2)/2))/(LN(2)/2)*V156*Y156*VLOOKUP('Données projet'!$B$9,Paramètres!$A$1:$I$88,3,0)*0.475*44/12</f>
        <v>0</v>
      </c>
      <c r="AC156" s="24">
        <f t="shared" si="163"/>
        <v>48.045495001108058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69.398570705815914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5.6843418860808015E-14</v>
      </c>
      <c r="AJ156" s="14">
        <f>AI156*VLOOKUP('Données projet'!$B$10,Paramètres!$A$1:$I$88,3,0)*VLOOKUP('Données projet'!$B$10,Paramètres!$A$1:$I$88,5,0)</f>
        <v>3.3992364478763198E-14</v>
      </c>
      <c r="AK156" s="14">
        <f t="shared" si="164"/>
        <v>5.790027782444094E-13</v>
      </c>
      <c r="AL156" s="22">
        <f t="shared" si="165"/>
        <v>1.0676332069095257E-12</v>
      </c>
      <c r="AM156" s="62">
        <f t="shared" si="113"/>
        <v>291.1280925879928</v>
      </c>
      <c r="AN156" s="62">
        <f ca="1">AVERAGE(OFFSET($AM$3,0,0,'Données projet'!$E$10+1,1))-AVERAGE(OFFSET($H$3,0,0,'Données projet'!$E$10+1,1))</f>
        <v>231.96474801342879</v>
      </c>
      <c r="AO156" s="62">
        <f t="shared" si="144"/>
        <v>237.75726086383668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projet'!$B$10,Paramètres!$A$1:$I$88,7,0))</f>
        <v>0</v>
      </c>
      <c r="AS156" s="17">
        <f>IF(ISNA(VLOOKUP(A156,'Données projet'!$A$61:$I$81,6,0)),0%,VLOOKUP(A156,'Données projet'!$A$61:$I$81,6,0)*VLOOKUP('Données projet'!$B$10,Paramètres!$A$1:$I$88,7,0))</f>
        <v>0</v>
      </c>
      <c r="AT156" s="17">
        <f>IF(ISNA(VLOOKUP(A156,'Données projet'!$A$61:$I$81,7,0)),0%,VLOOKUP(A156,'Données projet'!$A$61:$I$81,7,0))</f>
        <v>0</v>
      </c>
      <c r="AU156" s="23">
        <f>EXP(-LN(2)/35)*AU155+(1-EXP(-LN(2)/35))/(LN(2)/35)*AQ156*AR156*VLOOKUP('Données projet'!$B$10,Paramètres!$A$1:$I$88,3,0)*0.475*44/12</f>
        <v>14.980784389784075</v>
      </c>
      <c r="AV156" s="23">
        <f>EXP(-LN(2)/25)*AV155+(1-EXP(-LN(2)/25))/(LN(2)/25)*Calculateur!AQ156*Calculateur!AS156*VLOOKUP('Données projet'!$B$10,Paramètres!$A$1:$I$88,3,0)*0.475*44/12</f>
        <v>4.2467748534344567</v>
      </c>
      <c r="AW156" s="23">
        <f>EXP(-LN(2)/2)*AW155+(1-EXP(-LN(2)/2))/(LN(2)/2)*AQ156*AT156*VLOOKUP('Données projet'!$B$10,Paramètres!$A$1:$I$88,3,0)*0.475*44/12</f>
        <v>0</v>
      </c>
      <c r="AX156" s="23">
        <f t="shared" si="166"/>
        <v>19.227559243218533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69.398570705815914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6.8212102632969618E-13</v>
      </c>
      <c r="BE156" s="14">
        <f>BD156*VLOOKUP('Données projet'!$B$11,Paramètres!$A$1:$I$88,3,0)*VLOOKUP('Données projet'!$B$11,Paramètres!$A$1:$I$88,5,0)</f>
        <v>3.1923264032229784E-13</v>
      </c>
      <c r="BF156" s="14">
        <f t="shared" si="167"/>
        <v>4.1896839804541558E-12</v>
      </c>
      <c r="BG156" s="22">
        <f t="shared" si="168"/>
        <v>7.8530297811856558E-12</v>
      </c>
      <c r="BH156" s="62">
        <f t="shared" si="116"/>
        <v>291.12809258799956</v>
      </c>
      <c r="BI156" s="62">
        <f ca="1">AVERAGE(OFFSET($BH$3,0,0,'Données projet'!$E$11+1,1))-AVERAGE(OFFSET($H$3,0,0,'Données projet'!$E$11+1,1))</f>
        <v>364.96458059055169</v>
      </c>
      <c r="BJ156" s="62">
        <f t="shared" si="146"/>
        <v>246.27159120786257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projet'!$B$11,Paramètres!$A$1:$I$88,7,0))</f>
        <v>0</v>
      </c>
      <c r="BN156" s="17">
        <f>IF(ISNA(VLOOKUP(A156,'Données projet'!$A$87:$I$107,6,0)),0%,VLOOKUP(A156,'Données projet'!$A$87:$I$107,6,0)*VLOOKUP('Données projet'!$B$11,Paramètres!$A$1:$I$88,7,0))</f>
        <v>0</v>
      </c>
      <c r="BO156" s="17">
        <f>IF(ISNA(VLOOKUP(A156,'Données projet'!$A$87:$I$107,7,0)),0%,VLOOKUP(A156,'Données projet'!$A$87:$I$107,7,0))</f>
        <v>0</v>
      </c>
      <c r="BP156" s="23">
        <f>EXP(-LN(2)/35)*BP155+(1-EXP(-LN(2)/35))/(LN(2)/35)*BL156*BM156*VLOOKUP('Données projet'!$B$11,Paramètres!$A$1:$I$88,3,0)*0.475*44/12</f>
        <v>83.338856741972492</v>
      </c>
      <c r="BQ156" s="23">
        <f>EXP(-LN(2)/25)*BQ155+(1-EXP(-LN(2)/25))/(LN(2)/25)*Calculateur!BL156*Calculateur!BN156*VLOOKUP('Données projet'!$B$11,Paramètres!$A$1:$I$88,3,0)*0.475*44/12</f>
        <v>23.188872500726902</v>
      </c>
      <c r="BR156" s="23">
        <f>EXP(-LN(2)/2)*BR155+(1-EXP(-LN(2)/2))/(LN(2)/2)*BL156*BO156*VLOOKUP('Données projet'!$B$11,Paramètres!$A$1:$I$88,3,0)*0.475*44/12</f>
        <v>0</v>
      </c>
      <c r="BS156" s="24">
        <f t="shared" si="169"/>
        <v>106.52772924269939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69.398570705815914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-1.1368683772161603E-13</v>
      </c>
      <c r="BZ156" s="14">
        <f>BY156*VLOOKUP('Données projet'!$B$12,Paramètres!$A$1:$I$88,3,0)*VLOOKUP('Données projet'!$B$12,Paramètres!$A$1:$I$88,5,0)</f>
        <v>-1.1527845344971866E-13</v>
      </c>
      <c r="CA156" s="14" t="e">
        <f t="shared" si="170"/>
        <v>#NUM!</v>
      </c>
      <c r="CB156" s="22" t="e">
        <f t="shared" si="171"/>
        <v>#NUM!</v>
      </c>
      <c r="CC156" s="62" t="e">
        <f t="shared" si="119"/>
        <v>#NUM!</v>
      </c>
      <c r="CD156" s="62">
        <f ca="1">AVERAGE(OFFSET($CC$3,0,0,'Données projet'!$E$12+1,1))-AVERAGE(OFFSET($H$3,0,0,'Données projet'!$E$12+1,1))</f>
        <v>310.53598044763282</v>
      </c>
      <c r="CE156" s="62">
        <f t="shared" si="148"/>
        <v>322.01096634040596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projet'!$B$12,Paramètres!$A$1:$I$88,7,0))</f>
        <v>0</v>
      </c>
      <c r="CI156" s="17">
        <f>IF(ISNA(VLOOKUP(A156,'Données projet'!$A$113:$I$133,6,0)),0%,VLOOKUP(A156,'Données projet'!$A$113:$I$133,6,0)*VLOOKUP('Données projet'!$B$12,Paramètres!$A$1:$I$88,7,0))</f>
        <v>0</v>
      </c>
      <c r="CJ156" s="17">
        <f>IF(ISNA(VLOOKUP(A156,'Données projet'!$A$113:$I$133,7,0)),0%,VLOOKUP(A156,'Données projet'!$A$113:$I$133,7,0))</f>
        <v>0</v>
      </c>
      <c r="CK156" s="23">
        <f>EXP(-LN(2)/35)*CK155+(1-EXP(-LN(2)/35))/(LN(2)/35)*CG156*CH156*VLOOKUP('Données projet'!$B$12,Paramètres!$A$1:$I$88,3,0)*0.475*44/12</f>
        <v>11.462123429031628</v>
      </c>
      <c r="CL156" s="23">
        <f>EXP(-LN(2)/25)*CL155+(1-EXP(-LN(2)/25))/(LN(2)/25)*Calculateur!CG156*Calculateur!CI156*VLOOKUP('Données projet'!$B$12,Paramètres!$A$1:$I$88,3,0)*0.475*44/12</f>
        <v>0</v>
      </c>
      <c r="CM156" s="23">
        <f>EXP(-LN(2)/2)*CM155+(1-EXP(-LN(2)/2))/(LN(2)/2)*CG156*CJ156*VLOOKUP('Données projet'!$B$12,Paramètres!$A$1:$I$88,3,0)*0.475*44/12</f>
        <v>0</v>
      </c>
      <c r="CN156" s="24">
        <f t="shared" si="172"/>
        <v>11.462123429031628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69.398570705815914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projet'!$B$13,Paramètres!$A$1:$I$88,3,0)*VLOOKUP('Données projet'!$B$13,Paramètres!$A$1:$I$88,5,0)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projet'!$B$13,Paramètres!$A$1:$I$88,7,0))</f>
        <v>0</v>
      </c>
      <c r="DD156" s="17">
        <f>IF(ISNA(VLOOKUP(A156,'Données projet'!$A$139:$I$159,6,0)),0%,VLOOKUP(A156,'Données projet'!$A$139:$I$159,6,0)*VLOOKUP('Données projet'!$B$13,Paramètres!$A$1:$I$88,7,0))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projet'!$B$13,Paramètres!$A$1:$I$88,3,0)*0.475*44/12</f>
        <v>#N/A</v>
      </c>
      <c r="DG156" s="23" t="e">
        <f>EXP(-LN(2)/25)*DG155+(1-EXP(-LN(2)/25))/(LN(2)/25)*Calculateur!DB156*Calculateur!DD156*VLOOKUP('Données projet'!$B$13,Paramètres!$A$1:$I$88,3,0)*0.475*44/12</f>
        <v>#N/A</v>
      </c>
      <c r="DH156" s="23" t="e">
        <f>EXP(-LN(2)/2)*DH155+(1-EXP(-LN(2)/2))/(LN(2)/2)*DB156*DE156*VLOOKUP('Données projet'!$B$13,Paramètres!$A$1:$I$88,3,0)*0.475*44/12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69.398570705815914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projet'!$B$14,Paramètres!$A$1:$I$88,3,0)*VLOOKUP('Données projet'!$B$14,Paramètres!$A$1:$I$88,5,0)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projet'!$B$14,Paramètres!$A$1:$I$88,7,0))</f>
        <v>0</v>
      </c>
      <c r="DY156" s="17">
        <f>IF(ISNA(VLOOKUP(A156,'Données projet'!$A$165:$I$185,6,0)),0%,VLOOKUP(A156,'Données projet'!$A$165:$I$185,6,0)*VLOOKUP('Données projet'!$B$14,Paramètres!$A$1:$I$88,7,0))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projet'!$B$14,Paramètres!$A$1:$I$88,3,0)*0.475*44/12</f>
        <v>#N/A</v>
      </c>
      <c r="EB156" s="23" t="e">
        <f>EXP(-LN(2)/25)*EB155+(1-EXP(-LN(2)/25))/(LN(2)/25)*Calculateur!DW156*Calculateur!DY156*VLOOKUP('Données projet'!$B$14,Paramètres!$A$1:$I$88,3,0)*0.475*44/12</f>
        <v>#N/A</v>
      </c>
      <c r="EC156" s="23" t="e">
        <f>EXP(-LN(2)/2)*EC155+(1-EXP(-LN(2)/2))/(LN(2)/2)*DW156*DZ156*VLOOKUP('Données projet'!$B$14,Paramètres!$A$1:$I$88,3,0)*0.475*44/12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69.398570705815914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projet'!$B$15,Paramètres!$A$1:$I$88,3,0)*VLOOKUP('Données projet'!$B$15,Paramètres!$A$1:$I$88,5,0)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projet'!$B$15,Paramètres!$A$1:$I$88,7,0))</f>
        <v>0</v>
      </c>
      <c r="ET156" s="17">
        <f>IF(ISNA(VLOOKUP(A156,'Données projet'!$A$191:$I$211,6,0)),0%,VLOOKUP(A156,'Données projet'!$A$191:$I$211,6,0)*VLOOKUP('Données projet'!$B$15,Paramètres!$A$1:$I$88,7,0))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projet'!$B$15,Paramètres!$A$1:$I$88,3,0)*0.475*44/12</f>
        <v>#N/A</v>
      </c>
      <c r="EW156" s="23" t="e">
        <f>EXP(-LN(2)/25)*EW155+(1-EXP(-LN(2)/25))/(LN(2)/25)*Calculateur!ER156*Calculateur!ET156*VLOOKUP('Données projet'!$B$15,Paramètres!$A$1:$I$88,3,0)*0.475*44/12</f>
        <v>#N/A</v>
      </c>
      <c r="EX156" s="23" t="e">
        <f>EXP(-LN(2)/2)*EX155+(1-EXP(-LN(2)/2))/(LN(2)/2)*ER156*EU156*VLOOKUP('Données projet'!$B$15,Paramètres!$A$1:$I$88,3,0)*0.475*44/12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69.398570705815914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projet'!$B$16,Paramètres!$A$1:$I$88,3,0)*VLOOKUP('Données projet'!$B$16,Paramètres!$A$1:$I$88,5,0)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projet'!$B$16,Paramètres!$A$1:$I$88,7,0))</f>
        <v>0</v>
      </c>
      <c r="FO156" s="17">
        <f>IF(ISNA(VLOOKUP(A156,'Données projet'!$A$217:$I$237,6,0)),0%,VLOOKUP(A156,'Données projet'!$A$217:$I$237,6,0)*VLOOKUP('Données projet'!$B$16,Paramètres!$A$1:$I$88,7,0))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projet'!$B$16,Paramètres!$A$1:$I$88,3,0)*0.475*44/12</f>
        <v>#N/A</v>
      </c>
      <c r="FR156" s="23" t="e">
        <f>EXP(-LN(2)/25)*FR155+(1-EXP(-LN(2)/25))/(LN(2)/25)*Calculateur!FM156*Calculateur!FO156*VLOOKUP('Données projet'!$B$16,Paramètres!$A$1:$I$88,3,0)*0.475*44/12</f>
        <v>#N/A</v>
      </c>
      <c r="FS156" s="23" t="e">
        <f>EXP(-LN(2)/2)*FS155+(1-EXP(-LN(2)/2))/(LN(2)/2)*FM156*FP156*VLOOKUP('Données projet'!$B$16,Paramètres!$A$1:$I$88,3,0)*0.475*44/12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69.398570705815914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projet'!$B$17,Paramètres!$A$1:$I$88,3,0)*VLOOKUP('Données projet'!$B$17,Paramètres!$A$1:$I$88,5,0)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projet'!$B$17,Paramètres!$A$1:$I$88,7,0))</f>
        <v>0</v>
      </c>
      <c r="GJ156" s="17">
        <f>IF(ISNA(VLOOKUP(A156,'Données projet'!$A$243:$I$263,6,0)),0%,VLOOKUP(A156,'Données projet'!$A$243:$I$263,6,0)*VLOOKUP('Données projet'!$B$17,Paramètres!$A$1:$I$88,7,0))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projet'!$B$17,Paramètres!$A$1:$I$88,3,0)*0.475*44/12</f>
        <v>#N/A</v>
      </c>
      <c r="GM156" s="23" t="e">
        <f>EXP(-LN(2)/25)*GM155+(1-EXP(-LN(2)/25))/(LN(2)/25)*Calculateur!GH156*Calculateur!GJ156*VLOOKUP('Données projet'!$B$17,Paramètres!$A$1:$I$88,3,0)*0.475*44/12</f>
        <v>#N/A</v>
      </c>
      <c r="GN156" s="23" t="e">
        <f>EXP(-LN(2)/2)*GN155+(1-EXP(-LN(2)/2))/(LN(2)/2)*GH156*GK156*VLOOKUP('Données projet'!$B$17,Paramètres!$A$1:$I$88,3,0)*0.475*44/12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69.398570705815914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projet'!$B$18,Paramètres!$A$1:$I$88,3,0)*VLOOKUP('Données projet'!$B$18,Paramètres!$A$1:$I$88,5,0)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projet'!$B$18,Paramètres!$A$1:$I$88,7,0))</f>
        <v>0</v>
      </c>
      <c r="HE156" s="17">
        <f>IF(ISNA(VLOOKUP(A156,'Données projet'!$A$269:$I$289,6,0)),0%,VLOOKUP(A156,'Données projet'!$A$269:$I$289,6,0)*VLOOKUP('Données projet'!$B$18,Paramètres!$A$1:$I$88,7,0))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projet'!$B$18,Paramètres!$A$1:$I$88,3,0)*0.475*44/12</f>
        <v>#N/A</v>
      </c>
      <c r="HH156" s="23" t="e">
        <f>EXP(-LN(2)/25)*HH155+(1-EXP(-LN(2)/25))/(LN(2)/25)*Calculateur!HC156*Calculateur!HE156*VLOOKUP('Données projet'!$B$18,Paramètres!$A$1:$I$88,3,0)*0.475*44/12</f>
        <v>#N/A</v>
      </c>
      <c r="HI156" s="23" t="e">
        <f>EXP(-LN(2)/2)*HI155+(1-EXP(-LN(2)/2))/(LN(2)/2)*HC156*HF156*VLOOKUP('Données projet'!$B$18,Paramètres!$A$1:$I$88,3,0)*0.475*44/12</f>
        <v>#N/A</v>
      </c>
      <c r="HJ156" s="24" t="e">
        <f t="shared" si="190"/>
        <v>#N/A</v>
      </c>
    </row>
    <row r="157" spans="1:218" x14ac:dyDescent="0.35">
      <c r="A157" s="11">
        <f t="shared" si="161"/>
        <v>154</v>
      </c>
      <c r="B157" s="77">
        <f>'Scénario référence'!$B$16*5+'Scénario référence'!$B$17*0+'Scénario référence'!$B$18*5</f>
        <v>1.75</v>
      </c>
      <c r="C157" s="20">
        <f>Calculateur!C156+'Scénario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57" s="12">
        <f t="shared" si="140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6.416666666666667</v>
      </c>
      <c r="H157" s="70">
        <f t="shared" si="110"/>
        <v>231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69.409004159475529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3.4106051316484809E-13</v>
      </c>
      <c r="O157" s="14">
        <f>N157*VLOOKUP('Données projet'!$B$9,Paramètres!$A$1:$I$88,3,0)*VLOOKUP('Données projet'!$B$9,Paramètres!$A$1:$I$88,5,0)</f>
        <v>1.9065282685915009E-13</v>
      </c>
      <c r="P157" s="14">
        <f t="shared" si="141"/>
        <v>2.6568987209435707E-12</v>
      </c>
      <c r="Q157" s="22">
        <f t="shared" si="162"/>
        <v>4.959485612423072E-12</v>
      </c>
      <c r="R157" s="62">
        <f t="shared" si="109"/>
        <v>291.16634858474856</v>
      </c>
      <c r="S157" s="62">
        <f ca="1">AVERAGE(OFFSET($R$3,0,0,'Données projet'!$E$9+1,1))-AVERAGE(OFFSET($H$3,0,0,'Données projet'!$E$9+1,1))</f>
        <v>341.05096821796769</v>
      </c>
      <c r="T157" s="62">
        <f t="shared" si="142"/>
        <v>400.72519822215168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projet'!$B$9,Paramètres!$A$1:$I$88,7,0))</f>
        <v>0</v>
      </c>
      <c r="X157" s="17">
        <f>IF(ISNA(VLOOKUP(A157,'Données projet'!$A$35:$I$55,6,0)),0%,VLOOKUP(A157,'Données projet'!$A$35:$I$55,6,0)*VLOOKUP('Données projet'!$B$9,Paramètres!$A$1:$I$88,7,0))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projet'!$B$9,Paramètres!$A$1:$I$88,3,0)*0.475*44/12</f>
        <v>37.243661225752888</v>
      </c>
      <c r="AA157" s="23">
        <f>EXP(-LN(2)/25)*AA156+(1-EXP(-LN(2)/25))/(LN(2)/25)*Calculateur!V157*Calculateur!X157*VLOOKUP('Données projet'!$B$9,Paramètres!$A$1:$I$88,3,0)*0.475*44/12</f>
        <v>9.7818941340495407</v>
      </c>
      <c r="AB157" s="23">
        <f>EXP(-LN(2)/2)*AB156+(1-EXP(-LN(2)/2))/(LN(2)/2)*V157*Y157*VLOOKUP('Données projet'!$B$9,Paramètres!$A$1:$I$88,3,0)*0.475*44/12</f>
        <v>0</v>
      </c>
      <c r="AC157" s="24">
        <f t="shared" si="163"/>
        <v>47.025555359802425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69.409004159475529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5.6843418860808015E-14</v>
      </c>
      <c r="AJ157" s="14">
        <f>AI157*VLOOKUP('Données projet'!$B$10,Paramètres!$A$1:$I$88,3,0)*VLOOKUP('Données projet'!$B$10,Paramètres!$A$1:$I$88,5,0)</f>
        <v>3.3992364478763198E-14</v>
      </c>
      <c r="AK157" s="14">
        <f t="shared" si="164"/>
        <v>5.790027782444094E-13</v>
      </c>
      <c r="AL157" s="22">
        <f t="shared" si="165"/>
        <v>1.0676332069095257E-12</v>
      </c>
      <c r="AM157" s="62">
        <f t="shared" si="113"/>
        <v>291.1663485847447</v>
      </c>
      <c r="AN157" s="62">
        <f ca="1">AVERAGE(OFFSET($AM$3,0,0,'Données projet'!$E$10+1,1))-AVERAGE(OFFSET($H$3,0,0,'Données projet'!$E$10+1,1))</f>
        <v>231.96474801342879</v>
      </c>
      <c r="AO157" s="62">
        <f t="shared" si="144"/>
        <v>237.75726086383668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projet'!$B$10,Paramètres!$A$1:$I$88,7,0))</f>
        <v>0</v>
      </c>
      <c r="AS157" s="17">
        <f>IF(ISNA(VLOOKUP(A157,'Données projet'!$A$61:$I$81,6,0)),0%,VLOOKUP(A157,'Données projet'!$A$61:$I$81,6,0)*VLOOKUP('Données projet'!$B$10,Paramètres!$A$1:$I$88,7,0))</f>
        <v>0</v>
      </c>
      <c r="AT157" s="17">
        <f>IF(ISNA(VLOOKUP(A157,'Données projet'!$A$61:$I$81,7,0)),0%,VLOOKUP(A157,'Données projet'!$A$61:$I$81,7,0))</f>
        <v>0</v>
      </c>
      <c r="AU157" s="23">
        <f>EXP(-LN(2)/35)*AU156+(1-EXP(-LN(2)/35))/(LN(2)/35)*AQ157*AR157*VLOOKUP('Données projet'!$B$10,Paramètres!$A$1:$I$88,3,0)*0.475*44/12</f>
        <v>14.687020345276647</v>
      </c>
      <c r="AV157" s="23">
        <f>EXP(-LN(2)/25)*AV156+(1-EXP(-LN(2)/25))/(LN(2)/25)*Calculateur!AQ157*Calculateur!AS157*VLOOKUP('Données projet'!$B$10,Paramètres!$A$1:$I$88,3,0)*0.475*44/12</f>
        <v>4.1306465717391081</v>
      </c>
      <c r="AW157" s="23">
        <f>EXP(-LN(2)/2)*AW156+(1-EXP(-LN(2)/2))/(LN(2)/2)*AQ157*AT157*VLOOKUP('Données projet'!$B$10,Paramètres!$A$1:$I$88,3,0)*0.475*44/12</f>
        <v>0</v>
      </c>
      <c r="AX157" s="23">
        <f t="shared" si="166"/>
        <v>18.817666917015757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69.409004159475529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6.8212102632969618E-13</v>
      </c>
      <c r="BE157" s="14">
        <f>BD157*VLOOKUP('Données projet'!$B$11,Paramètres!$A$1:$I$88,3,0)*VLOOKUP('Données projet'!$B$11,Paramètres!$A$1:$I$88,5,0)</f>
        <v>3.1923264032229784E-13</v>
      </c>
      <c r="BF157" s="14">
        <f t="shared" si="167"/>
        <v>4.1896839804541558E-12</v>
      </c>
      <c r="BG157" s="22">
        <f t="shared" si="168"/>
        <v>7.8530297811856558E-12</v>
      </c>
      <c r="BH157" s="62">
        <f t="shared" si="116"/>
        <v>291.16634858475146</v>
      </c>
      <c r="BI157" s="62">
        <f ca="1">AVERAGE(OFFSET($BH$3,0,0,'Données projet'!$E$11+1,1))-AVERAGE(OFFSET($H$3,0,0,'Données projet'!$E$11+1,1))</f>
        <v>364.96458059055169</v>
      </c>
      <c r="BJ157" s="62">
        <f t="shared" si="146"/>
        <v>246.27159120786257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projet'!$B$11,Paramètres!$A$1:$I$88,7,0))</f>
        <v>0</v>
      </c>
      <c r="BN157" s="17">
        <f>IF(ISNA(VLOOKUP(A157,'Données projet'!$A$87:$I$107,6,0)),0%,VLOOKUP(A157,'Données projet'!$A$87:$I$107,6,0)*VLOOKUP('Données projet'!$B$11,Paramètres!$A$1:$I$88,7,0))</f>
        <v>0</v>
      </c>
      <c r="BO157" s="17">
        <f>IF(ISNA(VLOOKUP(A157,'Données projet'!$A$87:$I$107,7,0)),0%,VLOOKUP(A157,'Données projet'!$A$87:$I$107,7,0))</f>
        <v>0</v>
      </c>
      <c r="BP157" s="23">
        <f>EXP(-LN(2)/35)*BP156+(1-EXP(-LN(2)/35))/(LN(2)/35)*BL157*BM157*VLOOKUP('Données projet'!$B$11,Paramètres!$A$1:$I$88,3,0)*0.475*44/12</f>
        <v>81.704632592945813</v>
      </c>
      <c r="BQ157" s="23">
        <f>EXP(-LN(2)/25)*BQ156+(1-EXP(-LN(2)/25))/(LN(2)/25)*Calculateur!BL157*Calculateur!BN157*VLOOKUP('Données projet'!$B$11,Paramètres!$A$1:$I$88,3,0)*0.475*44/12</f>
        <v>22.554771562744719</v>
      </c>
      <c r="BR157" s="23">
        <f>EXP(-LN(2)/2)*BR156+(1-EXP(-LN(2)/2))/(LN(2)/2)*BL157*BO157*VLOOKUP('Données projet'!$B$11,Paramètres!$A$1:$I$88,3,0)*0.475*44/12</f>
        <v>0</v>
      </c>
      <c r="BS157" s="24">
        <f t="shared" si="169"/>
        <v>104.25940415569053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69.409004159475529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-1.1368683772161603E-13</v>
      </c>
      <c r="BZ157" s="14">
        <f>BY157*VLOOKUP('Données projet'!$B$12,Paramètres!$A$1:$I$88,3,0)*VLOOKUP('Données projet'!$B$12,Paramètres!$A$1:$I$88,5,0)</f>
        <v>-1.1527845344971866E-13</v>
      </c>
      <c r="CA157" s="14" t="e">
        <f t="shared" si="170"/>
        <v>#NUM!</v>
      </c>
      <c r="CB157" s="22" t="e">
        <f t="shared" si="171"/>
        <v>#NUM!</v>
      </c>
      <c r="CC157" s="62" t="e">
        <f t="shared" si="119"/>
        <v>#NUM!</v>
      </c>
      <c r="CD157" s="62">
        <f ca="1">AVERAGE(OFFSET($CC$3,0,0,'Données projet'!$E$12+1,1))-AVERAGE(OFFSET($H$3,0,0,'Données projet'!$E$12+1,1))</f>
        <v>310.53598044763282</v>
      </c>
      <c r="CE157" s="62">
        <f t="shared" si="148"/>
        <v>322.01096634040596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projet'!$B$12,Paramètres!$A$1:$I$88,7,0))</f>
        <v>0</v>
      </c>
      <c r="CI157" s="17">
        <f>IF(ISNA(VLOOKUP(A157,'Données projet'!$A$113:$I$133,6,0)),0%,VLOOKUP(A157,'Données projet'!$A$113:$I$133,6,0)*VLOOKUP('Données projet'!$B$12,Paramètres!$A$1:$I$88,7,0))</f>
        <v>0</v>
      </c>
      <c r="CJ157" s="17">
        <f>IF(ISNA(VLOOKUP(A157,'Données projet'!$A$113:$I$133,7,0)),0%,VLOOKUP(A157,'Données projet'!$A$113:$I$133,7,0))</f>
        <v>0</v>
      </c>
      <c r="CK157" s="23">
        <f>EXP(-LN(2)/35)*CK156+(1-EXP(-LN(2)/35))/(LN(2)/35)*CG157*CH157*VLOOKUP('Données projet'!$B$12,Paramètres!$A$1:$I$88,3,0)*0.475*44/12</f>
        <v>11.237358179793285</v>
      </c>
      <c r="CL157" s="23">
        <f>EXP(-LN(2)/25)*CL156+(1-EXP(-LN(2)/25))/(LN(2)/25)*Calculateur!CG157*Calculateur!CI157*VLOOKUP('Données projet'!$B$12,Paramètres!$A$1:$I$88,3,0)*0.475*44/12</f>
        <v>0</v>
      </c>
      <c r="CM157" s="23">
        <f>EXP(-LN(2)/2)*CM156+(1-EXP(-LN(2)/2))/(LN(2)/2)*CG157*CJ157*VLOOKUP('Données projet'!$B$12,Paramètres!$A$1:$I$88,3,0)*0.475*44/12</f>
        <v>0</v>
      </c>
      <c r="CN157" s="24">
        <f t="shared" si="172"/>
        <v>11.237358179793285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69.409004159475529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projet'!$B$13,Paramètres!$A$1:$I$88,3,0)*VLOOKUP('Données projet'!$B$13,Paramètres!$A$1:$I$88,5,0)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projet'!$B$13,Paramètres!$A$1:$I$88,7,0))</f>
        <v>0</v>
      </c>
      <c r="DD157" s="17">
        <f>IF(ISNA(VLOOKUP(A157,'Données projet'!$A$139:$I$159,6,0)),0%,VLOOKUP(A157,'Données projet'!$A$139:$I$159,6,0)*VLOOKUP('Données projet'!$B$13,Paramètres!$A$1:$I$88,7,0))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projet'!$B$13,Paramètres!$A$1:$I$88,3,0)*0.475*44/12</f>
        <v>#N/A</v>
      </c>
      <c r="DG157" s="23" t="e">
        <f>EXP(-LN(2)/25)*DG156+(1-EXP(-LN(2)/25))/(LN(2)/25)*Calculateur!DB157*Calculateur!DD157*VLOOKUP('Données projet'!$B$13,Paramètres!$A$1:$I$88,3,0)*0.475*44/12</f>
        <v>#N/A</v>
      </c>
      <c r="DH157" s="23" t="e">
        <f>EXP(-LN(2)/2)*DH156+(1-EXP(-LN(2)/2))/(LN(2)/2)*DB157*DE157*VLOOKUP('Données projet'!$B$13,Paramètres!$A$1:$I$88,3,0)*0.475*44/12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69.409004159475529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projet'!$B$14,Paramètres!$A$1:$I$88,3,0)*VLOOKUP('Données projet'!$B$14,Paramètres!$A$1:$I$88,5,0)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projet'!$B$14,Paramètres!$A$1:$I$88,7,0))</f>
        <v>0</v>
      </c>
      <c r="DY157" s="17">
        <f>IF(ISNA(VLOOKUP(A157,'Données projet'!$A$165:$I$185,6,0)),0%,VLOOKUP(A157,'Données projet'!$A$165:$I$185,6,0)*VLOOKUP('Données projet'!$B$14,Paramètres!$A$1:$I$88,7,0))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projet'!$B$14,Paramètres!$A$1:$I$88,3,0)*0.475*44/12</f>
        <v>#N/A</v>
      </c>
      <c r="EB157" s="23" t="e">
        <f>EXP(-LN(2)/25)*EB156+(1-EXP(-LN(2)/25))/(LN(2)/25)*Calculateur!DW157*Calculateur!DY157*VLOOKUP('Données projet'!$B$14,Paramètres!$A$1:$I$88,3,0)*0.475*44/12</f>
        <v>#N/A</v>
      </c>
      <c r="EC157" s="23" t="e">
        <f>EXP(-LN(2)/2)*EC156+(1-EXP(-LN(2)/2))/(LN(2)/2)*DW157*DZ157*VLOOKUP('Données projet'!$B$14,Paramètres!$A$1:$I$88,3,0)*0.475*44/12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69.409004159475529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projet'!$B$15,Paramètres!$A$1:$I$88,3,0)*VLOOKUP('Données projet'!$B$15,Paramètres!$A$1:$I$88,5,0)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projet'!$B$15,Paramètres!$A$1:$I$88,7,0))</f>
        <v>0</v>
      </c>
      <c r="ET157" s="17">
        <f>IF(ISNA(VLOOKUP(A157,'Données projet'!$A$191:$I$211,6,0)),0%,VLOOKUP(A157,'Données projet'!$A$191:$I$211,6,0)*VLOOKUP('Données projet'!$B$15,Paramètres!$A$1:$I$88,7,0))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projet'!$B$15,Paramètres!$A$1:$I$88,3,0)*0.475*44/12</f>
        <v>#N/A</v>
      </c>
      <c r="EW157" s="23" t="e">
        <f>EXP(-LN(2)/25)*EW156+(1-EXP(-LN(2)/25))/(LN(2)/25)*Calculateur!ER157*Calculateur!ET157*VLOOKUP('Données projet'!$B$15,Paramètres!$A$1:$I$88,3,0)*0.475*44/12</f>
        <v>#N/A</v>
      </c>
      <c r="EX157" s="23" t="e">
        <f>EXP(-LN(2)/2)*EX156+(1-EXP(-LN(2)/2))/(LN(2)/2)*ER157*EU157*VLOOKUP('Données projet'!$B$15,Paramètres!$A$1:$I$88,3,0)*0.475*44/12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69.409004159475529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projet'!$B$16,Paramètres!$A$1:$I$88,3,0)*VLOOKUP('Données projet'!$B$16,Paramètres!$A$1:$I$88,5,0)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projet'!$B$16,Paramètres!$A$1:$I$88,7,0))</f>
        <v>0</v>
      </c>
      <c r="FO157" s="17">
        <f>IF(ISNA(VLOOKUP(A157,'Données projet'!$A$217:$I$237,6,0)),0%,VLOOKUP(A157,'Données projet'!$A$217:$I$237,6,0)*VLOOKUP('Données projet'!$B$16,Paramètres!$A$1:$I$88,7,0))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projet'!$B$16,Paramètres!$A$1:$I$88,3,0)*0.475*44/12</f>
        <v>#N/A</v>
      </c>
      <c r="FR157" s="23" t="e">
        <f>EXP(-LN(2)/25)*FR156+(1-EXP(-LN(2)/25))/(LN(2)/25)*Calculateur!FM157*Calculateur!FO157*VLOOKUP('Données projet'!$B$16,Paramètres!$A$1:$I$88,3,0)*0.475*44/12</f>
        <v>#N/A</v>
      </c>
      <c r="FS157" s="23" t="e">
        <f>EXP(-LN(2)/2)*FS156+(1-EXP(-LN(2)/2))/(LN(2)/2)*FM157*FP157*VLOOKUP('Données projet'!$B$16,Paramètres!$A$1:$I$88,3,0)*0.475*44/12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69.409004159475529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projet'!$B$17,Paramètres!$A$1:$I$88,3,0)*VLOOKUP('Données projet'!$B$17,Paramètres!$A$1:$I$88,5,0)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projet'!$B$17,Paramètres!$A$1:$I$88,7,0))</f>
        <v>0</v>
      </c>
      <c r="GJ157" s="17">
        <f>IF(ISNA(VLOOKUP(A157,'Données projet'!$A$243:$I$263,6,0)),0%,VLOOKUP(A157,'Données projet'!$A$243:$I$263,6,0)*VLOOKUP('Données projet'!$B$17,Paramètres!$A$1:$I$88,7,0))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projet'!$B$17,Paramètres!$A$1:$I$88,3,0)*0.475*44/12</f>
        <v>#N/A</v>
      </c>
      <c r="GM157" s="23" t="e">
        <f>EXP(-LN(2)/25)*GM156+(1-EXP(-LN(2)/25))/(LN(2)/25)*Calculateur!GH157*Calculateur!GJ157*VLOOKUP('Données projet'!$B$17,Paramètres!$A$1:$I$88,3,0)*0.475*44/12</f>
        <v>#N/A</v>
      </c>
      <c r="GN157" s="23" t="e">
        <f>EXP(-LN(2)/2)*GN156+(1-EXP(-LN(2)/2))/(LN(2)/2)*GH157*GK157*VLOOKUP('Données projet'!$B$17,Paramètres!$A$1:$I$88,3,0)*0.475*44/12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69.409004159475529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projet'!$B$18,Paramètres!$A$1:$I$88,3,0)*VLOOKUP('Données projet'!$B$18,Paramètres!$A$1:$I$88,5,0)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projet'!$B$18,Paramètres!$A$1:$I$88,7,0))</f>
        <v>0</v>
      </c>
      <c r="HE157" s="17">
        <f>IF(ISNA(VLOOKUP(A157,'Données projet'!$A$269:$I$289,6,0)),0%,VLOOKUP(A157,'Données projet'!$A$269:$I$289,6,0)*VLOOKUP('Données projet'!$B$18,Paramètres!$A$1:$I$88,7,0))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projet'!$B$18,Paramètres!$A$1:$I$88,3,0)*0.475*44/12</f>
        <v>#N/A</v>
      </c>
      <c r="HH157" s="23" t="e">
        <f>EXP(-LN(2)/25)*HH156+(1-EXP(-LN(2)/25))/(LN(2)/25)*Calculateur!HC157*Calculateur!HE157*VLOOKUP('Données projet'!$B$18,Paramètres!$A$1:$I$88,3,0)*0.475*44/12</f>
        <v>#N/A</v>
      </c>
      <c r="HI157" s="23" t="e">
        <f>EXP(-LN(2)/2)*HI156+(1-EXP(-LN(2)/2))/(LN(2)/2)*HC157*HF157*VLOOKUP('Données projet'!$B$18,Paramètres!$A$1:$I$88,3,0)*0.475*44/12</f>
        <v>#N/A</v>
      </c>
      <c r="HJ157" s="24" t="e">
        <f t="shared" si="190"/>
        <v>#N/A</v>
      </c>
    </row>
    <row r="158" spans="1:218" x14ac:dyDescent="0.35">
      <c r="A158" s="11">
        <f t="shared" si="161"/>
        <v>155</v>
      </c>
      <c r="B158" s="77">
        <f>'Scénario référence'!$B$16*5+'Scénario référence'!$B$17*0+'Scénario référence'!$B$18*5</f>
        <v>1.75</v>
      </c>
      <c r="C158" s="20">
        <f>Calculateur!C157+'Scénario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58" s="12">
        <f t="shared" si="140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6.416666666666667</v>
      </c>
      <c r="H158" s="70">
        <f t="shared" si="110"/>
        <v>231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69.419256616039874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3.4106051316484809E-13</v>
      </c>
      <c r="O158" s="14">
        <f>N158*VLOOKUP('Données projet'!$B$9,Paramètres!$A$1:$I$88,3,0)*VLOOKUP('Données projet'!$B$9,Paramètres!$A$1:$I$88,5,0)</f>
        <v>1.9065282685915009E-13</v>
      </c>
      <c r="P158" s="14">
        <f t="shared" si="141"/>
        <v>2.6568987209435707E-12</v>
      </c>
      <c r="Q158" s="22">
        <f t="shared" si="162"/>
        <v>4.959485612423072E-12</v>
      </c>
      <c r="R158" s="62">
        <f t="shared" si="109"/>
        <v>291.20394092548452</v>
      </c>
      <c r="S158" s="62">
        <f ca="1">AVERAGE(OFFSET($R$3,0,0,'Données projet'!$E$9+1,1))-AVERAGE(OFFSET($H$3,0,0,'Données projet'!$E$9+1,1))</f>
        <v>341.05096821796769</v>
      </c>
      <c r="T158" s="62">
        <f t="shared" si="142"/>
        <v>400.72519822215168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projet'!$B$9,Paramètres!$A$1:$I$88,7,0))</f>
        <v>0</v>
      </c>
      <c r="X158" s="17">
        <f>IF(ISNA(VLOOKUP(A158,'Données projet'!$A$35:$I$55,6,0)),0%,VLOOKUP(A158,'Données projet'!$A$35:$I$55,6,0)*VLOOKUP('Données projet'!$B$9,Paramètres!$A$1:$I$88,7,0))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projet'!$B$9,Paramètres!$A$1:$I$88,3,0)*0.475*44/12</f>
        <v>36.513335745506161</v>
      </c>
      <c r="AA158" s="23">
        <f>EXP(-LN(2)/25)*AA157+(1-EXP(-LN(2)/25))/(LN(2)/25)*Calculateur!V158*Calculateur!X158*VLOOKUP('Données projet'!$B$9,Paramètres!$A$1:$I$88,3,0)*0.475*44/12</f>
        <v>9.5144077245464995</v>
      </c>
      <c r="AB158" s="23">
        <f>EXP(-LN(2)/2)*AB157+(1-EXP(-LN(2)/2))/(LN(2)/2)*V158*Y158*VLOOKUP('Données projet'!$B$9,Paramètres!$A$1:$I$88,3,0)*0.475*44/12</f>
        <v>0</v>
      </c>
      <c r="AC158" s="24">
        <f t="shared" si="163"/>
        <v>46.027743470052663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69.419256616039874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5.6843418860808015E-14</v>
      </c>
      <c r="AJ158" s="14">
        <f>AI158*VLOOKUP('Données projet'!$B$10,Paramètres!$A$1:$I$88,3,0)*VLOOKUP('Données projet'!$B$10,Paramètres!$A$1:$I$88,5,0)</f>
        <v>3.3992364478763198E-14</v>
      </c>
      <c r="AK158" s="14">
        <f t="shared" si="164"/>
        <v>5.790027782444094E-13</v>
      </c>
      <c r="AL158" s="22">
        <f t="shared" si="165"/>
        <v>1.0676332069095257E-12</v>
      </c>
      <c r="AM158" s="62">
        <f t="shared" si="113"/>
        <v>291.20394092548065</v>
      </c>
      <c r="AN158" s="62">
        <f ca="1">AVERAGE(OFFSET($AM$3,0,0,'Données projet'!$E$10+1,1))-AVERAGE(OFFSET($H$3,0,0,'Données projet'!$E$10+1,1))</f>
        <v>231.96474801342879</v>
      </c>
      <c r="AO158" s="62">
        <f t="shared" si="144"/>
        <v>237.75726086383668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projet'!$B$10,Paramètres!$A$1:$I$88,7,0))</f>
        <v>0</v>
      </c>
      <c r="AS158" s="17">
        <f>IF(ISNA(VLOOKUP(A158,'Données projet'!$A$61:$I$81,6,0)),0%,VLOOKUP(A158,'Données projet'!$A$61:$I$81,6,0)*VLOOKUP('Données projet'!$B$10,Paramètres!$A$1:$I$88,7,0))</f>
        <v>0</v>
      </c>
      <c r="AT158" s="17">
        <f>IF(ISNA(VLOOKUP(A158,'Données projet'!$A$61:$I$81,7,0)),0%,VLOOKUP(A158,'Données projet'!$A$61:$I$81,7,0))</f>
        <v>0</v>
      </c>
      <c r="AU158" s="23">
        <f>EXP(-LN(2)/35)*AU157+(1-EXP(-LN(2)/35))/(LN(2)/35)*AQ158*AR158*VLOOKUP('Données projet'!$B$10,Paramètres!$A$1:$I$88,3,0)*0.475*44/12</f>
        <v>14.399016834503634</v>
      </c>
      <c r="AV158" s="23">
        <f>EXP(-LN(2)/25)*AV157+(1-EXP(-LN(2)/25))/(LN(2)/25)*Calculateur!AQ158*Calculateur!AS158*VLOOKUP('Données projet'!$B$10,Paramètres!$A$1:$I$88,3,0)*0.475*44/12</f>
        <v>4.0176938240136399</v>
      </c>
      <c r="AW158" s="23">
        <f>EXP(-LN(2)/2)*AW157+(1-EXP(-LN(2)/2))/(LN(2)/2)*AQ158*AT158*VLOOKUP('Données projet'!$B$10,Paramètres!$A$1:$I$88,3,0)*0.475*44/12</f>
        <v>0</v>
      </c>
      <c r="AX158" s="23">
        <f t="shared" si="166"/>
        <v>18.416710658517275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69.419256616039874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6.8212102632969618E-13</v>
      </c>
      <c r="BE158" s="14">
        <f>BD158*VLOOKUP('Données projet'!$B$11,Paramètres!$A$1:$I$88,3,0)*VLOOKUP('Données projet'!$B$11,Paramètres!$A$1:$I$88,5,0)</f>
        <v>3.1923264032229784E-13</v>
      </c>
      <c r="BF158" s="14">
        <f t="shared" si="167"/>
        <v>4.1896839804541558E-12</v>
      </c>
      <c r="BG158" s="22">
        <f t="shared" si="168"/>
        <v>7.8530297811856558E-12</v>
      </c>
      <c r="BH158" s="62">
        <f t="shared" si="116"/>
        <v>291.20394092548742</v>
      </c>
      <c r="BI158" s="62">
        <f ca="1">AVERAGE(OFFSET($BH$3,0,0,'Données projet'!$E$11+1,1))-AVERAGE(OFFSET($H$3,0,0,'Données projet'!$E$11+1,1))</f>
        <v>364.96458059055169</v>
      </c>
      <c r="BJ158" s="62">
        <f t="shared" si="146"/>
        <v>246.27159120786257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projet'!$B$11,Paramètres!$A$1:$I$88,7,0))</f>
        <v>0</v>
      </c>
      <c r="BN158" s="17">
        <f>IF(ISNA(VLOOKUP(A158,'Données projet'!$A$87:$I$107,6,0)),0%,VLOOKUP(A158,'Données projet'!$A$87:$I$107,6,0)*VLOOKUP('Données projet'!$B$11,Paramètres!$A$1:$I$88,7,0))</f>
        <v>0</v>
      </c>
      <c r="BO158" s="17">
        <f>IF(ISNA(VLOOKUP(A158,'Données projet'!$A$87:$I$107,7,0)),0%,VLOOKUP(A158,'Données projet'!$A$87:$I$107,7,0))</f>
        <v>0</v>
      </c>
      <c r="BP158" s="23">
        <f>EXP(-LN(2)/35)*BP157+(1-EXP(-LN(2)/35))/(LN(2)/35)*BL158*BM158*VLOOKUP('Données projet'!$B$11,Paramètres!$A$1:$I$88,3,0)*0.475*44/12</f>
        <v>80.102454582703245</v>
      </c>
      <c r="BQ158" s="23">
        <f>EXP(-LN(2)/25)*BQ157+(1-EXP(-LN(2)/25))/(LN(2)/25)*Calculateur!BL158*Calculateur!BN158*VLOOKUP('Données projet'!$B$11,Paramètres!$A$1:$I$88,3,0)*0.475*44/12</f>
        <v>21.938010148257579</v>
      </c>
      <c r="BR158" s="23">
        <f>EXP(-LN(2)/2)*BR157+(1-EXP(-LN(2)/2))/(LN(2)/2)*BL158*BO158*VLOOKUP('Données projet'!$B$11,Paramètres!$A$1:$I$88,3,0)*0.475*44/12</f>
        <v>0</v>
      </c>
      <c r="BS158" s="24">
        <f t="shared" si="169"/>
        <v>102.04046473096082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69.419256616039874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-1.1368683772161603E-13</v>
      </c>
      <c r="BZ158" s="14">
        <f>BY158*VLOOKUP('Données projet'!$B$12,Paramètres!$A$1:$I$88,3,0)*VLOOKUP('Données projet'!$B$12,Paramètres!$A$1:$I$88,5,0)</f>
        <v>-1.1527845344971866E-13</v>
      </c>
      <c r="CA158" s="14" t="e">
        <f t="shared" si="170"/>
        <v>#NUM!</v>
      </c>
      <c r="CB158" s="22" t="e">
        <f t="shared" si="171"/>
        <v>#NUM!</v>
      </c>
      <c r="CC158" s="62" t="e">
        <f t="shared" si="119"/>
        <v>#NUM!</v>
      </c>
      <c r="CD158" s="62">
        <f ca="1">AVERAGE(OFFSET($CC$3,0,0,'Données projet'!$E$12+1,1))-AVERAGE(OFFSET($H$3,0,0,'Données projet'!$E$12+1,1))</f>
        <v>310.53598044763282</v>
      </c>
      <c r="CE158" s="62">
        <f t="shared" si="148"/>
        <v>322.01096634040596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projet'!$B$12,Paramètres!$A$1:$I$88,7,0))</f>
        <v>0</v>
      </c>
      <c r="CI158" s="17">
        <f>IF(ISNA(VLOOKUP(A158,'Données projet'!$A$113:$I$133,6,0)),0%,VLOOKUP(A158,'Données projet'!$A$113:$I$133,6,0)*VLOOKUP('Données projet'!$B$12,Paramètres!$A$1:$I$88,7,0))</f>
        <v>0</v>
      </c>
      <c r="CJ158" s="17">
        <f>IF(ISNA(VLOOKUP(A158,'Données projet'!$A$113:$I$133,7,0)),0%,VLOOKUP(A158,'Données projet'!$A$113:$I$133,7,0))</f>
        <v>0</v>
      </c>
      <c r="CK158" s="23">
        <f>EXP(-LN(2)/35)*CK157+(1-EXP(-LN(2)/35))/(LN(2)/35)*CG158*CH158*VLOOKUP('Données projet'!$B$12,Paramètres!$A$1:$I$88,3,0)*0.475*44/12</f>
        <v>11.01700043999924</v>
      </c>
      <c r="CL158" s="23">
        <f>EXP(-LN(2)/25)*CL157+(1-EXP(-LN(2)/25))/(LN(2)/25)*Calculateur!CG158*Calculateur!CI158*VLOOKUP('Données projet'!$B$12,Paramètres!$A$1:$I$88,3,0)*0.475*44/12</f>
        <v>0</v>
      </c>
      <c r="CM158" s="23">
        <f>EXP(-LN(2)/2)*CM157+(1-EXP(-LN(2)/2))/(LN(2)/2)*CG158*CJ158*VLOOKUP('Données projet'!$B$12,Paramètres!$A$1:$I$88,3,0)*0.475*44/12</f>
        <v>0</v>
      </c>
      <c r="CN158" s="24">
        <f t="shared" si="172"/>
        <v>11.01700043999924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69.419256616039874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projet'!$B$13,Paramètres!$A$1:$I$88,3,0)*VLOOKUP('Données projet'!$B$13,Paramètres!$A$1:$I$88,5,0)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projet'!$B$13,Paramètres!$A$1:$I$88,7,0))</f>
        <v>0</v>
      </c>
      <c r="DD158" s="17">
        <f>IF(ISNA(VLOOKUP(A158,'Données projet'!$A$139:$I$159,6,0)),0%,VLOOKUP(A158,'Données projet'!$A$139:$I$159,6,0)*VLOOKUP('Données projet'!$B$13,Paramètres!$A$1:$I$88,7,0))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projet'!$B$13,Paramètres!$A$1:$I$88,3,0)*0.475*44/12</f>
        <v>#N/A</v>
      </c>
      <c r="DG158" s="23" t="e">
        <f>EXP(-LN(2)/25)*DG157+(1-EXP(-LN(2)/25))/(LN(2)/25)*Calculateur!DB158*Calculateur!DD158*VLOOKUP('Données projet'!$B$13,Paramètres!$A$1:$I$88,3,0)*0.475*44/12</f>
        <v>#N/A</v>
      </c>
      <c r="DH158" s="23" t="e">
        <f>EXP(-LN(2)/2)*DH157+(1-EXP(-LN(2)/2))/(LN(2)/2)*DB158*DE158*VLOOKUP('Données projet'!$B$13,Paramètres!$A$1:$I$88,3,0)*0.475*44/12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69.419256616039874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projet'!$B$14,Paramètres!$A$1:$I$88,3,0)*VLOOKUP('Données projet'!$B$14,Paramètres!$A$1:$I$88,5,0)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projet'!$B$14,Paramètres!$A$1:$I$88,7,0))</f>
        <v>0</v>
      </c>
      <c r="DY158" s="17">
        <f>IF(ISNA(VLOOKUP(A158,'Données projet'!$A$165:$I$185,6,0)),0%,VLOOKUP(A158,'Données projet'!$A$165:$I$185,6,0)*VLOOKUP('Données projet'!$B$14,Paramètres!$A$1:$I$88,7,0))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projet'!$B$14,Paramètres!$A$1:$I$88,3,0)*0.475*44/12</f>
        <v>#N/A</v>
      </c>
      <c r="EB158" s="23" t="e">
        <f>EXP(-LN(2)/25)*EB157+(1-EXP(-LN(2)/25))/(LN(2)/25)*Calculateur!DW158*Calculateur!DY158*VLOOKUP('Données projet'!$B$14,Paramètres!$A$1:$I$88,3,0)*0.475*44/12</f>
        <v>#N/A</v>
      </c>
      <c r="EC158" s="23" t="e">
        <f>EXP(-LN(2)/2)*EC157+(1-EXP(-LN(2)/2))/(LN(2)/2)*DW158*DZ158*VLOOKUP('Données projet'!$B$14,Paramètres!$A$1:$I$88,3,0)*0.475*44/12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69.419256616039874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projet'!$B$15,Paramètres!$A$1:$I$88,3,0)*VLOOKUP('Données projet'!$B$15,Paramètres!$A$1:$I$88,5,0)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projet'!$B$15,Paramètres!$A$1:$I$88,7,0))</f>
        <v>0</v>
      </c>
      <c r="ET158" s="17">
        <f>IF(ISNA(VLOOKUP(A158,'Données projet'!$A$191:$I$211,6,0)),0%,VLOOKUP(A158,'Données projet'!$A$191:$I$211,6,0)*VLOOKUP('Données projet'!$B$15,Paramètres!$A$1:$I$88,7,0))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projet'!$B$15,Paramètres!$A$1:$I$88,3,0)*0.475*44/12</f>
        <v>#N/A</v>
      </c>
      <c r="EW158" s="23" t="e">
        <f>EXP(-LN(2)/25)*EW157+(1-EXP(-LN(2)/25))/(LN(2)/25)*Calculateur!ER158*Calculateur!ET158*VLOOKUP('Données projet'!$B$15,Paramètres!$A$1:$I$88,3,0)*0.475*44/12</f>
        <v>#N/A</v>
      </c>
      <c r="EX158" s="23" t="e">
        <f>EXP(-LN(2)/2)*EX157+(1-EXP(-LN(2)/2))/(LN(2)/2)*ER158*EU158*VLOOKUP('Données projet'!$B$15,Paramètres!$A$1:$I$88,3,0)*0.475*44/12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69.419256616039874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projet'!$B$16,Paramètres!$A$1:$I$88,3,0)*VLOOKUP('Données projet'!$B$16,Paramètres!$A$1:$I$88,5,0)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projet'!$B$16,Paramètres!$A$1:$I$88,7,0))</f>
        <v>0</v>
      </c>
      <c r="FO158" s="17">
        <f>IF(ISNA(VLOOKUP(A158,'Données projet'!$A$217:$I$237,6,0)),0%,VLOOKUP(A158,'Données projet'!$A$217:$I$237,6,0)*VLOOKUP('Données projet'!$B$16,Paramètres!$A$1:$I$88,7,0))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projet'!$B$16,Paramètres!$A$1:$I$88,3,0)*0.475*44/12</f>
        <v>#N/A</v>
      </c>
      <c r="FR158" s="23" t="e">
        <f>EXP(-LN(2)/25)*FR157+(1-EXP(-LN(2)/25))/(LN(2)/25)*Calculateur!FM158*Calculateur!FO158*VLOOKUP('Données projet'!$B$16,Paramètres!$A$1:$I$88,3,0)*0.475*44/12</f>
        <v>#N/A</v>
      </c>
      <c r="FS158" s="23" t="e">
        <f>EXP(-LN(2)/2)*FS157+(1-EXP(-LN(2)/2))/(LN(2)/2)*FM158*FP158*VLOOKUP('Données projet'!$B$16,Paramètres!$A$1:$I$88,3,0)*0.475*44/12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69.419256616039874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projet'!$B$17,Paramètres!$A$1:$I$88,3,0)*VLOOKUP('Données projet'!$B$17,Paramètres!$A$1:$I$88,5,0)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projet'!$B$17,Paramètres!$A$1:$I$88,7,0))</f>
        <v>0</v>
      </c>
      <c r="GJ158" s="17">
        <f>IF(ISNA(VLOOKUP(A158,'Données projet'!$A$243:$I$263,6,0)),0%,VLOOKUP(A158,'Données projet'!$A$243:$I$263,6,0)*VLOOKUP('Données projet'!$B$17,Paramètres!$A$1:$I$88,7,0))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projet'!$B$17,Paramètres!$A$1:$I$88,3,0)*0.475*44/12</f>
        <v>#N/A</v>
      </c>
      <c r="GM158" s="23" t="e">
        <f>EXP(-LN(2)/25)*GM157+(1-EXP(-LN(2)/25))/(LN(2)/25)*Calculateur!GH158*Calculateur!GJ158*VLOOKUP('Données projet'!$B$17,Paramètres!$A$1:$I$88,3,0)*0.475*44/12</f>
        <v>#N/A</v>
      </c>
      <c r="GN158" s="23" t="e">
        <f>EXP(-LN(2)/2)*GN157+(1-EXP(-LN(2)/2))/(LN(2)/2)*GH158*GK158*VLOOKUP('Données projet'!$B$17,Paramètres!$A$1:$I$88,3,0)*0.475*44/12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69.419256616039874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projet'!$B$18,Paramètres!$A$1:$I$88,3,0)*VLOOKUP('Données projet'!$B$18,Paramètres!$A$1:$I$88,5,0)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projet'!$B$18,Paramètres!$A$1:$I$88,7,0))</f>
        <v>0</v>
      </c>
      <c r="HE158" s="17">
        <f>IF(ISNA(VLOOKUP(A158,'Données projet'!$A$269:$I$289,6,0)),0%,VLOOKUP(A158,'Données projet'!$A$269:$I$289,6,0)*VLOOKUP('Données projet'!$B$18,Paramètres!$A$1:$I$88,7,0))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projet'!$B$18,Paramètres!$A$1:$I$88,3,0)*0.475*44/12</f>
        <v>#N/A</v>
      </c>
      <c r="HH158" s="23" t="e">
        <f>EXP(-LN(2)/25)*HH157+(1-EXP(-LN(2)/25))/(LN(2)/25)*Calculateur!HC158*Calculateur!HE158*VLOOKUP('Données projet'!$B$18,Paramètres!$A$1:$I$88,3,0)*0.475*44/12</f>
        <v>#N/A</v>
      </c>
      <c r="HI158" s="23" t="e">
        <f>EXP(-LN(2)/2)*HI157+(1-EXP(-LN(2)/2))/(LN(2)/2)*HC158*HF158*VLOOKUP('Données projet'!$B$18,Paramètres!$A$1:$I$88,3,0)*0.475*44/12</f>
        <v>#N/A</v>
      </c>
      <c r="HJ158" s="24" t="e">
        <f t="shared" si="190"/>
        <v>#N/A</v>
      </c>
    </row>
    <row r="159" spans="1:218" x14ac:dyDescent="0.35">
      <c r="A159" s="11">
        <f t="shared" si="161"/>
        <v>156</v>
      </c>
      <c r="B159" s="77">
        <f>'Scénario référence'!$B$16*5+'Scénario référence'!$B$17*0+'Scénario référence'!$B$18*5</f>
        <v>1.75</v>
      </c>
      <c r="C159" s="20">
        <f>Calculateur!C158+'Scénario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59" s="12">
        <f t="shared" si="140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6.416666666666667</v>
      </c>
      <c r="H159" s="70">
        <f t="shared" si="110"/>
        <v>231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69.429331215403877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3.4106051316484809E-13</v>
      </c>
      <c r="O159" s="14">
        <f>N159*VLOOKUP('Données projet'!$B$9,Paramètres!$A$1:$I$88,3,0)*VLOOKUP('Données projet'!$B$9,Paramètres!$A$1:$I$88,5,0)</f>
        <v>1.9065282685915009E-13</v>
      </c>
      <c r="P159" s="14">
        <f t="shared" si="141"/>
        <v>2.6568987209435707E-12</v>
      </c>
      <c r="Q159" s="22">
        <f t="shared" si="162"/>
        <v>4.959485612423072E-12</v>
      </c>
      <c r="R159" s="62">
        <f t="shared" si="109"/>
        <v>291.24088112315246</v>
      </c>
      <c r="S159" s="62">
        <f ca="1">AVERAGE(OFFSET($R$3,0,0,'Données projet'!$E$9+1,1))-AVERAGE(OFFSET($H$3,0,0,'Données projet'!$E$9+1,1))</f>
        <v>341.05096821796769</v>
      </c>
      <c r="T159" s="62">
        <f t="shared" si="142"/>
        <v>400.72519822215168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projet'!$B$9,Paramètres!$A$1:$I$88,7,0))</f>
        <v>0</v>
      </c>
      <c r="X159" s="17">
        <f>IF(ISNA(VLOOKUP(A159,'Données projet'!$A$35:$I$55,6,0)),0%,VLOOKUP(A159,'Données projet'!$A$35:$I$55,6,0)*VLOOKUP('Données projet'!$B$9,Paramètres!$A$1:$I$88,7,0))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projet'!$B$9,Paramètres!$A$1:$I$88,3,0)*0.475*44/12</f>
        <v>35.797331502472517</v>
      </c>
      <c r="AA159" s="23">
        <f>EXP(-LN(2)/25)*AA158+(1-EXP(-LN(2)/25))/(LN(2)/25)*Calculateur!V159*Calculateur!X159*VLOOKUP('Données projet'!$B$9,Paramètres!$A$1:$I$88,3,0)*0.475*44/12</f>
        <v>9.2542357449778194</v>
      </c>
      <c r="AB159" s="23">
        <f>EXP(-LN(2)/2)*AB158+(1-EXP(-LN(2)/2))/(LN(2)/2)*V159*Y159*VLOOKUP('Données projet'!$B$9,Paramètres!$A$1:$I$88,3,0)*0.475*44/12</f>
        <v>0</v>
      </c>
      <c r="AC159" s="24">
        <f t="shared" si="163"/>
        <v>45.051567247450336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69.429331215403877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5.6843418860808015E-14</v>
      </c>
      <c r="AJ159" s="14">
        <f>AI159*VLOOKUP('Données projet'!$B$10,Paramètres!$A$1:$I$88,3,0)*VLOOKUP('Données projet'!$B$10,Paramètres!$A$1:$I$88,5,0)</f>
        <v>3.3992364478763198E-14</v>
      </c>
      <c r="AK159" s="14">
        <f t="shared" si="164"/>
        <v>5.790027782444094E-13</v>
      </c>
      <c r="AL159" s="22">
        <f t="shared" si="165"/>
        <v>1.0676332069095257E-12</v>
      </c>
      <c r="AM159" s="62">
        <f t="shared" si="113"/>
        <v>291.2408811231486</v>
      </c>
      <c r="AN159" s="62">
        <f ca="1">AVERAGE(OFFSET($AM$3,0,0,'Données projet'!$E$10+1,1))-AVERAGE(OFFSET($H$3,0,0,'Données projet'!$E$10+1,1))</f>
        <v>231.96474801342879</v>
      </c>
      <c r="AO159" s="62">
        <f t="shared" si="144"/>
        <v>237.75726086383668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projet'!$B$10,Paramètres!$A$1:$I$88,7,0))</f>
        <v>0</v>
      </c>
      <c r="AS159" s="17">
        <f>IF(ISNA(VLOOKUP(A159,'Données projet'!$A$61:$I$81,6,0)),0%,VLOOKUP(A159,'Données projet'!$A$61:$I$81,6,0)*VLOOKUP('Données projet'!$B$10,Paramètres!$A$1:$I$88,7,0))</f>
        <v>0</v>
      </c>
      <c r="AT159" s="17">
        <f>IF(ISNA(VLOOKUP(A159,'Données projet'!$A$61:$I$81,7,0)),0%,VLOOKUP(A159,'Données projet'!$A$61:$I$81,7,0))</f>
        <v>0</v>
      </c>
      <c r="AU159" s="23">
        <f>EXP(-LN(2)/35)*AU158+(1-EXP(-LN(2)/35))/(LN(2)/35)*AQ159*AR159*VLOOKUP('Données projet'!$B$10,Paramètres!$A$1:$I$88,3,0)*0.475*44/12</f>
        <v>14.116660896912084</v>
      </c>
      <c r="AV159" s="23">
        <f>EXP(-LN(2)/25)*AV158+(1-EXP(-LN(2)/25))/(LN(2)/25)*Calculateur!AQ159*Calculateur!AS159*VLOOKUP('Données projet'!$B$10,Paramètres!$A$1:$I$88,3,0)*0.475*44/12</f>
        <v>3.9078297751146511</v>
      </c>
      <c r="AW159" s="23">
        <f>EXP(-LN(2)/2)*AW158+(1-EXP(-LN(2)/2))/(LN(2)/2)*AQ159*AT159*VLOOKUP('Données projet'!$B$10,Paramètres!$A$1:$I$88,3,0)*0.475*44/12</f>
        <v>0</v>
      </c>
      <c r="AX159" s="23">
        <f t="shared" si="166"/>
        <v>18.024490672026737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69.429331215403877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6.8212102632969618E-13</v>
      </c>
      <c r="BE159" s="14">
        <f>BD159*VLOOKUP('Données projet'!$B$11,Paramètres!$A$1:$I$88,3,0)*VLOOKUP('Données projet'!$B$11,Paramètres!$A$1:$I$88,5,0)</f>
        <v>3.1923264032229784E-13</v>
      </c>
      <c r="BF159" s="14">
        <f t="shared" si="167"/>
        <v>4.1896839804541558E-12</v>
      </c>
      <c r="BG159" s="22">
        <f t="shared" si="168"/>
        <v>7.8530297811856558E-12</v>
      </c>
      <c r="BH159" s="62">
        <f t="shared" si="116"/>
        <v>291.24088112315536</v>
      </c>
      <c r="BI159" s="62">
        <f ca="1">AVERAGE(OFFSET($BH$3,0,0,'Données projet'!$E$11+1,1))-AVERAGE(OFFSET($H$3,0,0,'Données projet'!$E$11+1,1))</f>
        <v>364.96458059055169</v>
      </c>
      <c r="BJ159" s="62">
        <f t="shared" si="146"/>
        <v>246.27159120786257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projet'!$B$11,Paramètres!$A$1:$I$88,7,0))</f>
        <v>0</v>
      </c>
      <c r="BN159" s="17">
        <f>IF(ISNA(VLOOKUP(A159,'Données projet'!$A$87:$I$107,6,0)),0%,VLOOKUP(A159,'Données projet'!$A$87:$I$107,6,0)*VLOOKUP('Données projet'!$B$11,Paramètres!$A$1:$I$88,7,0))</f>
        <v>0</v>
      </c>
      <c r="BO159" s="17">
        <f>IF(ISNA(VLOOKUP(A159,'Données projet'!$A$87:$I$107,7,0)),0%,VLOOKUP(A159,'Données projet'!$A$87:$I$107,7,0))</f>
        <v>0</v>
      </c>
      <c r="BP159" s="23">
        <f>EXP(-LN(2)/35)*BP158+(1-EXP(-LN(2)/35))/(LN(2)/35)*BL159*BM159*VLOOKUP('Données projet'!$B$11,Paramètres!$A$1:$I$88,3,0)*0.475*44/12</f>
        <v>78.531694306009442</v>
      </c>
      <c r="BQ159" s="23">
        <f>EXP(-LN(2)/25)*BQ158+(1-EXP(-LN(2)/25))/(LN(2)/25)*Calculateur!BL159*Calculateur!BN159*VLOOKUP('Données projet'!$B$11,Paramètres!$A$1:$I$88,3,0)*0.475*44/12</f>
        <v>21.338114107083662</v>
      </c>
      <c r="BR159" s="23">
        <f>EXP(-LN(2)/2)*BR158+(1-EXP(-LN(2)/2))/(LN(2)/2)*BL159*BO159*VLOOKUP('Données projet'!$B$11,Paramètres!$A$1:$I$88,3,0)*0.475*44/12</f>
        <v>0</v>
      </c>
      <c r="BS159" s="24">
        <f t="shared" si="169"/>
        <v>99.869808413093097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69.429331215403877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-1.1368683772161603E-13</v>
      </c>
      <c r="BZ159" s="14">
        <f>BY159*VLOOKUP('Données projet'!$B$12,Paramètres!$A$1:$I$88,3,0)*VLOOKUP('Données projet'!$B$12,Paramètres!$A$1:$I$88,5,0)</f>
        <v>-1.1527845344971866E-13</v>
      </c>
      <c r="CA159" s="14" t="e">
        <f t="shared" si="170"/>
        <v>#NUM!</v>
      </c>
      <c r="CB159" s="22" t="e">
        <f t="shared" si="171"/>
        <v>#NUM!</v>
      </c>
      <c r="CC159" s="62" t="e">
        <f t="shared" si="119"/>
        <v>#NUM!</v>
      </c>
      <c r="CD159" s="62">
        <f ca="1">AVERAGE(OFFSET($CC$3,0,0,'Données projet'!$E$12+1,1))-AVERAGE(OFFSET($H$3,0,0,'Données projet'!$E$12+1,1))</f>
        <v>310.53598044763282</v>
      </c>
      <c r="CE159" s="62">
        <f t="shared" si="148"/>
        <v>322.01096634040596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projet'!$B$12,Paramètres!$A$1:$I$88,7,0))</f>
        <v>0</v>
      </c>
      <c r="CI159" s="17">
        <f>IF(ISNA(VLOOKUP(A159,'Données projet'!$A$113:$I$133,6,0)),0%,VLOOKUP(A159,'Données projet'!$A$113:$I$133,6,0)*VLOOKUP('Données projet'!$B$12,Paramètres!$A$1:$I$88,7,0))</f>
        <v>0</v>
      </c>
      <c r="CJ159" s="17">
        <f>IF(ISNA(VLOOKUP(A159,'Données projet'!$A$113:$I$133,7,0)),0%,VLOOKUP(A159,'Données projet'!$A$113:$I$133,7,0))</f>
        <v>0</v>
      </c>
      <c r="CK159" s="23">
        <f>EXP(-LN(2)/35)*CK158+(1-EXP(-LN(2)/35))/(LN(2)/35)*CG159*CH159*VLOOKUP('Données projet'!$B$12,Paramètres!$A$1:$I$88,3,0)*0.475*44/12</f>
        <v>10.800963781077607</v>
      </c>
      <c r="CL159" s="23">
        <f>EXP(-LN(2)/25)*CL158+(1-EXP(-LN(2)/25))/(LN(2)/25)*Calculateur!CG159*Calculateur!CI159*VLOOKUP('Données projet'!$B$12,Paramètres!$A$1:$I$88,3,0)*0.475*44/12</f>
        <v>0</v>
      </c>
      <c r="CM159" s="23">
        <f>EXP(-LN(2)/2)*CM158+(1-EXP(-LN(2)/2))/(LN(2)/2)*CG159*CJ159*VLOOKUP('Données projet'!$B$12,Paramètres!$A$1:$I$88,3,0)*0.475*44/12</f>
        <v>0</v>
      </c>
      <c r="CN159" s="24">
        <f t="shared" si="172"/>
        <v>10.800963781077607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69.429331215403877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projet'!$B$13,Paramètres!$A$1:$I$88,3,0)*VLOOKUP('Données projet'!$B$13,Paramètres!$A$1:$I$88,5,0)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projet'!$B$13,Paramètres!$A$1:$I$88,7,0))</f>
        <v>0</v>
      </c>
      <c r="DD159" s="17">
        <f>IF(ISNA(VLOOKUP(A159,'Données projet'!$A$139:$I$159,6,0)),0%,VLOOKUP(A159,'Données projet'!$A$139:$I$159,6,0)*VLOOKUP('Données projet'!$B$13,Paramètres!$A$1:$I$88,7,0))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projet'!$B$13,Paramètres!$A$1:$I$88,3,0)*0.475*44/12</f>
        <v>#N/A</v>
      </c>
      <c r="DG159" s="23" t="e">
        <f>EXP(-LN(2)/25)*DG158+(1-EXP(-LN(2)/25))/(LN(2)/25)*Calculateur!DB159*Calculateur!DD159*VLOOKUP('Données projet'!$B$13,Paramètres!$A$1:$I$88,3,0)*0.475*44/12</f>
        <v>#N/A</v>
      </c>
      <c r="DH159" s="23" t="e">
        <f>EXP(-LN(2)/2)*DH158+(1-EXP(-LN(2)/2))/(LN(2)/2)*DB159*DE159*VLOOKUP('Données projet'!$B$13,Paramètres!$A$1:$I$88,3,0)*0.475*44/12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69.429331215403877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projet'!$B$14,Paramètres!$A$1:$I$88,3,0)*VLOOKUP('Données projet'!$B$14,Paramètres!$A$1:$I$88,5,0)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projet'!$B$14,Paramètres!$A$1:$I$88,7,0))</f>
        <v>0</v>
      </c>
      <c r="DY159" s="17">
        <f>IF(ISNA(VLOOKUP(A159,'Données projet'!$A$165:$I$185,6,0)),0%,VLOOKUP(A159,'Données projet'!$A$165:$I$185,6,0)*VLOOKUP('Données projet'!$B$14,Paramètres!$A$1:$I$88,7,0))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projet'!$B$14,Paramètres!$A$1:$I$88,3,0)*0.475*44/12</f>
        <v>#N/A</v>
      </c>
      <c r="EB159" s="23" t="e">
        <f>EXP(-LN(2)/25)*EB158+(1-EXP(-LN(2)/25))/(LN(2)/25)*Calculateur!DW159*Calculateur!DY159*VLOOKUP('Données projet'!$B$14,Paramètres!$A$1:$I$88,3,0)*0.475*44/12</f>
        <v>#N/A</v>
      </c>
      <c r="EC159" s="23" t="e">
        <f>EXP(-LN(2)/2)*EC158+(1-EXP(-LN(2)/2))/(LN(2)/2)*DW159*DZ159*VLOOKUP('Données projet'!$B$14,Paramètres!$A$1:$I$88,3,0)*0.475*44/12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69.429331215403877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projet'!$B$15,Paramètres!$A$1:$I$88,3,0)*VLOOKUP('Données projet'!$B$15,Paramètres!$A$1:$I$88,5,0)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projet'!$B$15,Paramètres!$A$1:$I$88,7,0))</f>
        <v>0</v>
      </c>
      <c r="ET159" s="17">
        <f>IF(ISNA(VLOOKUP(A159,'Données projet'!$A$191:$I$211,6,0)),0%,VLOOKUP(A159,'Données projet'!$A$191:$I$211,6,0)*VLOOKUP('Données projet'!$B$15,Paramètres!$A$1:$I$88,7,0))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projet'!$B$15,Paramètres!$A$1:$I$88,3,0)*0.475*44/12</f>
        <v>#N/A</v>
      </c>
      <c r="EW159" s="23" t="e">
        <f>EXP(-LN(2)/25)*EW158+(1-EXP(-LN(2)/25))/(LN(2)/25)*Calculateur!ER159*Calculateur!ET159*VLOOKUP('Données projet'!$B$15,Paramètres!$A$1:$I$88,3,0)*0.475*44/12</f>
        <v>#N/A</v>
      </c>
      <c r="EX159" s="23" t="e">
        <f>EXP(-LN(2)/2)*EX158+(1-EXP(-LN(2)/2))/(LN(2)/2)*ER159*EU159*VLOOKUP('Données projet'!$B$15,Paramètres!$A$1:$I$88,3,0)*0.475*44/12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69.429331215403877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projet'!$B$16,Paramètres!$A$1:$I$88,3,0)*VLOOKUP('Données projet'!$B$16,Paramètres!$A$1:$I$88,5,0)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projet'!$B$16,Paramètres!$A$1:$I$88,7,0))</f>
        <v>0</v>
      </c>
      <c r="FO159" s="17">
        <f>IF(ISNA(VLOOKUP(A159,'Données projet'!$A$217:$I$237,6,0)),0%,VLOOKUP(A159,'Données projet'!$A$217:$I$237,6,0)*VLOOKUP('Données projet'!$B$16,Paramètres!$A$1:$I$88,7,0))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projet'!$B$16,Paramètres!$A$1:$I$88,3,0)*0.475*44/12</f>
        <v>#N/A</v>
      </c>
      <c r="FR159" s="23" t="e">
        <f>EXP(-LN(2)/25)*FR158+(1-EXP(-LN(2)/25))/(LN(2)/25)*Calculateur!FM159*Calculateur!FO159*VLOOKUP('Données projet'!$B$16,Paramètres!$A$1:$I$88,3,0)*0.475*44/12</f>
        <v>#N/A</v>
      </c>
      <c r="FS159" s="23" t="e">
        <f>EXP(-LN(2)/2)*FS158+(1-EXP(-LN(2)/2))/(LN(2)/2)*FM159*FP159*VLOOKUP('Données projet'!$B$16,Paramètres!$A$1:$I$88,3,0)*0.475*44/12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69.429331215403877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projet'!$B$17,Paramètres!$A$1:$I$88,3,0)*VLOOKUP('Données projet'!$B$17,Paramètres!$A$1:$I$88,5,0)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projet'!$B$17,Paramètres!$A$1:$I$88,7,0))</f>
        <v>0</v>
      </c>
      <c r="GJ159" s="17">
        <f>IF(ISNA(VLOOKUP(A159,'Données projet'!$A$243:$I$263,6,0)),0%,VLOOKUP(A159,'Données projet'!$A$243:$I$263,6,0)*VLOOKUP('Données projet'!$B$17,Paramètres!$A$1:$I$88,7,0))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projet'!$B$17,Paramètres!$A$1:$I$88,3,0)*0.475*44/12</f>
        <v>#N/A</v>
      </c>
      <c r="GM159" s="23" t="e">
        <f>EXP(-LN(2)/25)*GM158+(1-EXP(-LN(2)/25))/(LN(2)/25)*Calculateur!GH159*Calculateur!GJ159*VLOOKUP('Données projet'!$B$17,Paramètres!$A$1:$I$88,3,0)*0.475*44/12</f>
        <v>#N/A</v>
      </c>
      <c r="GN159" s="23" t="e">
        <f>EXP(-LN(2)/2)*GN158+(1-EXP(-LN(2)/2))/(LN(2)/2)*GH159*GK159*VLOOKUP('Données projet'!$B$17,Paramètres!$A$1:$I$88,3,0)*0.475*44/12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69.429331215403877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projet'!$B$18,Paramètres!$A$1:$I$88,3,0)*VLOOKUP('Données projet'!$B$18,Paramètres!$A$1:$I$88,5,0)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projet'!$B$18,Paramètres!$A$1:$I$88,7,0))</f>
        <v>0</v>
      </c>
      <c r="HE159" s="17">
        <f>IF(ISNA(VLOOKUP(A159,'Données projet'!$A$269:$I$289,6,0)),0%,VLOOKUP(A159,'Données projet'!$A$269:$I$289,6,0)*VLOOKUP('Données projet'!$B$18,Paramètres!$A$1:$I$88,7,0))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projet'!$B$18,Paramètres!$A$1:$I$88,3,0)*0.475*44/12</f>
        <v>#N/A</v>
      </c>
      <c r="HH159" s="23" t="e">
        <f>EXP(-LN(2)/25)*HH158+(1-EXP(-LN(2)/25))/(LN(2)/25)*Calculateur!HC159*Calculateur!HE159*VLOOKUP('Données projet'!$B$18,Paramètres!$A$1:$I$88,3,0)*0.475*44/12</f>
        <v>#N/A</v>
      </c>
      <c r="HI159" s="23" t="e">
        <f>EXP(-LN(2)/2)*HI158+(1-EXP(-LN(2)/2))/(LN(2)/2)*HC159*HF159*VLOOKUP('Données projet'!$B$18,Paramètres!$A$1:$I$88,3,0)*0.475*44/12</f>
        <v>#N/A</v>
      </c>
      <c r="HJ159" s="24" t="e">
        <f t="shared" si="190"/>
        <v>#N/A</v>
      </c>
    </row>
    <row r="160" spans="1:218" x14ac:dyDescent="0.35">
      <c r="A160" s="11">
        <f t="shared" si="161"/>
        <v>157</v>
      </c>
      <c r="B160" s="77">
        <f>'Scénario référence'!$B$16*5+'Scénario référence'!$B$17*0+'Scénario référence'!$B$18*5</f>
        <v>1.75</v>
      </c>
      <c r="C160" s="20">
        <f>Calculateur!C159+'Scénario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60" s="12">
        <f t="shared" si="140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6.416666666666667</v>
      </c>
      <c r="H160" s="70">
        <f t="shared" si="110"/>
        <v>231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69.439231042992361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3.4106051316484809E-13</v>
      </c>
      <c r="O160" s="14">
        <f>N160*VLOOKUP('Données projet'!$B$9,Paramètres!$A$1:$I$88,3,0)*VLOOKUP('Données projet'!$B$9,Paramètres!$A$1:$I$88,5,0)</f>
        <v>1.9065282685915009E-13</v>
      </c>
      <c r="P160" s="14">
        <f t="shared" si="141"/>
        <v>2.6568987209435707E-12</v>
      </c>
      <c r="Q160" s="22">
        <f t="shared" si="162"/>
        <v>4.959485612423072E-12</v>
      </c>
      <c r="R160" s="62">
        <f t="shared" si="109"/>
        <v>291.27718049097695</v>
      </c>
      <c r="S160" s="62">
        <f ca="1">AVERAGE(OFFSET($R$3,0,0,'Données projet'!$E$9+1,1))-AVERAGE(OFFSET($H$3,0,0,'Données projet'!$E$9+1,1))</f>
        <v>341.05096821796769</v>
      </c>
      <c r="T160" s="62">
        <f t="shared" si="142"/>
        <v>400.72519822215168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projet'!$B$9,Paramètres!$A$1:$I$88,7,0))</f>
        <v>0</v>
      </c>
      <c r="X160" s="17">
        <f>IF(ISNA(VLOOKUP(A160,'Données projet'!$A$35:$I$55,6,0)),0%,VLOOKUP(A160,'Données projet'!$A$35:$I$55,6,0)*VLOOKUP('Données projet'!$B$9,Paramètres!$A$1:$I$88,7,0))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projet'!$B$9,Paramètres!$A$1:$I$88,3,0)*0.475*44/12</f>
        <v>35.095367665925295</v>
      </c>
      <c r="AA160" s="23">
        <f>EXP(-LN(2)/25)*AA159+(1-EXP(-LN(2)/25))/(LN(2)/25)*Calculateur!V160*Calculateur!X160*VLOOKUP('Données projet'!$B$9,Paramètres!$A$1:$I$88,3,0)*0.475*44/12</f>
        <v>9.0011781818722945</v>
      </c>
      <c r="AB160" s="23">
        <f>EXP(-LN(2)/2)*AB159+(1-EXP(-LN(2)/2))/(LN(2)/2)*V160*Y160*VLOOKUP('Données projet'!$B$9,Paramètres!$A$1:$I$88,3,0)*0.475*44/12</f>
        <v>0</v>
      </c>
      <c r="AC160" s="24">
        <f t="shared" si="163"/>
        <v>44.096545847797586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69.439231042992361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5.6843418860808015E-14</v>
      </c>
      <c r="AJ160" s="14">
        <f>AI160*VLOOKUP('Données projet'!$B$10,Paramètres!$A$1:$I$88,3,0)*VLOOKUP('Données projet'!$B$10,Paramètres!$A$1:$I$88,5,0)</f>
        <v>3.3992364478763198E-14</v>
      </c>
      <c r="AK160" s="14">
        <f t="shared" si="164"/>
        <v>5.790027782444094E-13</v>
      </c>
      <c r="AL160" s="22">
        <f t="shared" si="165"/>
        <v>1.0676332069095257E-12</v>
      </c>
      <c r="AM160" s="62">
        <f t="shared" si="113"/>
        <v>291.27718049097308</v>
      </c>
      <c r="AN160" s="62">
        <f ca="1">AVERAGE(OFFSET($AM$3,0,0,'Données projet'!$E$10+1,1))-AVERAGE(OFFSET($H$3,0,0,'Données projet'!$E$10+1,1))</f>
        <v>231.96474801342879</v>
      </c>
      <c r="AO160" s="62">
        <f t="shared" si="144"/>
        <v>237.75726086383668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projet'!$B$10,Paramètres!$A$1:$I$88,7,0))</f>
        <v>0</v>
      </c>
      <c r="AS160" s="17">
        <f>IF(ISNA(VLOOKUP(A160,'Données projet'!$A$61:$I$81,6,0)),0%,VLOOKUP(A160,'Données projet'!$A$61:$I$81,6,0)*VLOOKUP('Données projet'!$B$10,Paramètres!$A$1:$I$88,7,0))</f>
        <v>0</v>
      </c>
      <c r="AT160" s="17">
        <f>IF(ISNA(VLOOKUP(A160,'Données projet'!$A$61:$I$81,7,0)),0%,VLOOKUP(A160,'Données projet'!$A$61:$I$81,7,0))</f>
        <v>0</v>
      </c>
      <c r="AU160" s="23">
        <f>EXP(-LN(2)/35)*AU159+(1-EXP(-LN(2)/35))/(LN(2)/35)*AQ160*AR160*VLOOKUP('Données projet'!$B$10,Paramètres!$A$1:$I$88,3,0)*0.475*44/12</f>
        <v>13.839841787036587</v>
      </c>
      <c r="AV160" s="23">
        <f>EXP(-LN(2)/25)*AV159+(1-EXP(-LN(2)/25))/(LN(2)/25)*Calculateur!AQ160*Calculateur!AS160*VLOOKUP('Données projet'!$B$10,Paramètres!$A$1:$I$88,3,0)*0.475*44/12</f>
        <v>3.8009699644103048</v>
      </c>
      <c r="AW160" s="23">
        <f>EXP(-LN(2)/2)*AW159+(1-EXP(-LN(2)/2))/(LN(2)/2)*AQ160*AT160*VLOOKUP('Données projet'!$B$10,Paramètres!$A$1:$I$88,3,0)*0.475*44/12</f>
        <v>0</v>
      </c>
      <c r="AX160" s="23">
        <f t="shared" si="166"/>
        <v>17.64081175144689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69.439231042992361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6.8212102632969618E-13</v>
      </c>
      <c r="BE160" s="14">
        <f>BD160*VLOOKUP('Données projet'!$B$11,Paramètres!$A$1:$I$88,3,0)*VLOOKUP('Données projet'!$B$11,Paramètres!$A$1:$I$88,5,0)</f>
        <v>3.1923264032229784E-13</v>
      </c>
      <c r="BF160" s="14">
        <f t="shared" si="167"/>
        <v>4.1896839804541558E-12</v>
      </c>
      <c r="BG160" s="22">
        <f t="shared" si="168"/>
        <v>7.8530297811856558E-12</v>
      </c>
      <c r="BH160" s="62">
        <f t="shared" si="116"/>
        <v>291.27718049097984</v>
      </c>
      <c r="BI160" s="62">
        <f ca="1">AVERAGE(OFFSET($BH$3,0,0,'Données projet'!$E$11+1,1))-AVERAGE(OFFSET($H$3,0,0,'Données projet'!$E$11+1,1))</f>
        <v>364.96458059055169</v>
      </c>
      <c r="BJ160" s="62">
        <f t="shared" si="146"/>
        <v>246.27159120786257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projet'!$B$11,Paramètres!$A$1:$I$88,7,0))</f>
        <v>0</v>
      </c>
      <c r="BN160" s="17">
        <f>IF(ISNA(VLOOKUP(A160,'Données projet'!$A$87:$I$107,6,0)),0%,VLOOKUP(A160,'Données projet'!$A$87:$I$107,6,0)*VLOOKUP('Données projet'!$B$11,Paramètres!$A$1:$I$88,7,0))</f>
        <v>0</v>
      </c>
      <c r="BO160" s="17">
        <f>IF(ISNA(VLOOKUP(A160,'Données projet'!$A$87:$I$107,7,0)),0%,VLOOKUP(A160,'Données projet'!$A$87:$I$107,7,0))</f>
        <v>0</v>
      </c>
      <c r="BP160" s="23">
        <f>EXP(-LN(2)/35)*BP159+(1-EXP(-LN(2)/35))/(LN(2)/35)*BL160*BM160*VLOOKUP('Données projet'!$B$11,Paramètres!$A$1:$I$88,3,0)*0.475*44/12</f>
        <v>76.991735680272427</v>
      </c>
      <c r="BQ160" s="23">
        <f>EXP(-LN(2)/25)*BQ159+(1-EXP(-LN(2)/25))/(LN(2)/25)*Calculateur!BL160*Calculateur!BN160*VLOOKUP('Données projet'!$B$11,Paramètres!$A$1:$I$88,3,0)*0.475*44/12</f>
        <v>20.754622254702806</v>
      </c>
      <c r="BR160" s="23">
        <f>EXP(-LN(2)/2)*BR159+(1-EXP(-LN(2)/2))/(LN(2)/2)*BL160*BO160*VLOOKUP('Données projet'!$B$11,Paramètres!$A$1:$I$88,3,0)*0.475*44/12</f>
        <v>0</v>
      </c>
      <c r="BS160" s="24">
        <f t="shared" si="169"/>
        <v>97.746357934975237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69.439231042992361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-1.1368683772161603E-13</v>
      </c>
      <c r="BZ160" s="14">
        <f>BY160*VLOOKUP('Données projet'!$B$12,Paramètres!$A$1:$I$88,3,0)*VLOOKUP('Données projet'!$B$12,Paramètres!$A$1:$I$88,5,0)</f>
        <v>-1.1527845344971866E-13</v>
      </c>
      <c r="CA160" s="14" t="e">
        <f t="shared" si="170"/>
        <v>#NUM!</v>
      </c>
      <c r="CB160" s="22" t="e">
        <f t="shared" si="171"/>
        <v>#NUM!</v>
      </c>
      <c r="CC160" s="62" t="e">
        <f t="shared" si="119"/>
        <v>#NUM!</v>
      </c>
      <c r="CD160" s="62">
        <f ca="1">AVERAGE(OFFSET($CC$3,0,0,'Données projet'!$E$12+1,1))-AVERAGE(OFFSET($H$3,0,0,'Données projet'!$E$12+1,1))</f>
        <v>310.53598044763282</v>
      </c>
      <c r="CE160" s="62">
        <f t="shared" si="148"/>
        <v>322.01096634040596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projet'!$B$12,Paramètres!$A$1:$I$88,7,0))</f>
        <v>0</v>
      </c>
      <c r="CI160" s="17">
        <f>IF(ISNA(VLOOKUP(A160,'Données projet'!$A$113:$I$133,6,0)),0%,VLOOKUP(A160,'Données projet'!$A$113:$I$133,6,0)*VLOOKUP('Données projet'!$B$12,Paramètres!$A$1:$I$88,7,0))</f>
        <v>0</v>
      </c>
      <c r="CJ160" s="17">
        <f>IF(ISNA(VLOOKUP(A160,'Données projet'!$A$113:$I$133,7,0)),0%,VLOOKUP(A160,'Données projet'!$A$113:$I$133,7,0))</f>
        <v>0</v>
      </c>
      <c r="CK160" s="23">
        <f>EXP(-LN(2)/35)*CK159+(1-EXP(-LN(2)/35))/(LN(2)/35)*CG160*CH160*VLOOKUP('Données projet'!$B$12,Paramètres!$A$1:$I$88,3,0)*0.475*44/12</f>
        <v>10.589163469268078</v>
      </c>
      <c r="CL160" s="23">
        <f>EXP(-LN(2)/25)*CL159+(1-EXP(-LN(2)/25))/(LN(2)/25)*Calculateur!CG160*Calculateur!CI160*VLOOKUP('Données projet'!$B$12,Paramètres!$A$1:$I$88,3,0)*0.475*44/12</f>
        <v>0</v>
      </c>
      <c r="CM160" s="23">
        <f>EXP(-LN(2)/2)*CM159+(1-EXP(-LN(2)/2))/(LN(2)/2)*CG160*CJ160*VLOOKUP('Données projet'!$B$12,Paramètres!$A$1:$I$88,3,0)*0.475*44/12</f>
        <v>0</v>
      </c>
      <c r="CN160" s="24">
        <f t="shared" si="172"/>
        <v>10.589163469268078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69.439231042992361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projet'!$B$13,Paramètres!$A$1:$I$88,3,0)*VLOOKUP('Données projet'!$B$13,Paramètres!$A$1:$I$88,5,0)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projet'!$B$13,Paramètres!$A$1:$I$88,7,0))</f>
        <v>0</v>
      </c>
      <c r="DD160" s="17">
        <f>IF(ISNA(VLOOKUP(A160,'Données projet'!$A$139:$I$159,6,0)),0%,VLOOKUP(A160,'Données projet'!$A$139:$I$159,6,0)*VLOOKUP('Données projet'!$B$13,Paramètres!$A$1:$I$88,7,0))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projet'!$B$13,Paramètres!$A$1:$I$88,3,0)*0.475*44/12</f>
        <v>#N/A</v>
      </c>
      <c r="DG160" s="23" t="e">
        <f>EXP(-LN(2)/25)*DG159+(1-EXP(-LN(2)/25))/(LN(2)/25)*Calculateur!DB160*Calculateur!DD160*VLOOKUP('Données projet'!$B$13,Paramètres!$A$1:$I$88,3,0)*0.475*44/12</f>
        <v>#N/A</v>
      </c>
      <c r="DH160" s="23" t="e">
        <f>EXP(-LN(2)/2)*DH159+(1-EXP(-LN(2)/2))/(LN(2)/2)*DB160*DE160*VLOOKUP('Données projet'!$B$13,Paramètres!$A$1:$I$88,3,0)*0.475*44/12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69.439231042992361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projet'!$B$14,Paramètres!$A$1:$I$88,3,0)*VLOOKUP('Données projet'!$B$14,Paramètres!$A$1:$I$88,5,0)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projet'!$B$14,Paramètres!$A$1:$I$88,7,0))</f>
        <v>0</v>
      </c>
      <c r="DY160" s="17">
        <f>IF(ISNA(VLOOKUP(A160,'Données projet'!$A$165:$I$185,6,0)),0%,VLOOKUP(A160,'Données projet'!$A$165:$I$185,6,0)*VLOOKUP('Données projet'!$B$14,Paramètres!$A$1:$I$88,7,0))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projet'!$B$14,Paramètres!$A$1:$I$88,3,0)*0.475*44/12</f>
        <v>#N/A</v>
      </c>
      <c r="EB160" s="23" t="e">
        <f>EXP(-LN(2)/25)*EB159+(1-EXP(-LN(2)/25))/(LN(2)/25)*Calculateur!DW160*Calculateur!DY160*VLOOKUP('Données projet'!$B$14,Paramètres!$A$1:$I$88,3,0)*0.475*44/12</f>
        <v>#N/A</v>
      </c>
      <c r="EC160" s="23" t="e">
        <f>EXP(-LN(2)/2)*EC159+(1-EXP(-LN(2)/2))/(LN(2)/2)*DW160*DZ160*VLOOKUP('Données projet'!$B$14,Paramètres!$A$1:$I$88,3,0)*0.475*44/12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69.439231042992361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projet'!$B$15,Paramètres!$A$1:$I$88,3,0)*VLOOKUP('Données projet'!$B$15,Paramètres!$A$1:$I$88,5,0)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projet'!$B$15,Paramètres!$A$1:$I$88,7,0))</f>
        <v>0</v>
      </c>
      <c r="ET160" s="17">
        <f>IF(ISNA(VLOOKUP(A160,'Données projet'!$A$191:$I$211,6,0)),0%,VLOOKUP(A160,'Données projet'!$A$191:$I$211,6,0)*VLOOKUP('Données projet'!$B$15,Paramètres!$A$1:$I$88,7,0))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projet'!$B$15,Paramètres!$A$1:$I$88,3,0)*0.475*44/12</f>
        <v>#N/A</v>
      </c>
      <c r="EW160" s="23" t="e">
        <f>EXP(-LN(2)/25)*EW159+(1-EXP(-LN(2)/25))/(LN(2)/25)*Calculateur!ER160*Calculateur!ET160*VLOOKUP('Données projet'!$B$15,Paramètres!$A$1:$I$88,3,0)*0.475*44/12</f>
        <v>#N/A</v>
      </c>
      <c r="EX160" s="23" t="e">
        <f>EXP(-LN(2)/2)*EX159+(1-EXP(-LN(2)/2))/(LN(2)/2)*ER160*EU160*VLOOKUP('Données projet'!$B$15,Paramètres!$A$1:$I$88,3,0)*0.475*44/12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69.439231042992361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projet'!$B$16,Paramètres!$A$1:$I$88,3,0)*VLOOKUP('Données projet'!$B$16,Paramètres!$A$1:$I$88,5,0)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projet'!$B$16,Paramètres!$A$1:$I$88,7,0))</f>
        <v>0</v>
      </c>
      <c r="FO160" s="17">
        <f>IF(ISNA(VLOOKUP(A160,'Données projet'!$A$217:$I$237,6,0)),0%,VLOOKUP(A160,'Données projet'!$A$217:$I$237,6,0)*VLOOKUP('Données projet'!$B$16,Paramètres!$A$1:$I$88,7,0))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projet'!$B$16,Paramètres!$A$1:$I$88,3,0)*0.475*44/12</f>
        <v>#N/A</v>
      </c>
      <c r="FR160" s="23" t="e">
        <f>EXP(-LN(2)/25)*FR159+(1-EXP(-LN(2)/25))/(LN(2)/25)*Calculateur!FM160*Calculateur!FO160*VLOOKUP('Données projet'!$B$16,Paramètres!$A$1:$I$88,3,0)*0.475*44/12</f>
        <v>#N/A</v>
      </c>
      <c r="FS160" s="23" t="e">
        <f>EXP(-LN(2)/2)*FS159+(1-EXP(-LN(2)/2))/(LN(2)/2)*FM160*FP160*VLOOKUP('Données projet'!$B$16,Paramètres!$A$1:$I$88,3,0)*0.475*44/12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69.439231042992361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projet'!$B$17,Paramètres!$A$1:$I$88,3,0)*VLOOKUP('Données projet'!$B$17,Paramètres!$A$1:$I$88,5,0)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projet'!$B$17,Paramètres!$A$1:$I$88,7,0))</f>
        <v>0</v>
      </c>
      <c r="GJ160" s="17">
        <f>IF(ISNA(VLOOKUP(A160,'Données projet'!$A$243:$I$263,6,0)),0%,VLOOKUP(A160,'Données projet'!$A$243:$I$263,6,0)*VLOOKUP('Données projet'!$B$17,Paramètres!$A$1:$I$88,7,0))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projet'!$B$17,Paramètres!$A$1:$I$88,3,0)*0.475*44/12</f>
        <v>#N/A</v>
      </c>
      <c r="GM160" s="23" t="e">
        <f>EXP(-LN(2)/25)*GM159+(1-EXP(-LN(2)/25))/(LN(2)/25)*Calculateur!GH160*Calculateur!GJ160*VLOOKUP('Données projet'!$B$17,Paramètres!$A$1:$I$88,3,0)*0.475*44/12</f>
        <v>#N/A</v>
      </c>
      <c r="GN160" s="23" t="e">
        <f>EXP(-LN(2)/2)*GN159+(1-EXP(-LN(2)/2))/(LN(2)/2)*GH160*GK160*VLOOKUP('Données projet'!$B$17,Paramètres!$A$1:$I$88,3,0)*0.475*44/12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69.439231042992361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projet'!$B$18,Paramètres!$A$1:$I$88,3,0)*VLOOKUP('Données projet'!$B$18,Paramètres!$A$1:$I$88,5,0)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projet'!$B$18,Paramètres!$A$1:$I$88,7,0))</f>
        <v>0</v>
      </c>
      <c r="HE160" s="17">
        <f>IF(ISNA(VLOOKUP(A160,'Données projet'!$A$269:$I$289,6,0)),0%,VLOOKUP(A160,'Données projet'!$A$269:$I$289,6,0)*VLOOKUP('Données projet'!$B$18,Paramètres!$A$1:$I$88,7,0))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projet'!$B$18,Paramètres!$A$1:$I$88,3,0)*0.475*44/12</f>
        <v>#N/A</v>
      </c>
      <c r="HH160" s="23" t="e">
        <f>EXP(-LN(2)/25)*HH159+(1-EXP(-LN(2)/25))/(LN(2)/25)*Calculateur!HC160*Calculateur!HE160*VLOOKUP('Données projet'!$B$18,Paramètres!$A$1:$I$88,3,0)*0.475*44/12</f>
        <v>#N/A</v>
      </c>
      <c r="HI160" s="23" t="e">
        <f>EXP(-LN(2)/2)*HI159+(1-EXP(-LN(2)/2))/(LN(2)/2)*HC160*HF160*VLOOKUP('Données projet'!$B$18,Paramètres!$A$1:$I$88,3,0)*0.475*44/12</f>
        <v>#N/A</v>
      </c>
      <c r="HJ160" s="24" t="e">
        <f t="shared" si="190"/>
        <v>#N/A</v>
      </c>
    </row>
    <row r="161" spans="1:218" x14ac:dyDescent="0.35">
      <c r="A161" s="11">
        <f t="shared" si="161"/>
        <v>158</v>
      </c>
      <c r="B161" s="77">
        <f>'Scénario référence'!$B$16*5+'Scénario référence'!$B$17*0+'Scénario référence'!$B$18*5</f>
        <v>1.75</v>
      </c>
      <c r="C161" s="20">
        <f>Calculateur!C160+'Scénario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61" s="12">
        <f t="shared" si="140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6.416666666666667</v>
      </c>
      <c r="H161" s="70">
        <f t="shared" si="110"/>
        <v>231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69.448959130704878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3.4106051316484809E-13</v>
      </c>
      <c r="O161" s="14">
        <f>N161*VLOOKUP('Données projet'!$B$9,Paramètres!$A$1:$I$88,3,0)*VLOOKUP('Données projet'!$B$9,Paramètres!$A$1:$I$88,5,0)</f>
        <v>1.9065282685915009E-13</v>
      </c>
      <c r="P161" s="14">
        <f t="shared" si="141"/>
        <v>2.6568987209435707E-12</v>
      </c>
      <c r="Q161" s="22">
        <f t="shared" si="162"/>
        <v>4.959485612423072E-12</v>
      </c>
      <c r="R161" s="62">
        <f t="shared" si="109"/>
        <v>291.31285014592282</v>
      </c>
      <c r="S161" s="62">
        <f ca="1">AVERAGE(OFFSET($R$3,0,0,'Données projet'!$E$9+1,1))-AVERAGE(OFFSET($H$3,0,0,'Données projet'!$E$9+1,1))</f>
        <v>341.05096821796769</v>
      </c>
      <c r="T161" s="62">
        <f t="shared" si="142"/>
        <v>400.72519822215168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projet'!$B$9,Paramètres!$A$1:$I$88,7,0))</f>
        <v>0</v>
      </c>
      <c r="X161" s="17">
        <f>IF(ISNA(VLOOKUP(A161,'Données projet'!$A$35:$I$55,6,0)),0%,VLOOKUP(A161,'Données projet'!$A$35:$I$55,6,0)*VLOOKUP('Données projet'!$B$9,Paramètres!$A$1:$I$88,7,0))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projet'!$B$9,Paramètres!$A$1:$I$88,3,0)*0.475*44/12</f>
        <v>34.407168912057102</v>
      </c>
      <c r="AA161" s="23">
        <f>EXP(-LN(2)/25)*AA160+(1-EXP(-LN(2)/25))/(LN(2)/25)*Calculateur!V161*Calculateur!X161*VLOOKUP('Données projet'!$B$9,Paramètres!$A$1:$I$88,3,0)*0.475*44/12</f>
        <v>8.7550404911376081</v>
      </c>
      <c r="AB161" s="23">
        <f>EXP(-LN(2)/2)*AB160+(1-EXP(-LN(2)/2))/(LN(2)/2)*V161*Y161*VLOOKUP('Données projet'!$B$9,Paramètres!$A$1:$I$88,3,0)*0.475*44/12</f>
        <v>0</v>
      </c>
      <c r="AC161" s="24">
        <f t="shared" si="163"/>
        <v>43.162209403194709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69.448959130704878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5.6843418860808015E-14</v>
      </c>
      <c r="AJ161" s="14">
        <f>AI161*VLOOKUP('Données projet'!$B$10,Paramètres!$A$1:$I$88,3,0)*VLOOKUP('Données projet'!$B$10,Paramètres!$A$1:$I$88,5,0)</f>
        <v>3.3992364478763198E-14</v>
      </c>
      <c r="AK161" s="14">
        <f t="shared" si="164"/>
        <v>5.790027782444094E-13</v>
      </c>
      <c r="AL161" s="22">
        <f t="shared" si="165"/>
        <v>1.0676332069095257E-12</v>
      </c>
      <c r="AM161" s="62">
        <f t="shared" si="113"/>
        <v>291.31285014591896</v>
      </c>
      <c r="AN161" s="62">
        <f ca="1">AVERAGE(OFFSET($AM$3,0,0,'Données projet'!$E$10+1,1))-AVERAGE(OFFSET($H$3,0,0,'Données projet'!$E$10+1,1))</f>
        <v>231.96474801342879</v>
      </c>
      <c r="AO161" s="62">
        <f t="shared" si="144"/>
        <v>237.75726086383668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projet'!$B$10,Paramètres!$A$1:$I$88,7,0))</f>
        <v>0</v>
      </c>
      <c r="AS161" s="17">
        <f>IF(ISNA(VLOOKUP(A161,'Données projet'!$A$61:$I$81,6,0)),0%,VLOOKUP(A161,'Données projet'!$A$61:$I$81,6,0)*VLOOKUP('Données projet'!$B$10,Paramètres!$A$1:$I$88,7,0))</f>
        <v>0</v>
      </c>
      <c r="AT161" s="17">
        <f>IF(ISNA(VLOOKUP(A161,'Données projet'!$A$61:$I$81,7,0)),0%,VLOOKUP(A161,'Données projet'!$A$61:$I$81,7,0))</f>
        <v>0</v>
      </c>
      <c r="AU161" s="23">
        <f>EXP(-LN(2)/35)*AU160+(1-EXP(-LN(2)/35))/(LN(2)/35)*AQ161*AR161*VLOOKUP('Données projet'!$B$10,Paramètres!$A$1:$I$88,3,0)*0.475*44/12</f>
        <v>13.568450931062763</v>
      </c>
      <c r="AV161" s="23">
        <f>EXP(-LN(2)/25)*AV160+(1-EXP(-LN(2)/25))/(LN(2)/25)*Calculateur!AQ161*Calculateur!AS161*VLOOKUP('Données projet'!$B$10,Paramètres!$A$1:$I$88,3,0)*0.475*44/12</f>
        <v>3.6970322408491816</v>
      </c>
      <c r="AW161" s="23">
        <f>EXP(-LN(2)/2)*AW160+(1-EXP(-LN(2)/2))/(LN(2)/2)*AQ161*AT161*VLOOKUP('Données projet'!$B$10,Paramètres!$A$1:$I$88,3,0)*0.475*44/12</f>
        <v>0</v>
      </c>
      <c r="AX161" s="23">
        <f t="shared" si="166"/>
        <v>17.265483171911946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69.448959130704878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6.8212102632969618E-13</v>
      </c>
      <c r="BE161" s="14">
        <f>BD161*VLOOKUP('Données projet'!$B$11,Paramètres!$A$1:$I$88,3,0)*VLOOKUP('Données projet'!$B$11,Paramètres!$A$1:$I$88,5,0)</f>
        <v>3.1923264032229784E-13</v>
      </c>
      <c r="BF161" s="14">
        <f t="shared" si="167"/>
        <v>4.1896839804541558E-12</v>
      </c>
      <c r="BG161" s="22">
        <f t="shared" si="168"/>
        <v>7.8530297811856558E-12</v>
      </c>
      <c r="BH161" s="62">
        <f t="shared" si="116"/>
        <v>291.31285014592572</v>
      </c>
      <c r="BI161" s="62">
        <f ca="1">AVERAGE(OFFSET($BH$3,0,0,'Données projet'!$E$11+1,1))-AVERAGE(OFFSET($H$3,0,0,'Données projet'!$E$11+1,1))</f>
        <v>364.96458059055169</v>
      </c>
      <c r="BJ161" s="62">
        <f t="shared" si="146"/>
        <v>246.27159120786257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projet'!$B$11,Paramètres!$A$1:$I$88,7,0))</f>
        <v>0</v>
      </c>
      <c r="BN161" s="17">
        <f>IF(ISNA(VLOOKUP(A161,'Données projet'!$A$87:$I$107,6,0)),0%,VLOOKUP(A161,'Données projet'!$A$87:$I$107,6,0)*VLOOKUP('Données projet'!$B$11,Paramètres!$A$1:$I$88,7,0))</f>
        <v>0</v>
      </c>
      <c r="BO161" s="17">
        <f>IF(ISNA(VLOOKUP(A161,'Données projet'!$A$87:$I$107,7,0)),0%,VLOOKUP(A161,'Données projet'!$A$87:$I$107,7,0))</f>
        <v>0</v>
      </c>
      <c r="BP161" s="23">
        <f>EXP(-LN(2)/35)*BP160+(1-EXP(-LN(2)/35))/(LN(2)/35)*BL161*BM161*VLOOKUP('Données projet'!$B$11,Paramètres!$A$1:$I$88,3,0)*0.475*44/12</f>
        <v>75.4819747039041</v>
      </c>
      <c r="BQ161" s="23">
        <f>EXP(-LN(2)/25)*BQ160+(1-EXP(-LN(2)/25))/(LN(2)/25)*Calculateur!BL161*Calculateur!BN161*VLOOKUP('Données projet'!$B$11,Paramètres!$A$1:$I$88,3,0)*0.475*44/12</f>
        <v>20.187086017709809</v>
      </c>
      <c r="BR161" s="23">
        <f>EXP(-LN(2)/2)*BR160+(1-EXP(-LN(2)/2))/(LN(2)/2)*BL161*BO161*VLOOKUP('Données projet'!$B$11,Paramètres!$A$1:$I$88,3,0)*0.475*44/12</f>
        <v>0</v>
      </c>
      <c r="BS161" s="24">
        <f t="shared" si="169"/>
        <v>95.669060721613903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69.448959130704878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-1.1368683772161603E-13</v>
      </c>
      <c r="BZ161" s="14">
        <f>BY161*VLOOKUP('Données projet'!$B$12,Paramètres!$A$1:$I$88,3,0)*VLOOKUP('Données projet'!$B$12,Paramètres!$A$1:$I$88,5,0)</f>
        <v>-1.1527845344971866E-13</v>
      </c>
      <c r="CA161" s="14" t="e">
        <f t="shared" si="170"/>
        <v>#NUM!</v>
      </c>
      <c r="CB161" s="22" t="e">
        <f t="shared" si="171"/>
        <v>#NUM!</v>
      </c>
      <c r="CC161" s="62" t="e">
        <f t="shared" si="119"/>
        <v>#NUM!</v>
      </c>
      <c r="CD161" s="62">
        <f ca="1">AVERAGE(OFFSET($CC$3,0,0,'Données projet'!$E$12+1,1))-AVERAGE(OFFSET($H$3,0,0,'Données projet'!$E$12+1,1))</f>
        <v>310.53598044763282</v>
      </c>
      <c r="CE161" s="62">
        <f t="shared" si="148"/>
        <v>322.01096634040596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projet'!$B$12,Paramètres!$A$1:$I$88,7,0))</f>
        <v>0</v>
      </c>
      <c r="CI161" s="17">
        <f>IF(ISNA(VLOOKUP(A161,'Données projet'!$A$113:$I$133,6,0)),0%,VLOOKUP(A161,'Données projet'!$A$113:$I$133,6,0)*VLOOKUP('Données projet'!$B$12,Paramètres!$A$1:$I$88,7,0))</f>
        <v>0</v>
      </c>
      <c r="CJ161" s="17">
        <f>IF(ISNA(VLOOKUP(A161,'Données projet'!$A$113:$I$133,7,0)),0%,VLOOKUP(A161,'Données projet'!$A$113:$I$133,7,0))</f>
        <v>0</v>
      </c>
      <c r="CK161" s="23">
        <f>EXP(-LN(2)/35)*CK160+(1-EXP(-LN(2)/35))/(LN(2)/35)*CG161*CH161*VLOOKUP('Données projet'!$B$12,Paramètres!$A$1:$I$88,3,0)*0.475*44/12</f>
        <v>10.381516432387699</v>
      </c>
      <c r="CL161" s="23">
        <f>EXP(-LN(2)/25)*CL160+(1-EXP(-LN(2)/25))/(LN(2)/25)*Calculateur!CG161*Calculateur!CI161*VLOOKUP('Données projet'!$B$12,Paramètres!$A$1:$I$88,3,0)*0.475*44/12</f>
        <v>0</v>
      </c>
      <c r="CM161" s="23">
        <f>EXP(-LN(2)/2)*CM160+(1-EXP(-LN(2)/2))/(LN(2)/2)*CG161*CJ161*VLOOKUP('Données projet'!$B$12,Paramètres!$A$1:$I$88,3,0)*0.475*44/12</f>
        <v>0</v>
      </c>
      <c r="CN161" s="24">
        <f t="shared" si="172"/>
        <v>10.381516432387699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69.448959130704878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projet'!$B$13,Paramètres!$A$1:$I$88,3,0)*VLOOKUP('Données projet'!$B$13,Paramètres!$A$1:$I$88,5,0)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projet'!$B$13,Paramètres!$A$1:$I$88,7,0))</f>
        <v>0</v>
      </c>
      <c r="DD161" s="17">
        <f>IF(ISNA(VLOOKUP(A161,'Données projet'!$A$139:$I$159,6,0)),0%,VLOOKUP(A161,'Données projet'!$A$139:$I$159,6,0)*VLOOKUP('Données projet'!$B$13,Paramètres!$A$1:$I$88,7,0))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projet'!$B$13,Paramètres!$A$1:$I$88,3,0)*0.475*44/12</f>
        <v>#N/A</v>
      </c>
      <c r="DG161" s="23" t="e">
        <f>EXP(-LN(2)/25)*DG160+(1-EXP(-LN(2)/25))/(LN(2)/25)*Calculateur!DB161*Calculateur!DD161*VLOOKUP('Données projet'!$B$13,Paramètres!$A$1:$I$88,3,0)*0.475*44/12</f>
        <v>#N/A</v>
      </c>
      <c r="DH161" s="23" t="e">
        <f>EXP(-LN(2)/2)*DH160+(1-EXP(-LN(2)/2))/(LN(2)/2)*DB161*DE161*VLOOKUP('Données projet'!$B$13,Paramètres!$A$1:$I$88,3,0)*0.475*44/12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69.448959130704878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projet'!$B$14,Paramètres!$A$1:$I$88,3,0)*VLOOKUP('Données projet'!$B$14,Paramètres!$A$1:$I$88,5,0)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projet'!$B$14,Paramètres!$A$1:$I$88,7,0))</f>
        <v>0</v>
      </c>
      <c r="DY161" s="17">
        <f>IF(ISNA(VLOOKUP(A161,'Données projet'!$A$165:$I$185,6,0)),0%,VLOOKUP(A161,'Données projet'!$A$165:$I$185,6,0)*VLOOKUP('Données projet'!$B$14,Paramètres!$A$1:$I$88,7,0))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projet'!$B$14,Paramètres!$A$1:$I$88,3,0)*0.475*44/12</f>
        <v>#N/A</v>
      </c>
      <c r="EB161" s="23" t="e">
        <f>EXP(-LN(2)/25)*EB160+(1-EXP(-LN(2)/25))/(LN(2)/25)*Calculateur!DW161*Calculateur!DY161*VLOOKUP('Données projet'!$B$14,Paramètres!$A$1:$I$88,3,0)*0.475*44/12</f>
        <v>#N/A</v>
      </c>
      <c r="EC161" s="23" t="e">
        <f>EXP(-LN(2)/2)*EC160+(1-EXP(-LN(2)/2))/(LN(2)/2)*DW161*DZ161*VLOOKUP('Données projet'!$B$14,Paramètres!$A$1:$I$88,3,0)*0.475*44/12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69.448959130704878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projet'!$B$15,Paramètres!$A$1:$I$88,3,0)*VLOOKUP('Données projet'!$B$15,Paramètres!$A$1:$I$88,5,0)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projet'!$B$15,Paramètres!$A$1:$I$88,7,0))</f>
        <v>0</v>
      </c>
      <c r="ET161" s="17">
        <f>IF(ISNA(VLOOKUP(A161,'Données projet'!$A$191:$I$211,6,0)),0%,VLOOKUP(A161,'Données projet'!$A$191:$I$211,6,0)*VLOOKUP('Données projet'!$B$15,Paramètres!$A$1:$I$88,7,0))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projet'!$B$15,Paramètres!$A$1:$I$88,3,0)*0.475*44/12</f>
        <v>#N/A</v>
      </c>
      <c r="EW161" s="23" t="e">
        <f>EXP(-LN(2)/25)*EW160+(1-EXP(-LN(2)/25))/(LN(2)/25)*Calculateur!ER161*Calculateur!ET161*VLOOKUP('Données projet'!$B$15,Paramètres!$A$1:$I$88,3,0)*0.475*44/12</f>
        <v>#N/A</v>
      </c>
      <c r="EX161" s="23" t="e">
        <f>EXP(-LN(2)/2)*EX160+(1-EXP(-LN(2)/2))/(LN(2)/2)*ER161*EU161*VLOOKUP('Données projet'!$B$15,Paramètres!$A$1:$I$88,3,0)*0.475*44/12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69.448959130704878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projet'!$B$16,Paramètres!$A$1:$I$88,3,0)*VLOOKUP('Données projet'!$B$16,Paramètres!$A$1:$I$88,5,0)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projet'!$B$16,Paramètres!$A$1:$I$88,7,0))</f>
        <v>0</v>
      </c>
      <c r="FO161" s="17">
        <f>IF(ISNA(VLOOKUP(A161,'Données projet'!$A$217:$I$237,6,0)),0%,VLOOKUP(A161,'Données projet'!$A$217:$I$237,6,0)*VLOOKUP('Données projet'!$B$16,Paramètres!$A$1:$I$88,7,0))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projet'!$B$16,Paramètres!$A$1:$I$88,3,0)*0.475*44/12</f>
        <v>#N/A</v>
      </c>
      <c r="FR161" s="23" t="e">
        <f>EXP(-LN(2)/25)*FR160+(1-EXP(-LN(2)/25))/(LN(2)/25)*Calculateur!FM161*Calculateur!FO161*VLOOKUP('Données projet'!$B$16,Paramètres!$A$1:$I$88,3,0)*0.475*44/12</f>
        <v>#N/A</v>
      </c>
      <c r="FS161" s="23" t="e">
        <f>EXP(-LN(2)/2)*FS160+(1-EXP(-LN(2)/2))/(LN(2)/2)*FM161*FP161*VLOOKUP('Données projet'!$B$16,Paramètres!$A$1:$I$88,3,0)*0.475*44/12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69.448959130704878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projet'!$B$17,Paramètres!$A$1:$I$88,3,0)*VLOOKUP('Données projet'!$B$17,Paramètres!$A$1:$I$88,5,0)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projet'!$B$17,Paramètres!$A$1:$I$88,7,0))</f>
        <v>0</v>
      </c>
      <c r="GJ161" s="17">
        <f>IF(ISNA(VLOOKUP(A161,'Données projet'!$A$243:$I$263,6,0)),0%,VLOOKUP(A161,'Données projet'!$A$243:$I$263,6,0)*VLOOKUP('Données projet'!$B$17,Paramètres!$A$1:$I$88,7,0))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projet'!$B$17,Paramètres!$A$1:$I$88,3,0)*0.475*44/12</f>
        <v>#N/A</v>
      </c>
      <c r="GM161" s="23" t="e">
        <f>EXP(-LN(2)/25)*GM160+(1-EXP(-LN(2)/25))/(LN(2)/25)*Calculateur!GH161*Calculateur!GJ161*VLOOKUP('Données projet'!$B$17,Paramètres!$A$1:$I$88,3,0)*0.475*44/12</f>
        <v>#N/A</v>
      </c>
      <c r="GN161" s="23" t="e">
        <f>EXP(-LN(2)/2)*GN160+(1-EXP(-LN(2)/2))/(LN(2)/2)*GH161*GK161*VLOOKUP('Données projet'!$B$17,Paramètres!$A$1:$I$88,3,0)*0.475*44/12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69.448959130704878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projet'!$B$18,Paramètres!$A$1:$I$88,3,0)*VLOOKUP('Données projet'!$B$18,Paramètres!$A$1:$I$88,5,0)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projet'!$B$18,Paramètres!$A$1:$I$88,7,0))</f>
        <v>0</v>
      </c>
      <c r="HE161" s="17">
        <f>IF(ISNA(VLOOKUP(A161,'Données projet'!$A$269:$I$289,6,0)),0%,VLOOKUP(A161,'Données projet'!$A$269:$I$289,6,0)*VLOOKUP('Données projet'!$B$18,Paramètres!$A$1:$I$88,7,0))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projet'!$B$18,Paramètres!$A$1:$I$88,3,0)*0.475*44/12</f>
        <v>#N/A</v>
      </c>
      <c r="HH161" s="23" t="e">
        <f>EXP(-LN(2)/25)*HH160+(1-EXP(-LN(2)/25))/(LN(2)/25)*Calculateur!HC161*Calculateur!HE161*VLOOKUP('Données projet'!$B$18,Paramètres!$A$1:$I$88,3,0)*0.475*44/12</f>
        <v>#N/A</v>
      </c>
      <c r="HI161" s="23" t="e">
        <f>EXP(-LN(2)/2)*HI160+(1-EXP(-LN(2)/2))/(LN(2)/2)*HC161*HF161*VLOOKUP('Données projet'!$B$18,Paramètres!$A$1:$I$88,3,0)*0.475*44/12</f>
        <v>#N/A</v>
      </c>
      <c r="HJ161" s="24" t="e">
        <f t="shared" si="190"/>
        <v>#N/A</v>
      </c>
    </row>
    <row r="162" spans="1:218" x14ac:dyDescent="0.35">
      <c r="A162" s="11">
        <f t="shared" si="161"/>
        <v>159</v>
      </c>
      <c r="B162" s="77">
        <f>'Scénario référence'!$B$16*5+'Scénario référence'!$B$17*0+'Scénario référence'!$B$18*5</f>
        <v>1.75</v>
      </c>
      <c r="C162" s="20">
        <f>Calculateur!C161+'Scénario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62" s="12">
        <f t="shared" si="140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6.416666666666667</v>
      </c>
      <c r="H162" s="70">
        <f t="shared" si="110"/>
        <v>231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69.458518457844306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3.4106051316484809E-13</v>
      </c>
      <c r="O162" s="14">
        <f>N162*VLOOKUP('Données projet'!$B$9,Paramètres!$A$1:$I$88,3,0)*VLOOKUP('Données projet'!$B$9,Paramètres!$A$1:$I$88,5,0)</f>
        <v>1.9065282685915009E-13</v>
      </c>
      <c r="P162" s="14">
        <f t="shared" si="141"/>
        <v>2.6568987209435707E-12</v>
      </c>
      <c r="Q162" s="22">
        <f t="shared" si="162"/>
        <v>4.959485612423072E-12</v>
      </c>
      <c r="R162" s="62">
        <f t="shared" si="109"/>
        <v>291.34790101210075</v>
      </c>
      <c r="S162" s="62">
        <f ca="1">AVERAGE(OFFSET($R$3,0,0,'Données projet'!$E$9+1,1))-AVERAGE(OFFSET($H$3,0,0,'Données projet'!$E$9+1,1))</f>
        <v>341.05096821796769</v>
      </c>
      <c r="T162" s="62">
        <f t="shared" si="142"/>
        <v>400.72519822215168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projet'!$B$9,Paramètres!$A$1:$I$88,7,0))</f>
        <v>0</v>
      </c>
      <c r="X162" s="17">
        <f>IF(ISNA(VLOOKUP(A162,'Données projet'!$A$35:$I$55,6,0)),0%,VLOOKUP(A162,'Données projet'!$A$35:$I$55,6,0)*VLOOKUP('Données projet'!$B$9,Paramètres!$A$1:$I$88,7,0))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projet'!$B$9,Paramètres!$A$1:$I$88,3,0)*0.475*44/12</f>
        <v>33.732465315992471</v>
      </c>
      <c r="AA162" s="23">
        <f>EXP(-LN(2)/25)*AA161+(1-EXP(-LN(2)/25))/(LN(2)/25)*Calculateur!V162*Calculateur!X162*VLOOKUP('Données projet'!$B$9,Paramètres!$A$1:$I$88,3,0)*0.475*44/12</f>
        <v>8.5156334484998801</v>
      </c>
      <c r="AB162" s="23">
        <f>EXP(-LN(2)/2)*AB161+(1-EXP(-LN(2)/2))/(LN(2)/2)*V162*Y162*VLOOKUP('Données projet'!$B$9,Paramètres!$A$1:$I$88,3,0)*0.475*44/12</f>
        <v>0</v>
      </c>
      <c r="AC162" s="24">
        <f t="shared" si="163"/>
        <v>42.248098764492354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69.458518457844306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5.6843418860808015E-14</v>
      </c>
      <c r="AJ162" s="14">
        <f>AI162*VLOOKUP('Données projet'!$B$10,Paramètres!$A$1:$I$88,3,0)*VLOOKUP('Données projet'!$B$10,Paramètres!$A$1:$I$88,5,0)</f>
        <v>3.3992364478763198E-14</v>
      </c>
      <c r="AK162" s="14">
        <f t="shared" si="164"/>
        <v>5.790027782444094E-13</v>
      </c>
      <c r="AL162" s="22">
        <f t="shared" si="165"/>
        <v>1.0676332069095257E-12</v>
      </c>
      <c r="AM162" s="62">
        <f t="shared" si="113"/>
        <v>291.34790101209688</v>
      </c>
      <c r="AN162" s="62">
        <f ca="1">AVERAGE(OFFSET($AM$3,0,0,'Données projet'!$E$10+1,1))-AVERAGE(OFFSET($H$3,0,0,'Données projet'!$E$10+1,1))</f>
        <v>231.96474801342879</v>
      </c>
      <c r="AO162" s="62">
        <f t="shared" si="144"/>
        <v>237.75726086383668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projet'!$B$10,Paramètres!$A$1:$I$88,7,0))</f>
        <v>0</v>
      </c>
      <c r="AS162" s="17">
        <f>IF(ISNA(VLOOKUP(A162,'Données projet'!$A$61:$I$81,6,0)),0%,VLOOKUP(A162,'Données projet'!$A$61:$I$81,6,0)*VLOOKUP('Données projet'!$B$10,Paramètres!$A$1:$I$88,7,0))</f>
        <v>0</v>
      </c>
      <c r="AT162" s="17">
        <f>IF(ISNA(VLOOKUP(A162,'Données projet'!$A$61:$I$81,7,0)),0%,VLOOKUP(A162,'Données projet'!$A$61:$I$81,7,0))</f>
        <v>0</v>
      </c>
      <c r="AU162" s="23">
        <f>EXP(-LN(2)/35)*AU161+(1-EXP(-LN(2)/35))/(LN(2)/35)*AQ162*AR162*VLOOKUP('Données projet'!$B$10,Paramètres!$A$1:$I$88,3,0)*0.475*44/12</f>
        <v>13.302381884242509</v>
      </c>
      <c r="AV162" s="23">
        <f>EXP(-LN(2)/25)*AV161+(1-EXP(-LN(2)/25))/(LN(2)/25)*Calculateur!AQ162*Calculateur!AS162*VLOOKUP('Données projet'!$B$10,Paramètres!$A$1:$I$88,3,0)*0.475*44/12</f>
        <v>3.5959366998046849</v>
      </c>
      <c r="AW162" s="23">
        <f>EXP(-LN(2)/2)*AW161+(1-EXP(-LN(2)/2))/(LN(2)/2)*AQ162*AT162*VLOOKUP('Données projet'!$B$10,Paramètres!$A$1:$I$88,3,0)*0.475*44/12</f>
        <v>0</v>
      </c>
      <c r="AX162" s="23">
        <f t="shared" si="166"/>
        <v>16.898318584047193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69.458518457844306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6.8212102632969618E-13</v>
      </c>
      <c r="BE162" s="14">
        <f>BD162*VLOOKUP('Données projet'!$B$11,Paramètres!$A$1:$I$88,3,0)*VLOOKUP('Données projet'!$B$11,Paramètres!$A$1:$I$88,5,0)</f>
        <v>3.1923264032229784E-13</v>
      </c>
      <c r="BF162" s="14">
        <f t="shared" si="167"/>
        <v>4.1896839804541558E-12</v>
      </c>
      <c r="BG162" s="22">
        <f t="shared" si="168"/>
        <v>7.8530297811856558E-12</v>
      </c>
      <c r="BH162" s="62">
        <f t="shared" si="116"/>
        <v>291.34790101210365</v>
      </c>
      <c r="BI162" s="62">
        <f ca="1">AVERAGE(OFFSET($BH$3,0,0,'Données projet'!$E$11+1,1))-AVERAGE(OFFSET($H$3,0,0,'Données projet'!$E$11+1,1))</f>
        <v>364.96458059055169</v>
      </c>
      <c r="BJ162" s="62">
        <f t="shared" si="146"/>
        <v>246.27159120786257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projet'!$B$11,Paramètres!$A$1:$I$88,7,0))</f>
        <v>0</v>
      </c>
      <c r="BN162" s="17">
        <f>IF(ISNA(VLOOKUP(A162,'Données projet'!$A$87:$I$107,6,0)),0%,VLOOKUP(A162,'Données projet'!$A$87:$I$107,6,0)*VLOOKUP('Données projet'!$B$11,Paramètres!$A$1:$I$88,7,0))</f>
        <v>0</v>
      </c>
      <c r="BO162" s="17">
        <f>IF(ISNA(VLOOKUP(A162,'Données projet'!$A$87:$I$107,7,0)),0%,VLOOKUP(A162,'Données projet'!$A$87:$I$107,7,0))</f>
        <v>0</v>
      </c>
      <c r="BP162" s="23">
        <f>EXP(-LN(2)/35)*BP161+(1-EXP(-LN(2)/35))/(LN(2)/35)*BL162*BM162*VLOOKUP('Données projet'!$B$11,Paramètres!$A$1:$I$88,3,0)*0.475*44/12</f>
        <v>74.00181921941909</v>
      </c>
      <c r="BQ162" s="23">
        <f>EXP(-LN(2)/25)*BQ161+(1-EXP(-LN(2)/25))/(LN(2)/25)*Calculateur!BL162*Calculateur!BN162*VLOOKUP('Données projet'!$B$11,Paramètres!$A$1:$I$88,3,0)*0.475*44/12</f>
        <v>19.635069088962819</v>
      </c>
      <c r="BR162" s="23">
        <f>EXP(-LN(2)/2)*BR161+(1-EXP(-LN(2)/2))/(LN(2)/2)*BL162*BO162*VLOOKUP('Données projet'!$B$11,Paramètres!$A$1:$I$88,3,0)*0.475*44/12</f>
        <v>0</v>
      </c>
      <c r="BS162" s="24">
        <f t="shared" si="169"/>
        <v>93.636888308381913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69.458518457844306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-1.1368683772161603E-13</v>
      </c>
      <c r="BZ162" s="14">
        <f>BY162*VLOOKUP('Données projet'!$B$12,Paramètres!$A$1:$I$88,3,0)*VLOOKUP('Données projet'!$B$12,Paramètres!$A$1:$I$88,5,0)</f>
        <v>-1.1527845344971866E-13</v>
      </c>
      <c r="CA162" s="14" t="e">
        <f t="shared" si="170"/>
        <v>#NUM!</v>
      </c>
      <c r="CB162" s="22" t="e">
        <f t="shared" si="171"/>
        <v>#NUM!</v>
      </c>
      <c r="CC162" s="62" t="e">
        <f t="shared" si="119"/>
        <v>#NUM!</v>
      </c>
      <c r="CD162" s="62">
        <f ca="1">AVERAGE(OFFSET($CC$3,0,0,'Données projet'!$E$12+1,1))-AVERAGE(OFFSET($H$3,0,0,'Données projet'!$E$12+1,1))</f>
        <v>310.53598044763282</v>
      </c>
      <c r="CE162" s="62">
        <f t="shared" si="148"/>
        <v>322.01096634040596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projet'!$B$12,Paramètres!$A$1:$I$88,7,0))</f>
        <v>0</v>
      </c>
      <c r="CI162" s="17">
        <f>IF(ISNA(VLOOKUP(A162,'Données projet'!$A$113:$I$133,6,0)),0%,VLOOKUP(A162,'Données projet'!$A$113:$I$133,6,0)*VLOOKUP('Données projet'!$B$12,Paramètres!$A$1:$I$88,7,0))</f>
        <v>0</v>
      </c>
      <c r="CJ162" s="17">
        <f>IF(ISNA(VLOOKUP(A162,'Données projet'!$A$113:$I$133,7,0)),0%,VLOOKUP(A162,'Données projet'!$A$113:$I$133,7,0))</f>
        <v>0</v>
      </c>
      <c r="CK162" s="23">
        <f>EXP(-LN(2)/35)*CK161+(1-EXP(-LN(2)/35))/(LN(2)/35)*CG162*CH162*VLOOKUP('Données projet'!$B$12,Paramètres!$A$1:$I$88,3,0)*0.475*44/12</f>
        <v>10.177941227248356</v>
      </c>
      <c r="CL162" s="23">
        <f>EXP(-LN(2)/25)*CL161+(1-EXP(-LN(2)/25))/(LN(2)/25)*Calculateur!CG162*Calculateur!CI162*VLOOKUP('Données projet'!$B$12,Paramètres!$A$1:$I$88,3,0)*0.475*44/12</f>
        <v>0</v>
      </c>
      <c r="CM162" s="23">
        <f>EXP(-LN(2)/2)*CM161+(1-EXP(-LN(2)/2))/(LN(2)/2)*CG162*CJ162*VLOOKUP('Données projet'!$B$12,Paramètres!$A$1:$I$88,3,0)*0.475*44/12</f>
        <v>0</v>
      </c>
      <c r="CN162" s="24">
        <f t="shared" si="172"/>
        <v>10.177941227248356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69.458518457844306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projet'!$B$13,Paramètres!$A$1:$I$88,3,0)*VLOOKUP('Données projet'!$B$13,Paramètres!$A$1:$I$88,5,0)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projet'!$B$13,Paramètres!$A$1:$I$88,7,0))</f>
        <v>0</v>
      </c>
      <c r="DD162" s="17">
        <f>IF(ISNA(VLOOKUP(A162,'Données projet'!$A$139:$I$159,6,0)),0%,VLOOKUP(A162,'Données projet'!$A$139:$I$159,6,0)*VLOOKUP('Données projet'!$B$13,Paramètres!$A$1:$I$88,7,0))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projet'!$B$13,Paramètres!$A$1:$I$88,3,0)*0.475*44/12</f>
        <v>#N/A</v>
      </c>
      <c r="DG162" s="23" t="e">
        <f>EXP(-LN(2)/25)*DG161+(1-EXP(-LN(2)/25))/(LN(2)/25)*Calculateur!DB162*Calculateur!DD162*VLOOKUP('Données projet'!$B$13,Paramètres!$A$1:$I$88,3,0)*0.475*44/12</f>
        <v>#N/A</v>
      </c>
      <c r="DH162" s="23" t="e">
        <f>EXP(-LN(2)/2)*DH161+(1-EXP(-LN(2)/2))/(LN(2)/2)*DB162*DE162*VLOOKUP('Données projet'!$B$13,Paramètres!$A$1:$I$88,3,0)*0.475*44/12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69.458518457844306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projet'!$B$14,Paramètres!$A$1:$I$88,3,0)*VLOOKUP('Données projet'!$B$14,Paramètres!$A$1:$I$88,5,0)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projet'!$B$14,Paramètres!$A$1:$I$88,7,0))</f>
        <v>0</v>
      </c>
      <c r="DY162" s="17">
        <f>IF(ISNA(VLOOKUP(A162,'Données projet'!$A$165:$I$185,6,0)),0%,VLOOKUP(A162,'Données projet'!$A$165:$I$185,6,0)*VLOOKUP('Données projet'!$B$14,Paramètres!$A$1:$I$88,7,0))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projet'!$B$14,Paramètres!$A$1:$I$88,3,0)*0.475*44/12</f>
        <v>#N/A</v>
      </c>
      <c r="EB162" s="23" t="e">
        <f>EXP(-LN(2)/25)*EB161+(1-EXP(-LN(2)/25))/(LN(2)/25)*Calculateur!DW162*Calculateur!DY162*VLOOKUP('Données projet'!$B$14,Paramètres!$A$1:$I$88,3,0)*0.475*44/12</f>
        <v>#N/A</v>
      </c>
      <c r="EC162" s="23" t="e">
        <f>EXP(-LN(2)/2)*EC161+(1-EXP(-LN(2)/2))/(LN(2)/2)*DW162*DZ162*VLOOKUP('Données projet'!$B$14,Paramètres!$A$1:$I$88,3,0)*0.475*44/12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69.458518457844306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projet'!$B$15,Paramètres!$A$1:$I$88,3,0)*VLOOKUP('Données projet'!$B$15,Paramètres!$A$1:$I$88,5,0)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projet'!$B$15,Paramètres!$A$1:$I$88,7,0))</f>
        <v>0</v>
      </c>
      <c r="ET162" s="17">
        <f>IF(ISNA(VLOOKUP(A162,'Données projet'!$A$191:$I$211,6,0)),0%,VLOOKUP(A162,'Données projet'!$A$191:$I$211,6,0)*VLOOKUP('Données projet'!$B$15,Paramètres!$A$1:$I$88,7,0))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projet'!$B$15,Paramètres!$A$1:$I$88,3,0)*0.475*44/12</f>
        <v>#N/A</v>
      </c>
      <c r="EW162" s="23" t="e">
        <f>EXP(-LN(2)/25)*EW161+(1-EXP(-LN(2)/25))/(LN(2)/25)*Calculateur!ER162*Calculateur!ET162*VLOOKUP('Données projet'!$B$15,Paramètres!$A$1:$I$88,3,0)*0.475*44/12</f>
        <v>#N/A</v>
      </c>
      <c r="EX162" s="23" t="e">
        <f>EXP(-LN(2)/2)*EX161+(1-EXP(-LN(2)/2))/(LN(2)/2)*ER162*EU162*VLOOKUP('Données projet'!$B$15,Paramètres!$A$1:$I$88,3,0)*0.475*44/12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69.458518457844306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projet'!$B$16,Paramètres!$A$1:$I$88,3,0)*VLOOKUP('Données projet'!$B$16,Paramètres!$A$1:$I$88,5,0)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projet'!$B$16,Paramètres!$A$1:$I$88,7,0))</f>
        <v>0</v>
      </c>
      <c r="FO162" s="17">
        <f>IF(ISNA(VLOOKUP(A162,'Données projet'!$A$217:$I$237,6,0)),0%,VLOOKUP(A162,'Données projet'!$A$217:$I$237,6,0)*VLOOKUP('Données projet'!$B$16,Paramètres!$A$1:$I$88,7,0))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projet'!$B$16,Paramètres!$A$1:$I$88,3,0)*0.475*44/12</f>
        <v>#N/A</v>
      </c>
      <c r="FR162" s="23" t="e">
        <f>EXP(-LN(2)/25)*FR161+(1-EXP(-LN(2)/25))/(LN(2)/25)*Calculateur!FM162*Calculateur!FO162*VLOOKUP('Données projet'!$B$16,Paramètres!$A$1:$I$88,3,0)*0.475*44/12</f>
        <v>#N/A</v>
      </c>
      <c r="FS162" s="23" t="e">
        <f>EXP(-LN(2)/2)*FS161+(1-EXP(-LN(2)/2))/(LN(2)/2)*FM162*FP162*VLOOKUP('Données projet'!$B$16,Paramètres!$A$1:$I$88,3,0)*0.475*44/12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69.458518457844306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projet'!$B$17,Paramètres!$A$1:$I$88,3,0)*VLOOKUP('Données projet'!$B$17,Paramètres!$A$1:$I$88,5,0)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projet'!$B$17,Paramètres!$A$1:$I$88,7,0))</f>
        <v>0</v>
      </c>
      <c r="GJ162" s="17">
        <f>IF(ISNA(VLOOKUP(A162,'Données projet'!$A$243:$I$263,6,0)),0%,VLOOKUP(A162,'Données projet'!$A$243:$I$263,6,0)*VLOOKUP('Données projet'!$B$17,Paramètres!$A$1:$I$88,7,0))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projet'!$B$17,Paramètres!$A$1:$I$88,3,0)*0.475*44/12</f>
        <v>#N/A</v>
      </c>
      <c r="GM162" s="23" t="e">
        <f>EXP(-LN(2)/25)*GM161+(1-EXP(-LN(2)/25))/(LN(2)/25)*Calculateur!GH162*Calculateur!GJ162*VLOOKUP('Données projet'!$B$17,Paramètres!$A$1:$I$88,3,0)*0.475*44/12</f>
        <v>#N/A</v>
      </c>
      <c r="GN162" s="23" t="e">
        <f>EXP(-LN(2)/2)*GN161+(1-EXP(-LN(2)/2))/(LN(2)/2)*GH162*GK162*VLOOKUP('Données projet'!$B$17,Paramètres!$A$1:$I$88,3,0)*0.475*44/12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69.458518457844306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projet'!$B$18,Paramètres!$A$1:$I$88,3,0)*VLOOKUP('Données projet'!$B$18,Paramètres!$A$1:$I$88,5,0)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projet'!$B$18,Paramètres!$A$1:$I$88,7,0))</f>
        <v>0</v>
      </c>
      <c r="HE162" s="17">
        <f>IF(ISNA(VLOOKUP(A162,'Données projet'!$A$269:$I$289,6,0)),0%,VLOOKUP(A162,'Données projet'!$A$269:$I$289,6,0)*VLOOKUP('Données projet'!$B$18,Paramètres!$A$1:$I$88,7,0))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projet'!$B$18,Paramètres!$A$1:$I$88,3,0)*0.475*44/12</f>
        <v>#N/A</v>
      </c>
      <c r="HH162" s="23" t="e">
        <f>EXP(-LN(2)/25)*HH161+(1-EXP(-LN(2)/25))/(LN(2)/25)*Calculateur!HC162*Calculateur!HE162*VLOOKUP('Données projet'!$B$18,Paramètres!$A$1:$I$88,3,0)*0.475*44/12</f>
        <v>#N/A</v>
      </c>
      <c r="HI162" s="23" t="e">
        <f>EXP(-LN(2)/2)*HI161+(1-EXP(-LN(2)/2))/(LN(2)/2)*HC162*HF162*VLOOKUP('Données projet'!$B$18,Paramètres!$A$1:$I$88,3,0)*0.475*44/12</f>
        <v>#N/A</v>
      </c>
      <c r="HJ162" s="24" t="e">
        <f t="shared" si="190"/>
        <v>#N/A</v>
      </c>
    </row>
    <row r="163" spans="1:218" x14ac:dyDescent="0.35">
      <c r="A163" s="11">
        <f t="shared" si="161"/>
        <v>160</v>
      </c>
      <c r="B163" s="77">
        <f>'Scénario référence'!$B$16*5+'Scénario référence'!$B$17*0+'Scénario référence'!$B$18*5</f>
        <v>1.75</v>
      </c>
      <c r="C163" s="20">
        <f>Calculateur!C162+'Scénario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63" s="12">
        <f t="shared" si="140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6.416666666666667</v>
      </c>
      <c r="H163" s="70">
        <f t="shared" si="110"/>
        <v>231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69.46791195202934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3.4106051316484809E-13</v>
      </c>
      <c r="O163" s="14">
        <f>N163*VLOOKUP('Données projet'!$B$9,Paramètres!$A$1:$I$88,3,0)*VLOOKUP('Données projet'!$B$9,Paramètres!$A$1:$I$88,5,0)</f>
        <v>1.9065282685915009E-13</v>
      </c>
      <c r="P163" s="14">
        <f t="shared" si="141"/>
        <v>2.6568987209435707E-12</v>
      </c>
      <c r="Q163" s="22">
        <f t="shared" si="162"/>
        <v>4.959485612423072E-12</v>
      </c>
      <c r="R163" s="62">
        <f t="shared" si="109"/>
        <v>291.38234382411252</v>
      </c>
      <c r="S163" s="62">
        <f ca="1">AVERAGE(OFFSET($R$3,0,0,'Données projet'!$E$9+1,1))-AVERAGE(OFFSET($H$3,0,0,'Données projet'!$E$9+1,1))</f>
        <v>341.05096821796769</v>
      </c>
      <c r="T163" s="62">
        <f t="shared" si="142"/>
        <v>400.72519822215168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projet'!$B$9,Paramètres!$A$1:$I$88,7,0))</f>
        <v>0</v>
      </c>
      <c r="X163" s="17">
        <f>IF(ISNA(VLOOKUP(A163,'Données projet'!$A$35:$I$55,6,0)),0%,VLOOKUP(A163,'Données projet'!$A$35:$I$55,6,0)*VLOOKUP('Données projet'!$B$9,Paramètres!$A$1:$I$88,7,0))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projet'!$B$9,Paramètres!$A$1:$I$88,3,0)*0.475*44/12</f>
        <v>33.070992245918113</v>
      </c>
      <c r="AA163" s="23">
        <f>EXP(-LN(2)/25)*AA162+(1-EXP(-LN(2)/25))/(LN(2)/25)*Calculateur!V163*Calculateur!X163*VLOOKUP('Données projet'!$B$9,Paramètres!$A$1:$I$88,3,0)*0.475*44/12</f>
        <v>8.2827730040329506</v>
      </c>
      <c r="AB163" s="23">
        <f>EXP(-LN(2)/2)*AB162+(1-EXP(-LN(2)/2))/(LN(2)/2)*V163*Y163*VLOOKUP('Données projet'!$B$9,Paramètres!$A$1:$I$88,3,0)*0.475*44/12</f>
        <v>0</v>
      </c>
      <c r="AC163" s="24">
        <f t="shared" si="163"/>
        <v>41.353765249951067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69.46791195202934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5.6843418860808015E-14</v>
      </c>
      <c r="AJ163" s="14">
        <f>AI163*VLOOKUP('Données projet'!$B$10,Paramètres!$A$1:$I$88,3,0)*VLOOKUP('Données projet'!$B$10,Paramètres!$A$1:$I$88,5,0)</f>
        <v>3.3992364478763198E-14</v>
      </c>
      <c r="AK163" s="14">
        <f t="shared" si="164"/>
        <v>5.790027782444094E-13</v>
      </c>
      <c r="AL163" s="22">
        <f t="shared" si="165"/>
        <v>1.0676332069095257E-12</v>
      </c>
      <c r="AM163" s="62">
        <f t="shared" si="113"/>
        <v>291.38234382410866</v>
      </c>
      <c r="AN163" s="62">
        <f ca="1">AVERAGE(OFFSET($AM$3,0,0,'Données projet'!$E$10+1,1))-AVERAGE(OFFSET($H$3,0,0,'Données projet'!$E$10+1,1))</f>
        <v>231.96474801342879</v>
      </c>
      <c r="AO163" s="62">
        <f t="shared" si="144"/>
        <v>237.75726086383668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projet'!$B$10,Paramètres!$A$1:$I$88,7,0))</f>
        <v>0</v>
      </c>
      <c r="AS163" s="17">
        <f>IF(ISNA(VLOOKUP(A163,'Données projet'!$A$61:$I$81,6,0)),0%,VLOOKUP(A163,'Données projet'!$A$61:$I$81,6,0)*VLOOKUP('Données projet'!$B$10,Paramètres!$A$1:$I$88,7,0))</f>
        <v>0</v>
      </c>
      <c r="AT163" s="17">
        <f>IF(ISNA(VLOOKUP(A163,'Données projet'!$A$61:$I$81,7,0)),0%,VLOOKUP(A163,'Données projet'!$A$61:$I$81,7,0))</f>
        <v>0</v>
      </c>
      <c r="AU163" s="23">
        <f>EXP(-LN(2)/35)*AU162+(1-EXP(-LN(2)/35))/(LN(2)/35)*AQ163*AR163*VLOOKUP('Données projet'!$B$10,Paramètres!$A$1:$I$88,3,0)*0.475*44/12</f>
        <v>13.041530289144307</v>
      </c>
      <c r="AV163" s="23">
        <f>EXP(-LN(2)/25)*AV162+(1-EXP(-LN(2)/25))/(LN(2)/25)*Calculateur!AQ163*Calculateur!AS163*VLOOKUP('Données projet'!$B$10,Paramètres!$A$1:$I$88,3,0)*0.475*44/12</f>
        <v>3.4976056216464335</v>
      </c>
      <c r="AW163" s="23">
        <f>EXP(-LN(2)/2)*AW162+(1-EXP(-LN(2)/2))/(LN(2)/2)*AQ163*AT163*VLOOKUP('Données projet'!$B$10,Paramètres!$A$1:$I$88,3,0)*0.475*44/12</f>
        <v>0</v>
      </c>
      <c r="AX163" s="23">
        <f t="shared" si="166"/>
        <v>16.539135910790741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69.46791195202934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6.8212102632969618E-13</v>
      </c>
      <c r="BE163" s="14">
        <f>BD163*VLOOKUP('Données projet'!$B$11,Paramètres!$A$1:$I$88,3,0)*VLOOKUP('Données projet'!$B$11,Paramètres!$A$1:$I$88,5,0)</f>
        <v>3.1923264032229784E-13</v>
      </c>
      <c r="BF163" s="14">
        <f t="shared" si="167"/>
        <v>4.1896839804541558E-12</v>
      </c>
      <c r="BG163" s="22">
        <f t="shared" si="168"/>
        <v>7.8530297811856558E-12</v>
      </c>
      <c r="BH163" s="62">
        <f t="shared" si="116"/>
        <v>291.38234382411542</v>
      </c>
      <c r="BI163" s="62">
        <f ca="1">AVERAGE(OFFSET($BH$3,0,0,'Données projet'!$E$11+1,1))-AVERAGE(OFFSET($H$3,0,0,'Données projet'!$E$11+1,1))</f>
        <v>364.96458059055169</v>
      </c>
      <c r="BJ163" s="62">
        <f t="shared" si="146"/>
        <v>246.27159120786257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projet'!$B$11,Paramètres!$A$1:$I$88,7,0))</f>
        <v>0</v>
      </c>
      <c r="BN163" s="17">
        <f>IF(ISNA(VLOOKUP(A163,'Données projet'!$A$87:$I$107,6,0)),0%,VLOOKUP(A163,'Données projet'!$A$87:$I$107,6,0)*VLOOKUP('Données projet'!$B$11,Paramètres!$A$1:$I$88,7,0))</f>
        <v>0</v>
      </c>
      <c r="BO163" s="17">
        <f>IF(ISNA(VLOOKUP(A163,'Données projet'!$A$87:$I$107,7,0)),0%,VLOOKUP(A163,'Données projet'!$A$87:$I$107,7,0))</f>
        <v>0</v>
      </c>
      <c r="BP163" s="23">
        <f>EXP(-LN(2)/35)*BP162+(1-EXP(-LN(2)/35))/(LN(2)/35)*BL163*BM163*VLOOKUP('Données projet'!$B$11,Paramètres!$A$1:$I$88,3,0)*0.475*44/12</f>
        <v>72.550688681179125</v>
      </c>
      <c r="BQ163" s="23">
        <f>EXP(-LN(2)/25)*BQ162+(1-EXP(-LN(2)/25))/(LN(2)/25)*Calculateur!BL163*Calculateur!BN163*VLOOKUP('Données projet'!$B$11,Paramètres!$A$1:$I$88,3,0)*0.475*44/12</f>
        <v>19.098147092161724</v>
      </c>
      <c r="BR163" s="23">
        <f>EXP(-LN(2)/2)*BR162+(1-EXP(-LN(2)/2))/(LN(2)/2)*BL163*BO163*VLOOKUP('Données projet'!$B$11,Paramètres!$A$1:$I$88,3,0)*0.475*44/12</f>
        <v>0</v>
      </c>
      <c r="BS163" s="24">
        <f t="shared" si="169"/>
        <v>91.648835773340849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69.46791195202934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-1.1368683772161603E-13</v>
      </c>
      <c r="BZ163" s="14">
        <f>BY163*VLOOKUP('Données projet'!$B$12,Paramètres!$A$1:$I$88,3,0)*VLOOKUP('Données projet'!$B$12,Paramètres!$A$1:$I$88,5,0)</f>
        <v>-1.1527845344971866E-13</v>
      </c>
      <c r="CA163" s="14" t="e">
        <f t="shared" si="170"/>
        <v>#NUM!</v>
      </c>
      <c r="CB163" s="22" t="e">
        <f t="shared" si="171"/>
        <v>#NUM!</v>
      </c>
      <c r="CC163" s="62" t="e">
        <f t="shared" si="119"/>
        <v>#NUM!</v>
      </c>
      <c r="CD163" s="62">
        <f ca="1">AVERAGE(OFFSET($CC$3,0,0,'Données projet'!$E$12+1,1))-AVERAGE(OFFSET($H$3,0,0,'Données projet'!$E$12+1,1))</f>
        <v>310.53598044763282</v>
      </c>
      <c r="CE163" s="62">
        <f t="shared" si="148"/>
        <v>322.01096634040596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projet'!$B$12,Paramètres!$A$1:$I$88,7,0))</f>
        <v>0</v>
      </c>
      <c r="CI163" s="17">
        <f>IF(ISNA(VLOOKUP(A163,'Données projet'!$A$113:$I$133,6,0)),0%,VLOOKUP(A163,'Données projet'!$A$113:$I$133,6,0)*VLOOKUP('Données projet'!$B$12,Paramètres!$A$1:$I$88,7,0))</f>
        <v>0</v>
      </c>
      <c r="CJ163" s="17">
        <f>IF(ISNA(VLOOKUP(A163,'Données projet'!$A$113:$I$133,7,0)),0%,VLOOKUP(A163,'Données projet'!$A$113:$I$133,7,0))</f>
        <v>0</v>
      </c>
      <c r="CK163" s="23">
        <f>EXP(-LN(2)/35)*CK162+(1-EXP(-LN(2)/35))/(LN(2)/35)*CG163*CH163*VLOOKUP('Données projet'!$B$12,Paramètres!$A$1:$I$88,3,0)*0.475*44/12</f>
        <v>9.9783580077131813</v>
      </c>
      <c r="CL163" s="23">
        <f>EXP(-LN(2)/25)*CL162+(1-EXP(-LN(2)/25))/(LN(2)/25)*Calculateur!CG163*Calculateur!CI163*VLOOKUP('Données projet'!$B$12,Paramètres!$A$1:$I$88,3,0)*0.475*44/12</f>
        <v>0</v>
      </c>
      <c r="CM163" s="23">
        <f>EXP(-LN(2)/2)*CM162+(1-EXP(-LN(2)/2))/(LN(2)/2)*CG163*CJ163*VLOOKUP('Données projet'!$B$12,Paramètres!$A$1:$I$88,3,0)*0.475*44/12</f>
        <v>0</v>
      </c>
      <c r="CN163" s="24">
        <f t="shared" si="172"/>
        <v>9.9783580077131813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69.46791195202934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projet'!$B$13,Paramètres!$A$1:$I$88,3,0)*VLOOKUP('Données projet'!$B$13,Paramètres!$A$1:$I$88,5,0)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projet'!$B$13,Paramètres!$A$1:$I$88,7,0))</f>
        <v>0</v>
      </c>
      <c r="DD163" s="17">
        <f>IF(ISNA(VLOOKUP(A163,'Données projet'!$A$139:$I$159,6,0)),0%,VLOOKUP(A163,'Données projet'!$A$139:$I$159,6,0)*VLOOKUP('Données projet'!$B$13,Paramètres!$A$1:$I$88,7,0))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projet'!$B$13,Paramètres!$A$1:$I$88,3,0)*0.475*44/12</f>
        <v>#N/A</v>
      </c>
      <c r="DG163" s="23" t="e">
        <f>EXP(-LN(2)/25)*DG162+(1-EXP(-LN(2)/25))/(LN(2)/25)*Calculateur!DB163*Calculateur!DD163*VLOOKUP('Données projet'!$B$13,Paramètres!$A$1:$I$88,3,0)*0.475*44/12</f>
        <v>#N/A</v>
      </c>
      <c r="DH163" s="23" t="e">
        <f>EXP(-LN(2)/2)*DH162+(1-EXP(-LN(2)/2))/(LN(2)/2)*DB163*DE163*VLOOKUP('Données projet'!$B$13,Paramètres!$A$1:$I$88,3,0)*0.475*44/12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69.46791195202934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projet'!$B$14,Paramètres!$A$1:$I$88,3,0)*VLOOKUP('Données projet'!$B$14,Paramètres!$A$1:$I$88,5,0)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projet'!$B$14,Paramètres!$A$1:$I$88,7,0))</f>
        <v>0</v>
      </c>
      <c r="DY163" s="17">
        <f>IF(ISNA(VLOOKUP(A163,'Données projet'!$A$165:$I$185,6,0)),0%,VLOOKUP(A163,'Données projet'!$A$165:$I$185,6,0)*VLOOKUP('Données projet'!$B$14,Paramètres!$A$1:$I$88,7,0))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projet'!$B$14,Paramètres!$A$1:$I$88,3,0)*0.475*44/12</f>
        <v>#N/A</v>
      </c>
      <c r="EB163" s="23" t="e">
        <f>EXP(-LN(2)/25)*EB162+(1-EXP(-LN(2)/25))/(LN(2)/25)*Calculateur!DW163*Calculateur!DY163*VLOOKUP('Données projet'!$B$14,Paramètres!$A$1:$I$88,3,0)*0.475*44/12</f>
        <v>#N/A</v>
      </c>
      <c r="EC163" s="23" t="e">
        <f>EXP(-LN(2)/2)*EC162+(1-EXP(-LN(2)/2))/(LN(2)/2)*DW163*DZ163*VLOOKUP('Données projet'!$B$14,Paramètres!$A$1:$I$88,3,0)*0.475*44/12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69.46791195202934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projet'!$B$15,Paramètres!$A$1:$I$88,3,0)*VLOOKUP('Données projet'!$B$15,Paramètres!$A$1:$I$88,5,0)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projet'!$B$15,Paramètres!$A$1:$I$88,7,0))</f>
        <v>0</v>
      </c>
      <c r="ET163" s="17">
        <f>IF(ISNA(VLOOKUP(A163,'Données projet'!$A$191:$I$211,6,0)),0%,VLOOKUP(A163,'Données projet'!$A$191:$I$211,6,0)*VLOOKUP('Données projet'!$B$15,Paramètres!$A$1:$I$88,7,0))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projet'!$B$15,Paramètres!$A$1:$I$88,3,0)*0.475*44/12</f>
        <v>#N/A</v>
      </c>
      <c r="EW163" s="23" t="e">
        <f>EXP(-LN(2)/25)*EW162+(1-EXP(-LN(2)/25))/(LN(2)/25)*Calculateur!ER163*Calculateur!ET163*VLOOKUP('Données projet'!$B$15,Paramètres!$A$1:$I$88,3,0)*0.475*44/12</f>
        <v>#N/A</v>
      </c>
      <c r="EX163" s="23" t="e">
        <f>EXP(-LN(2)/2)*EX162+(1-EXP(-LN(2)/2))/(LN(2)/2)*ER163*EU163*VLOOKUP('Données projet'!$B$15,Paramètres!$A$1:$I$88,3,0)*0.475*44/12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69.46791195202934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projet'!$B$16,Paramètres!$A$1:$I$88,3,0)*VLOOKUP('Données projet'!$B$16,Paramètres!$A$1:$I$88,5,0)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projet'!$B$16,Paramètres!$A$1:$I$88,7,0))</f>
        <v>0</v>
      </c>
      <c r="FO163" s="17">
        <f>IF(ISNA(VLOOKUP(A163,'Données projet'!$A$217:$I$237,6,0)),0%,VLOOKUP(A163,'Données projet'!$A$217:$I$237,6,0)*VLOOKUP('Données projet'!$B$16,Paramètres!$A$1:$I$88,7,0))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projet'!$B$16,Paramètres!$A$1:$I$88,3,0)*0.475*44/12</f>
        <v>#N/A</v>
      </c>
      <c r="FR163" s="23" t="e">
        <f>EXP(-LN(2)/25)*FR162+(1-EXP(-LN(2)/25))/(LN(2)/25)*Calculateur!FM163*Calculateur!FO163*VLOOKUP('Données projet'!$B$16,Paramètres!$A$1:$I$88,3,0)*0.475*44/12</f>
        <v>#N/A</v>
      </c>
      <c r="FS163" s="23" t="e">
        <f>EXP(-LN(2)/2)*FS162+(1-EXP(-LN(2)/2))/(LN(2)/2)*FM163*FP163*VLOOKUP('Données projet'!$B$16,Paramètres!$A$1:$I$88,3,0)*0.475*44/12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69.46791195202934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projet'!$B$17,Paramètres!$A$1:$I$88,3,0)*VLOOKUP('Données projet'!$B$17,Paramètres!$A$1:$I$88,5,0)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projet'!$B$17,Paramètres!$A$1:$I$88,7,0))</f>
        <v>0</v>
      </c>
      <c r="GJ163" s="17">
        <f>IF(ISNA(VLOOKUP(A163,'Données projet'!$A$243:$I$263,6,0)),0%,VLOOKUP(A163,'Données projet'!$A$243:$I$263,6,0)*VLOOKUP('Données projet'!$B$17,Paramètres!$A$1:$I$88,7,0))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projet'!$B$17,Paramètres!$A$1:$I$88,3,0)*0.475*44/12</f>
        <v>#N/A</v>
      </c>
      <c r="GM163" s="23" t="e">
        <f>EXP(-LN(2)/25)*GM162+(1-EXP(-LN(2)/25))/(LN(2)/25)*Calculateur!GH163*Calculateur!GJ163*VLOOKUP('Données projet'!$B$17,Paramètres!$A$1:$I$88,3,0)*0.475*44/12</f>
        <v>#N/A</v>
      </c>
      <c r="GN163" s="23" t="e">
        <f>EXP(-LN(2)/2)*GN162+(1-EXP(-LN(2)/2))/(LN(2)/2)*GH163*GK163*VLOOKUP('Données projet'!$B$17,Paramètres!$A$1:$I$88,3,0)*0.475*44/12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69.46791195202934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projet'!$B$18,Paramètres!$A$1:$I$88,3,0)*VLOOKUP('Données projet'!$B$18,Paramètres!$A$1:$I$88,5,0)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projet'!$B$18,Paramètres!$A$1:$I$88,7,0))</f>
        <v>0</v>
      </c>
      <c r="HE163" s="17">
        <f>IF(ISNA(VLOOKUP(A163,'Données projet'!$A$269:$I$289,6,0)),0%,VLOOKUP(A163,'Données projet'!$A$269:$I$289,6,0)*VLOOKUP('Données projet'!$B$18,Paramètres!$A$1:$I$88,7,0))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projet'!$B$18,Paramètres!$A$1:$I$88,3,0)*0.475*44/12</f>
        <v>#N/A</v>
      </c>
      <c r="HH163" s="23" t="e">
        <f>EXP(-LN(2)/25)*HH162+(1-EXP(-LN(2)/25))/(LN(2)/25)*Calculateur!HC163*Calculateur!HE163*VLOOKUP('Données projet'!$B$18,Paramètres!$A$1:$I$88,3,0)*0.475*44/12</f>
        <v>#N/A</v>
      </c>
      <c r="HI163" s="23" t="e">
        <f>EXP(-LN(2)/2)*HI162+(1-EXP(-LN(2)/2))/(LN(2)/2)*HC163*HF163*VLOOKUP('Données projet'!$B$18,Paramètres!$A$1:$I$88,3,0)*0.475*44/12</f>
        <v>#N/A</v>
      </c>
      <c r="HJ163" s="24" t="e">
        <f t="shared" si="190"/>
        <v>#N/A</v>
      </c>
    </row>
    <row r="164" spans="1:218" x14ac:dyDescent="0.35">
      <c r="A164" s="11">
        <f t="shared" si="161"/>
        <v>161</v>
      </c>
      <c r="B164" s="77">
        <f>'Scénario référence'!$B$16*5+'Scénario référence'!$B$17*0+'Scénario référence'!$B$18*5</f>
        <v>1.75</v>
      </c>
      <c r="C164" s="20">
        <f>Calculateur!C163+'Scénario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64" s="12">
        <f t="shared" si="140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6.416666666666667</v>
      </c>
      <c r="H164" s="70">
        <f t="shared" si="110"/>
        <v>231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69.477142490090969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3.4106051316484809E-13</v>
      </c>
      <c r="O164" s="14">
        <f>N164*VLOOKUP('Données projet'!$B$9,Paramètres!$A$1:$I$88,3,0)*VLOOKUP('Données projet'!$B$9,Paramètres!$A$1:$I$88,5,0)</f>
        <v>1.9065282685915009E-13</v>
      </c>
      <c r="P164" s="14">
        <f t="shared" si="141"/>
        <v>2.6568987209435707E-12</v>
      </c>
      <c r="Q164" s="22">
        <f t="shared" si="162"/>
        <v>4.959485612423072E-12</v>
      </c>
      <c r="R164" s="62">
        <f t="shared" si="109"/>
        <v>291.41618913033847</v>
      </c>
      <c r="S164" s="62">
        <f ca="1">AVERAGE(OFFSET($R$3,0,0,'Données projet'!$E$9+1,1))-AVERAGE(OFFSET($H$3,0,0,'Données projet'!$E$9+1,1))</f>
        <v>341.05096821796769</v>
      </c>
      <c r="T164" s="62">
        <f t="shared" si="142"/>
        <v>400.72519822215168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projet'!$B$9,Paramètres!$A$1:$I$88,7,0))</f>
        <v>0</v>
      </c>
      <c r="X164" s="17">
        <f>IF(ISNA(VLOOKUP(A164,'Données projet'!$A$35:$I$55,6,0)),0%,VLOOKUP(A164,'Données projet'!$A$35:$I$55,6,0)*VLOOKUP('Données projet'!$B$9,Paramètres!$A$1:$I$88,7,0))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projet'!$B$9,Paramètres!$A$1:$I$88,3,0)*0.475*44/12</f>
        <v>32.422490259289177</v>
      </c>
      <c r="AA164" s="23">
        <f>EXP(-LN(2)/25)*AA163+(1-EXP(-LN(2)/25))/(LN(2)/25)*Calculateur!V164*Calculateur!X164*VLOOKUP('Données projet'!$B$9,Paramètres!$A$1:$I$88,3,0)*0.475*44/12</f>
        <v>8.0562801406655673</v>
      </c>
      <c r="AB164" s="23">
        <f>EXP(-LN(2)/2)*AB163+(1-EXP(-LN(2)/2))/(LN(2)/2)*V164*Y164*VLOOKUP('Données projet'!$B$9,Paramètres!$A$1:$I$88,3,0)*0.475*44/12</f>
        <v>0</v>
      </c>
      <c r="AC164" s="24">
        <f t="shared" si="163"/>
        <v>40.47877039995474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69.477142490090969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5.6843418860808015E-14</v>
      </c>
      <c r="AJ164" s="14">
        <f>AI164*VLOOKUP('Données projet'!$B$10,Paramètres!$A$1:$I$88,3,0)*VLOOKUP('Données projet'!$B$10,Paramètres!$A$1:$I$88,5,0)</f>
        <v>3.3992364478763198E-14</v>
      </c>
      <c r="AK164" s="14">
        <f t="shared" si="164"/>
        <v>5.790027782444094E-13</v>
      </c>
      <c r="AL164" s="22">
        <f t="shared" si="165"/>
        <v>1.0676332069095257E-12</v>
      </c>
      <c r="AM164" s="62">
        <f t="shared" si="113"/>
        <v>291.4161891303346</v>
      </c>
      <c r="AN164" s="62">
        <f ca="1">AVERAGE(OFFSET($AM$3,0,0,'Données projet'!$E$10+1,1))-AVERAGE(OFFSET($H$3,0,0,'Données projet'!$E$10+1,1))</f>
        <v>231.96474801342879</v>
      </c>
      <c r="AO164" s="62">
        <f t="shared" si="144"/>
        <v>237.75726086383668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projet'!$B$10,Paramètres!$A$1:$I$88,7,0))</f>
        <v>0</v>
      </c>
      <c r="AS164" s="17">
        <f>IF(ISNA(VLOOKUP(A164,'Données projet'!$A$61:$I$81,6,0)),0%,VLOOKUP(A164,'Données projet'!$A$61:$I$81,6,0)*VLOOKUP('Données projet'!$B$10,Paramètres!$A$1:$I$88,7,0))</f>
        <v>0</v>
      </c>
      <c r="AT164" s="17">
        <f>IF(ISNA(VLOOKUP(A164,'Données projet'!$A$61:$I$81,7,0)),0%,VLOOKUP(A164,'Données projet'!$A$61:$I$81,7,0))</f>
        <v>0</v>
      </c>
      <c r="AU164" s="23">
        <f>EXP(-LN(2)/35)*AU163+(1-EXP(-LN(2)/35))/(LN(2)/35)*AQ164*AR164*VLOOKUP('Données projet'!$B$10,Paramètres!$A$1:$I$88,3,0)*0.475*44/12</f>
        <v>12.785793834722217</v>
      </c>
      <c r="AV164" s="23">
        <f>EXP(-LN(2)/25)*AV163+(1-EXP(-LN(2)/25))/(LN(2)/25)*Calculateur!AQ164*Calculateur!AS164*VLOOKUP('Données projet'!$B$10,Paramètres!$A$1:$I$88,3,0)*0.475*44/12</f>
        <v>3.4019634119914262</v>
      </c>
      <c r="AW164" s="23">
        <f>EXP(-LN(2)/2)*AW163+(1-EXP(-LN(2)/2))/(LN(2)/2)*AQ164*AT164*VLOOKUP('Données projet'!$B$10,Paramètres!$A$1:$I$88,3,0)*0.475*44/12</f>
        <v>0</v>
      </c>
      <c r="AX164" s="23">
        <f t="shared" si="166"/>
        <v>16.187757246713645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69.477142490090969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6.8212102632969618E-13</v>
      </c>
      <c r="BE164" s="14">
        <f>BD164*VLOOKUP('Données projet'!$B$11,Paramètres!$A$1:$I$88,3,0)*VLOOKUP('Données projet'!$B$11,Paramètres!$A$1:$I$88,5,0)</f>
        <v>3.1923264032229784E-13</v>
      </c>
      <c r="BF164" s="14">
        <f t="shared" si="167"/>
        <v>4.1896839804541558E-12</v>
      </c>
      <c r="BG164" s="22">
        <f t="shared" si="168"/>
        <v>7.8530297811856558E-12</v>
      </c>
      <c r="BH164" s="62">
        <f t="shared" si="116"/>
        <v>291.41618913034137</v>
      </c>
      <c r="BI164" s="62">
        <f ca="1">AVERAGE(OFFSET($BH$3,0,0,'Données projet'!$E$11+1,1))-AVERAGE(OFFSET($H$3,0,0,'Données projet'!$E$11+1,1))</f>
        <v>364.96458059055169</v>
      </c>
      <c r="BJ164" s="62">
        <f t="shared" si="146"/>
        <v>246.27159120786257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projet'!$B$11,Paramètres!$A$1:$I$88,7,0))</f>
        <v>0</v>
      </c>
      <c r="BN164" s="17">
        <f>IF(ISNA(VLOOKUP(A164,'Données projet'!$A$87:$I$107,6,0)),0%,VLOOKUP(A164,'Données projet'!$A$87:$I$107,6,0)*VLOOKUP('Données projet'!$B$11,Paramètres!$A$1:$I$88,7,0))</f>
        <v>0</v>
      </c>
      <c r="BO164" s="17">
        <f>IF(ISNA(VLOOKUP(A164,'Données projet'!$A$87:$I$107,7,0)),0%,VLOOKUP(A164,'Données projet'!$A$87:$I$107,7,0))</f>
        <v>0</v>
      </c>
      <c r="BP164" s="23">
        <f>EXP(-LN(2)/35)*BP163+(1-EXP(-LN(2)/35))/(LN(2)/35)*BL164*BM164*VLOOKUP('Données projet'!$B$11,Paramètres!$A$1:$I$88,3,0)*0.475*44/12</f>
        <v>71.128013927691825</v>
      </c>
      <c r="BQ164" s="23">
        <f>EXP(-LN(2)/25)*BQ163+(1-EXP(-LN(2)/25))/(LN(2)/25)*Calculateur!BL164*Calculateur!BN164*VLOOKUP('Données projet'!$B$11,Paramètres!$A$1:$I$88,3,0)*0.475*44/12</f>
        <v>18.575907255598654</v>
      </c>
      <c r="BR164" s="23">
        <f>EXP(-LN(2)/2)*BR163+(1-EXP(-LN(2)/2))/(LN(2)/2)*BL164*BO164*VLOOKUP('Données projet'!$B$11,Paramètres!$A$1:$I$88,3,0)*0.475*44/12</f>
        <v>0</v>
      </c>
      <c r="BS164" s="24">
        <f t="shared" si="169"/>
        <v>89.703921183290475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69.477142490090969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-1.1368683772161603E-13</v>
      </c>
      <c r="BZ164" s="14">
        <f>BY164*VLOOKUP('Données projet'!$B$12,Paramètres!$A$1:$I$88,3,0)*VLOOKUP('Données projet'!$B$12,Paramètres!$A$1:$I$88,5,0)</f>
        <v>-1.1527845344971866E-13</v>
      </c>
      <c r="CA164" s="14" t="e">
        <f t="shared" si="170"/>
        <v>#NUM!</v>
      </c>
      <c r="CB164" s="22" t="e">
        <f t="shared" si="171"/>
        <v>#NUM!</v>
      </c>
      <c r="CC164" s="62" t="e">
        <f t="shared" si="119"/>
        <v>#NUM!</v>
      </c>
      <c r="CD164" s="62">
        <f ca="1">AVERAGE(OFFSET($CC$3,0,0,'Données projet'!$E$12+1,1))-AVERAGE(OFFSET($H$3,0,0,'Données projet'!$E$12+1,1))</f>
        <v>310.53598044763282</v>
      </c>
      <c r="CE164" s="62">
        <f t="shared" si="148"/>
        <v>322.01096634040596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projet'!$B$12,Paramètres!$A$1:$I$88,7,0))</f>
        <v>0</v>
      </c>
      <c r="CI164" s="17">
        <f>IF(ISNA(VLOOKUP(A164,'Données projet'!$A$113:$I$133,6,0)),0%,VLOOKUP(A164,'Données projet'!$A$113:$I$133,6,0)*VLOOKUP('Données projet'!$B$12,Paramètres!$A$1:$I$88,7,0))</f>
        <v>0</v>
      </c>
      <c r="CJ164" s="17">
        <f>IF(ISNA(VLOOKUP(A164,'Données projet'!$A$113:$I$133,7,0)),0%,VLOOKUP(A164,'Données projet'!$A$113:$I$133,7,0))</f>
        <v>0</v>
      </c>
      <c r="CK164" s="23">
        <f>EXP(-LN(2)/35)*CK163+(1-EXP(-LN(2)/35))/(LN(2)/35)*CG164*CH164*VLOOKUP('Données projet'!$B$12,Paramètres!$A$1:$I$88,3,0)*0.475*44/12</f>
        <v>9.7826884933793483</v>
      </c>
      <c r="CL164" s="23">
        <f>EXP(-LN(2)/25)*CL163+(1-EXP(-LN(2)/25))/(LN(2)/25)*Calculateur!CG164*Calculateur!CI164*VLOOKUP('Données projet'!$B$12,Paramètres!$A$1:$I$88,3,0)*0.475*44/12</f>
        <v>0</v>
      </c>
      <c r="CM164" s="23">
        <f>EXP(-LN(2)/2)*CM163+(1-EXP(-LN(2)/2))/(LN(2)/2)*CG164*CJ164*VLOOKUP('Données projet'!$B$12,Paramètres!$A$1:$I$88,3,0)*0.475*44/12</f>
        <v>0</v>
      </c>
      <c r="CN164" s="24">
        <f t="shared" si="172"/>
        <v>9.7826884933793483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69.477142490090969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projet'!$B$13,Paramètres!$A$1:$I$88,3,0)*VLOOKUP('Données projet'!$B$13,Paramètres!$A$1:$I$88,5,0)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projet'!$B$13,Paramètres!$A$1:$I$88,7,0))</f>
        <v>0</v>
      </c>
      <c r="DD164" s="17">
        <f>IF(ISNA(VLOOKUP(A164,'Données projet'!$A$139:$I$159,6,0)),0%,VLOOKUP(A164,'Données projet'!$A$139:$I$159,6,0)*VLOOKUP('Données projet'!$B$13,Paramètres!$A$1:$I$88,7,0))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projet'!$B$13,Paramètres!$A$1:$I$88,3,0)*0.475*44/12</f>
        <v>#N/A</v>
      </c>
      <c r="DG164" s="23" t="e">
        <f>EXP(-LN(2)/25)*DG163+(1-EXP(-LN(2)/25))/(LN(2)/25)*Calculateur!DB164*Calculateur!DD164*VLOOKUP('Données projet'!$B$13,Paramètres!$A$1:$I$88,3,0)*0.475*44/12</f>
        <v>#N/A</v>
      </c>
      <c r="DH164" s="23" t="e">
        <f>EXP(-LN(2)/2)*DH163+(1-EXP(-LN(2)/2))/(LN(2)/2)*DB164*DE164*VLOOKUP('Données projet'!$B$13,Paramètres!$A$1:$I$88,3,0)*0.475*44/12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69.477142490090969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projet'!$B$14,Paramètres!$A$1:$I$88,3,0)*VLOOKUP('Données projet'!$B$14,Paramètres!$A$1:$I$88,5,0)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projet'!$B$14,Paramètres!$A$1:$I$88,7,0))</f>
        <v>0</v>
      </c>
      <c r="DY164" s="17">
        <f>IF(ISNA(VLOOKUP(A164,'Données projet'!$A$165:$I$185,6,0)),0%,VLOOKUP(A164,'Données projet'!$A$165:$I$185,6,0)*VLOOKUP('Données projet'!$B$14,Paramètres!$A$1:$I$88,7,0))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projet'!$B$14,Paramètres!$A$1:$I$88,3,0)*0.475*44/12</f>
        <v>#N/A</v>
      </c>
      <c r="EB164" s="23" t="e">
        <f>EXP(-LN(2)/25)*EB163+(1-EXP(-LN(2)/25))/(LN(2)/25)*Calculateur!DW164*Calculateur!DY164*VLOOKUP('Données projet'!$B$14,Paramètres!$A$1:$I$88,3,0)*0.475*44/12</f>
        <v>#N/A</v>
      </c>
      <c r="EC164" s="23" t="e">
        <f>EXP(-LN(2)/2)*EC163+(1-EXP(-LN(2)/2))/(LN(2)/2)*DW164*DZ164*VLOOKUP('Données projet'!$B$14,Paramètres!$A$1:$I$88,3,0)*0.475*44/12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69.477142490090969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projet'!$B$15,Paramètres!$A$1:$I$88,3,0)*VLOOKUP('Données projet'!$B$15,Paramètres!$A$1:$I$88,5,0)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projet'!$B$15,Paramètres!$A$1:$I$88,7,0))</f>
        <v>0</v>
      </c>
      <c r="ET164" s="17">
        <f>IF(ISNA(VLOOKUP(A164,'Données projet'!$A$191:$I$211,6,0)),0%,VLOOKUP(A164,'Données projet'!$A$191:$I$211,6,0)*VLOOKUP('Données projet'!$B$15,Paramètres!$A$1:$I$88,7,0))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projet'!$B$15,Paramètres!$A$1:$I$88,3,0)*0.475*44/12</f>
        <v>#N/A</v>
      </c>
      <c r="EW164" s="23" t="e">
        <f>EXP(-LN(2)/25)*EW163+(1-EXP(-LN(2)/25))/(LN(2)/25)*Calculateur!ER164*Calculateur!ET164*VLOOKUP('Données projet'!$B$15,Paramètres!$A$1:$I$88,3,0)*0.475*44/12</f>
        <v>#N/A</v>
      </c>
      <c r="EX164" s="23" t="e">
        <f>EXP(-LN(2)/2)*EX163+(1-EXP(-LN(2)/2))/(LN(2)/2)*ER164*EU164*VLOOKUP('Données projet'!$B$15,Paramètres!$A$1:$I$88,3,0)*0.475*44/12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69.477142490090969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projet'!$B$16,Paramètres!$A$1:$I$88,3,0)*VLOOKUP('Données projet'!$B$16,Paramètres!$A$1:$I$88,5,0)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projet'!$B$16,Paramètres!$A$1:$I$88,7,0))</f>
        <v>0</v>
      </c>
      <c r="FO164" s="17">
        <f>IF(ISNA(VLOOKUP(A164,'Données projet'!$A$217:$I$237,6,0)),0%,VLOOKUP(A164,'Données projet'!$A$217:$I$237,6,0)*VLOOKUP('Données projet'!$B$16,Paramètres!$A$1:$I$88,7,0))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projet'!$B$16,Paramètres!$A$1:$I$88,3,0)*0.475*44/12</f>
        <v>#N/A</v>
      </c>
      <c r="FR164" s="23" t="e">
        <f>EXP(-LN(2)/25)*FR163+(1-EXP(-LN(2)/25))/(LN(2)/25)*Calculateur!FM164*Calculateur!FO164*VLOOKUP('Données projet'!$B$16,Paramètres!$A$1:$I$88,3,0)*0.475*44/12</f>
        <v>#N/A</v>
      </c>
      <c r="FS164" s="23" t="e">
        <f>EXP(-LN(2)/2)*FS163+(1-EXP(-LN(2)/2))/(LN(2)/2)*FM164*FP164*VLOOKUP('Données projet'!$B$16,Paramètres!$A$1:$I$88,3,0)*0.475*44/12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69.477142490090969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projet'!$B$17,Paramètres!$A$1:$I$88,3,0)*VLOOKUP('Données projet'!$B$17,Paramètres!$A$1:$I$88,5,0)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projet'!$B$17,Paramètres!$A$1:$I$88,7,0))</f>
        <v>0</v>
      </c>
      <c r="GJ164" s="17">
        <f>IF(ISNA(VLOOKUP(A164,'Données projet'!$A$243:$I$263,6,0)),0%,VLOOKUP(A164,'Données projet'!$A$243:$I$263,6,0)*VLOOKUP('Données projet'!$B$17,Paramètres!$A$1:$I$88,7,0))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projet'!$B$17,Paramètres!$A$1:$I$88,3,0)*0.475*44/12</f>
        <v>#N/A</v>
      </c>
      <c r="GM164" s="23" t="e">
        <f>EXP(-LN(2)/25)*GM163+(1-EXP(-LN(2)/25))/(LN(2)/25)*Calculateur!GH164*Calculateur!GJ164*VLOOKUP('Données projet'!$B$17,Paramètres!$A$1:$I$88,3,0)*0.475*44/12</f>
        <v>#N/A</v>
      </c>
      <c r="GN164" s="23" t="e">
        <f>EXP(-LN(2)/2)*GN163+(1-EXP(-LN(2)/2))/(LN(2)/2)*GH164*GK164*VLOOKUP('Données projet'!$B$17,Paramètres!$A$1:$I$88,3,0)*0.475*44/12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69.477142490090969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projet'!$B$18,Paramètres!$A$1:$I$88,3,0)*VLOOKUP('Données projet'!$B$18,Paramètres!$A$1:$I$88,5,0)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projet'!$B$18,Paramètres!$A$1:$I$88,7,0))</f>
        <v>0</v>
      </c>
      <c r="HE164" s="17">
        <f>IF(ISNA(VLOOKUP(A164,'Données projet'!$A$269:$I$289,6,0)),0%,VLOOKUP(A164,'Données projet'!$A$269:$I$289,6,0)*VLOOKUP('Données projet'!$B$18,Paramètres!$A$1:$I$88,7,0))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projet'!$B$18,Paramètres!$A$1:$I$88,3,0)*0.475*44/12</f>
        <v>#N/A</v>
      </c>
      <c r="HH164" s="23" t="e">
        <f>EXP(-LN(2)/25)*HH163+(1-EXP(-LN(2)/25))/(LN(2)/25)*Calculateur!HC164*Calculateur!HE164*VLOOKUP('Données projet'!$B$18,Paramètres!$A$1:$I$88,3,0)*0.475*44/12</f>
        <v>#N/A</v>
      </c>
      <c r="HI164" s="23" t="e">
        <f>EXP(-LN(2)/2)*HI163+(1-EXP(-LN(2)/2))/(LN(2)/2)*HC164*HF164*VLOOKUP('Données projet'!$B$18,Paramètres!$A$1:$I$88,3,0)*0.475*44/12</f>
        <v>#N/A</v>
      </c>
      <c r="HJ164" s="24" t="e">
        <f t="shared" si="190"/>
        <v>#N/A</v>
      </c>
    </row>
    <row r="165" spans="1:218" x14ac:dyDescent="0.35">
      <c r="A165" s="11">
        <f t="shared" si="161"/>
        <v>162</v>
      </c>
      <c r="B165" s="77">
        <f>'Scénario référence'!$B$16*5+'Scénario référence'!$B$17*0+'Scénario référence'!$B$18*5</f>
        <v>1.75</v>
      </c>
      <c r="C165" s="20">
        <f>Calculateur!C164+'Scénario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65" s="12">
        <f t="shared" si="140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6.416666666666667</v>
      </c>
      <c r="H165" s="70">
        <f t="shared" si="110"/>
        <v>231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69.48621289895361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3.4106051316484809E-13</v>
      </c>
      <c r="O165" s="14">
        <f>N165*VLOOKUP('Données projet'!$B$9,Paramètres!$A$1:$I$88,3,0)*VLOOKUP('Données projet'!$B$9,Paramètres!$A$1:$I$88,5,0)</f>
        <v>1.9065282685915009E-13</v>
      </c>
      <c r="P165" s="14">
        <f t="shared" si="141"/>
        <v>2.6568987209435707E-12</v>
      </c>
      <c r="Q165" s="22">
        <f t="shared" si="162"/>
        <v>4.959485612423072E-12</v>
      </c>
      <c r="R165" s="62">
        <f t="shared" si="109"/>
        <v>291.44944729616816</v>
      </c>
      <c r="S165" s="62">
        <f ca="1">AVERAGE(OFFSET($R$3,0,0,'Données projet'!$E$9+1,1))-AVERAGE(OFFSET($H$3,0,0,'Données projet'!$E$9+1,1))</f>
        <v>341.05096821796769</v>
      </c>
      <c r="T165" s="62">
        <f t="shared" si="142"/>
        <v>400.72519822215168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projet'!$B$9,Paramètres!$A$1:$I$88,7,0))</f>
        <v>0</v>
      </c>
      <c r="X165" s="17">
        <f>IF(ISNA(VLOOKUP(A165,'Données projet'!$A$35:$I$55,6,0)),0%,VLOOKUP(A165,'Données projet'!$A$35:$I$55,6,0)*VLOOKUP('Données projet'!$B$9,Paramètres!$A$1:$I$88,7,0))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projet'!$B$9,Paramètres!$A$1:$I$88,3,0)*0.475*44/12</f>
        <v>31.786705001070878</v>
      </c>
      <c r="AA165" s="23">
        <f>EXP(-LN(2)/25)*AA164+(1-EXP(-LN(2)/25))/(LN(2)/25)*Calculateur!V165*Calculateur!X165*VLOOKUP('Données projet'!$B$9,Paramètres!$A$1:$I$88,3,0)*0.475*44/12</f>
        <v>7.8359807365577074</v>
      </c>
      <c r="AB165" s="23">
        <f>EXP(-LN(2)/2)*AB164+(1-EXP(-LN(2)/2))/(LN(2)/2)*V165*Y165*VLOOKUP('Données projet'!$B$9,Paramètres!$A$1:$I$88,3,0)*0.475*44/12</f>
        <v>0</v>
      </c>
      <c r="AC165" s="24">
        <f t="shared" si="163"/>
        <v>39.622685737628586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69.48621289895361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5.6843418860808015E-14</v>
      </c>
      <c r="AJ165" s="14">
        <f>AI165*VLOOKUP('Données projet'!$B$10,Paramètres!$A$1:$I$88,3,0)*VLOOKUP('Données projet'!$B$10,Paramètres!$A$1:$I$88,5,0)</f>
        <v>3.3992364478763198E-14</v>
      </c>
      <c r="AK165" s="14">
        <f t="shared" si="164"/>
        <v>5.790027782444094E-13</v>
      </c>
      <c r="AL165" s="22">
        <f t="shared" si="165"/>
        <v>1.0676332069095257E-12</v>
      </c>
      <c r="AM165" s="62">
        <f t="shared" si="113"/>
        <v>291.44944729616429</v>
      </c>
      <c r="AN165" s="62">
        <f ca="1">AVERAGE(OFFSET($AM$3,0,0,'Données projet'!$E$10+1,1))-AVERAGE(OFFSET($H$3,0,0,'Données projet'!$E$10+1,1))</f>
        <v>231.96474801342879</v>
      </c>
      <c r="AO165" s="62">
        <f t="shared" si="144"/>
        <v>237.75726086383668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projet'!$B$10,Paramètres!$A$1:$I$88,7,0))</f>
        <v>0</v>
      </c>
      <c r="AS165" s="17">
        <f>IF(ISNA(VLOOKUP(A165,'Données projet'!$A$61:$I$81,6,0)),0%,VLOOKUP(A165,'Données projet'!$A$61:$I$81,6,0)*VLOOKUP('Données projet'!$B$10,Paramètres!$A$1:$I$88,7,0))</f>
        <v>0</v>
      </c>
      <c r="AT165" s="17">
        <f>IF(ISNA(VLOOKUP(A165,'Données projet'!$A$61:$I$81,7,0)),0%,VLOOKUP(A165,'Données projet'!$A$61:$I$81,7,0))</f>
        <v>0</v>
      </c>
      <c r="AU165" s="23">
        <f>EXP(-LN(2)/35)*AU164+(1-EXP(-LN(2)/35))/(LN(2)/35)*AQ165*AR165*VLOOKUP('Données projet'!$B$10,Paramètres!$A$1:$I$88,3,0)*0.475*44/12</f>
        <v>12.535072216187508</v>
      </c>
      <c r="AV165" s="23">
        <f>EXP(-LN(2)/25)*AV164+(1-EXP(-LN(2)/25))/(LN(2)/25)*Calculateur!AQ165*Calculateur!AS165*VLOOKUP('Données projet'!$B$10,Paramètres!$A$1:$I$88,3,0)*0.475*44/12</f>
        <v>3.3089365435890401</v>
      </c>
      <c r="AW165" s="23">
        <f>EXP(-LN(2)/2)*AW164+(1-EXP(-LN(2)/2))/(LN(2)/2)*AQ165*AT165*VLOOKUP('Données projet'!$B$10,Paramètres!$A$1:$I$88,3,0)*0.475*44/12</f>
        <v>0</v>
      </c>
      <c r="AX165" s="23">
        <f t="shared" si="166"/>
        <v>15.844008759776548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69.48621289895361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6.8212102632969618E-13</v>
      </c>
      <c r="BE165" s="14">
        <f>BD165*VLOOKUP('Données projet'!$B$11,Paramètres!$A$1:$I$88,3,0)*VLOOKUP('Données projet'!$B$11,Paramètres!$A$1:$I$88,5,0)</f>
        <v>3.1923264032229784E-13</v>
      </c>
      <c r="BF165" s="14">
        <f t="shared" si="167"/>
        <v>4.1896839804541558E-12</v>
      </c>
      <c r="BG165" s="22">
        <f t="shared" si="168"/>
        <v>7.8530297811856558E-12</v>
      </c>
      <c r="BH165" s="62">
        <f t="shared" si="116"/>
        <v>291.44944729617106</v>
      </c>
      <c r="BI165" s="62">
        <f ca="1">AVERAGE(OFFSET($BH$3,0,0,'Données projet'!$E$11+1,1))-AVERAGE(OFFSET($H$3,0,0,'Données projet'!$E$11+1,1))</f>
        <v>364.96458059055169</v>
      </c>
      <c r="BJ165" s="62">
        <f t="shared" si="146"/>
        <v>246.27159120786257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projet'!$B$11,Paramètres!$A$1:$I$88,7,0))</f>
        <v>0</v>
      </c>
      <c r="BN165" s="17">
        <f>IF(ISNA(VLOOKUP(A165,'Données projet'!$A$87:$I$107,6,0)),0%,VLOOKUP(A165,'Données projet'!$A$87:$I$107,6,0)*VLOOKUP('Données projet'!$B$11,Paramètres!$A$1:$I$88,7,0))</f>
        <v>0</v>
      </c>
      <c r="BO165" s="17">
        <f>IF(ISNA(VLOOKUP(A165,'Données projet'!$A$87:$I$107,7,0)),0%,VLOOKUP(A165,'Données projet'!$A$87:$I$107,7,0))</f>
        <v>0</v>
      </c>
      <c r="BP165" s="23">
        <f>EXP(-LN(2)/35)*BP164+(1-EXP(-LN(2)/35))/(LN(2)/35)*BL165*BM165*VLOOKUP('Données projet'!$B$11,Paramètres!$A$1:$I$88,3,0)*0.475*44/12</f>
        <v>69.733236958374491</v>
      </c>
      <c r="BQ165" s="23">
        <f>EXP(-LN(2)/25)*BQ164+(1-EXP(-LN(2)/25))/(LN(2)/25)*Calculateur!BL165*Calculateur!BN165*VLOOKUP('Données projet'!$B$11,Paramètres!$A$1:$I$88,3,0)*0.475*44/12</f>
        <v>18.067948094829802</v>
      </c>
      <c r="BR165" s="23">
        <f>EXP(-LN(2)/2)*BR164+(1-EXP(-LN(2)/2))/(LN(2)/2)*BL165*BO165*VLOOKUP('Données projet'!$B$11,Paramètres!$A$1:$I$88,3,0)*0.475*44/12</f>
        <v>0</v>
      </c>
      <c r="BS165" s="24">
        <f t="shared" si="169"/>
        <v>87.801185053204293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69.48621289895361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-1.1368683772161603E-13</v>
      </c>
      <c r="BZ165" s="14">
        <f>BY165*VLOOKUP('Données projet'!$B$12,Paramètres!$A$1:$I$88,3,0)*VLOOKUP('Données projet'!$B$12,Paramètres!$A$1:$I$88,5,0)</f>
        <v>-1.1527845344971866E-13</v>
      </c>
      <c r="CA165" s="14" t="e">
        <f t="shared" si="170"/>
        <v>#NUM!</v>
      </c>
      <c r="CB165" s="22" t="e">
        <f t="shared" si="171"/>
        <v>#NUM!</v>
      </c>
      <c r="CC165" s="62" t="e">
        <f t="shared" si="119"/>
        <v>#NUM!</v>
      </c>
      <c r="CD165" s="62">
        <f ca="1">AVERAGE(OFFSET($CC$3,0,0,'Données projet'!$E$12+1,1))-AVERAGE(OFFSET($H$3,0,0,'Données projet'!$E$12+1,1))</f>
        <v>310.53598044763282</v>
      </c>
      <c r="CE165" s="62">
        <f t="shared" si="148"/>
        <v>322.01096634040596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projet'!$B$12,Paramètres!$A$1:$I$88,7,0))</f>
        <v>0</v>
      </c>
      <c r="CI165" s="17">
        <f>IF(ISNA(VLOOKUP(A165,'Données projet'!$A$113:$I$133,6,0)),0%,VLOOKUP(A165,'Données projet'!$A$113:$I$133,6,0)*VLOOKUP('Données projet'!$B$12,Paramètres!$A$1:$I$88,7,0))</f>
        <v>0</v>
      </c>
      <c r="CJ165" s="17">
        <f>IF(ISNA(VLOOKUP(A165,'Données projet'!$A$113:$I$133,7,0)),0%,VLOOKUP(A165,'Données projet'!$A$113:$I$133,7,0))</f>
        <v>0</v>
      </c>
      <c r="CK165" s="23">
        <f>EXP(-LN(2)/35)*CK164+(1-EXP(-LN(2)/35))/(LN(2)/35)*CG165*CH165*VLOOKUP('Données projet'!$B$12,Paramètres!$A$1:$I$88,3,0)*0.475*44/12</f>
        <v>9.5908559388749826</v>
      </c>
      <c r="CL165" s="23">
        <f>EXP(-LN(2)/25)*CL164+(1-EXP(-LN(2)/25))/(LN(2)/25)*Calculateur!CG165*Calculateur!CI165*VLOOKUP('Données projet'!$B$12,Paramètres!$A$1:$I$88,3,0)*0.475*44/12</f>
        <v>0</v>
      </c>
      <c r="CM165" s="23">
        <f>EXP(-LN(2)/2)*CM164+(1-EXP(-LN(2)/2))/(LN(2)/2)*CG165*CJ165*VLOOKUP('Données projet'!$B$12,Paramètres!$A$1:$I$88,3,0)*0.475*44/12</f>
        <v>0</v>
      </c>
      <c r="CN165" s="24">
        <f t="shared" si="172"/>
        <v>9.5908559388749826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69.48621289895361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projet'!$B$13,Paramètres!$A$1:$I$88,3,0)*VLOOKUP('Données projet'!$B$13,Paramètres!$A$1:$I$88,5,0)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projet'!$B$13,Paramètres!$A$1:$I$88,7,0))</f>
        <v>0</v>
      </c>
      <c r="DD165" s="17">
        <f>IF(ISNA(VLOOKUP(A165,'Données projet'!$A$139:$I$159,6,0)),0%,VLOOKUP(A165,'Données projet'!$A$139:$I$159,6,0)*VLOOKUP('Données projet'!$B$13,Paramètres!$A$1:$I$88,7,0))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projet'!$B$13,Paramètres!$A$1:$I$88,3,0)*0.475*44/12</f>
        <v>#N/A</v>
      </c>
      <c r="DG165" s="23" t="e">
        <f>EXP(-LN(2)/25)*DG164+(1-EXP(-LN(2)/25))/(LN(2)/25)*Calculateur!DB165*Calculateur!DD165*VLOOKUP('Données projet'!$B$13,Paramètres!$A$1:$I$88,3,0)*0.475*44/12</f>
        <v>#N/A</v>
      </c>
      <c r="DH165" s="23" t="e">
        <f>EXP(-LN(2)/2)*DH164+(1-EXP(-LN(2)/2))/(LN(2)/2)*DB165*DE165*VLOOKUP('Données projet'!$B$13,Paramètres!$A$1:$I$88,3,0)*0.475*44/12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69.48621289895361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projet'!$B$14,Paramètres!$A$1:$I$88,3,0)*VLOOKUP('Données projet'!$B$14,Paramètres!$A$1:$I$88,5,0)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projet'!$B$14,Paramètres!$A$1:$I$88,7,0))</f>
        <v>0</v>
      </c>
      <c r="DY165" s="17">
        <f>IF(ISNA(VLOOKUP(A165,'Données projet'!$A$165:$I$185,6,0)),0%,VLOOKUP(A165,'Données projet'!$A$165:$I$185,6,0)*VLOOKUP('Données projet'!$B$14,Paramètres!$A$1:$I$88,7,0))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projet'!$B$14,Paramètres!$A$1:$I$88,3,0)*0.475*44/12</f>
        <v>#N/A</v>
      </c>
      <c r="EB165" s="23" t="e">
        <f>EXP(-LN(2)/25)*EB164+(1-EXP(-LN(2)/25))/(LN(2)/25)*Calculateur!DW165*Calculateur!DY165*VLOOKUP('Données projet'!$B$14,Paramètres!$A$1:$I$88,3,0)*0.475*44/12</f>
        <v>#N/A</v>
      </c>
      <c r="EC165" s="23" t="e">
        <f>EXP(-LN(2)/2)*EC164+(1-EXP(-LN(2)/2))/(LN(2)/2)*DW165*DZ165*VLOOKUP('Données projet'!$B$14,Paramètres!$A$1:$I$88,3,0)*0.475*44/12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69.48621289895361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projet'!$B$15,Paramètres!$A$1:$I$88,3,0)*VLOOKUP('Données projet'!$B$15,Paramètres!$A$1:$I$88,5,0)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projet'!$B$15,Paramètres!$A$1:$I$88,7,0))</f>
        <v>0</v>
      </c>
      <c r="ET165" s="17">
        <f>IF(ISNA(VLOOKUP(A165,'Données projet'!$A$191:$I$211,6,0)),0%,VLOOKUP(A165,'Données projet'!$A$191:$I$211,6,0)*VLOOKUP('Données projet'!$B$15,Paramètres!$A$1:$I$88,7,0))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projet'!$B$15,Paramètres!$A$1:$I$88,3,0)*0.475*44/12</f>
        <v>#N/A</v>
      </c>
      <c r="EW165" s="23" t="e">
        <f>EXP(-LN(2)/25)*EW164+(1-EXP(-LN(2)/25))/(LN(2)/25)*Calculateur!ER165*Calculateur!ET165*VLOOKUP('Données projet'!$B$15,Paramètres!$A$1:$I$88,3,0)*0.475*44/12</f>
        <v>#N/A</v>
      </c>
      <c r="EX165" s="23" t="e">
        <f>EXP(-LN(2)/2)*EX164+(1-EXP(-LN(2)/2))/(LN(2)/2)*ER165*EU165*VLOOKUP('Données projet'!$B$15,Paramètres!$A$1:$I$88,3,0)*0.475*44/12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69.48621289895361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projet'!$B$16,Paramètres!$A$1:$I$88,3,0)*VLOOKUP('Données projet'!$B$16,Paramètres!$A$1:$I$88,5,0)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projet'!$B$16,Paramètres!$A$1:$I$88,7,0))</f>
        <v>0</v>
      </c>
      <c r="FO165" s="17">
        <f>IF(ISNA(VLOOKUP(A165,'Données projet'!$A$217:$I$237,6,0)),0%,VLOOKUP(A165,'Données projet'!$A$217:$I$237,6,0)*VLOOKUP('Données projet'!$B$16,Paramètres!$A$1:$I$88,7,0))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projet'!$B$16,Paramètres!$A$1:$I$88,3,0)*0.475*44/12</f>
        <v>#N/A</v>
      </c>
      <c r="FR165" s="23" t="e">
        <f>EXP(-LN(2)/25)*FR164+(1-EXP(-LN(2)/25))/(LN(2)/25)*Calculateur!FM165*Calculateur!FO165*VLOOKUP('Données projet'!$B$16,Paramètres!$A$1:$I$88,3,0)*0.475*44/12</f>
        <v>#N/A</v>
      </c>
      <c r="FS165" s="23" t="e">
        <f>EXP(-LN(2)/2)*FS164+(1-EXP(-LN(2)/2))/(LN(2)/2)*FM165*FP165*VLOOKUP('Données projet'!$B$16,Paramètres!$A$1:$I$88,3,0)*0.475*44/12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69.48621289895361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projet'!$B$17,Paramètres!$A$1:$I$88,3,0)*VLOOKUP('Données projet'!$B$17,Paramètres!$A$1:$I$88,5,0)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projet'!$B$17,Paramètres!$A$1:$I$88,7,0))</f>
        <v>0</v>
      </c>
      <c r="GJ165" s="17">
        <f>IF(ISNA(VLOOKUP(A165,'Données projet'!$A$243:$I$263,6,0)),0%,VLOOKUP(A165,'Données projet'!$A$243:$I$263,6,0)*VLOOKUP('Données projet'!$B$17,Paramètres!$A$1:$I$88,7,0))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projet'!$B$17,Paramètres!$A$1:$I$88,3,0)*0.475*44/12</f>
        <v>#N/A</v>
      </c>
      <c r="GM165" s="23" t="e">
        <f>EXP(-LN(2)/25)*GM164+(1-EXP(-LN(2)/25))/(LN(2)/25)*Calculateur!GH165*Calculateur!GJ165*VLOOKUP('Données projet'!$B$17,Paramètres!$A$1:$I$88,3,0)*0.475*44/12</f>
        <v>#N/A</v>
      </c>
      <c r="GN165" s="23" t="e">
        <f>EXP(-LN(2)/2)*GN164+(1-EXP(-LN(2)/2))/(LN(2)/2)*GH165*GK165*VLOOKUP('Données projet'!$B$17,Paramètres!$A$1:$I$88,3,0)*0.475*44/12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69.48621289895361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projet'!$B$18,Paramètres!$A$1:$I$88,3,0)*VLOOKUP('Données projet'!$B$18,Paramètres!$A$1:$I$88,5,0)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projet'!$B$18,Paramètres!$A$1:$I$88,7,0))</f>
        <v>0</v>
      </c>
      <c r="HE165" s="17">
        <f>IF(ISNA(VLOOKUP(A165,'Données projet'!$A$269:$I$289,6,0)),0%,VLOOKUP(A165,'Données projet'!$A$269:$I$289,6,0)*VLOOKUP('Données projet'!$B$18,Paramètres!$A$1:$I$88,7,0))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projet'!$B$18,Paramètres!$A$1:$I$88,3,0)*0.475*44/12</f>
        <v>#N/A</v>
      </c>
      <c r="HH165" s="23" t="e">
        <f>EXP(-LN(2)/25)*HH164+(1-EXP(-LN(2)/25))/(LN(2)/25)*Calculateur!HC165*Calculateur!HE165*VLOOKUP('Données projet'!$B$18,Paramètres!$A$1:$I$88,3,0)*0.475*44/12</f>
        <v>#N/A</v>
      </c>
      <c r="HI165" s="23" t="e">
        <f>EXP(-LN(2)/2)*HI164+(1-EXP(-LN(2)/2))/(LN(2)/2)*HC165*HF165*VLOOKUP('Données projet'!$B$18,Paramètres!$A$1:$I$88,3,0)*0.475*44/12</f>
        <v>#N/A</v>
      </c>
      <c r="HJ165" s="24" t="e">
        <f t="shared" si="190"/>
        <v>#N/A</v>
      </c>
    </row>
    <row r="166" spans="1:218" x14ac:dyDescent="0.35">
      <c r="A166" s="11">
        <f t="shared" si="161"/>
        <v>163</v>
      </c>
      <c r="B166" s="77">
        <f>'Scénario référence'!$B$16*5+'Scénario référence'!$B$17*0+'Scénario référence'!$B$18*5</f>
        <v>1.75</v>
      </c>
      <c r="C166" s="20">
        <f>Calculateur!C165+'Scénario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66" s="12">
        <f t="shared" si="140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6.416666666666667</v>
      </c>
      <c r="H166" s="70">
        <f t="shared" si="110"/>
        <v>231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69.4951259565009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3.4106051316484809E-13</v>
      </c>
      <c r="O166" s="14">
        <f>N166*VLOOKUP('Données projet'!$B$9,Paramètres!$A$1:$I$88,3,0)*VLOOKUP('Données projet'!$B$9,Paramètres!$A$1:$I$88,5,0)</f>
        <v>1.9065282685915009E-13</v>
      </c>
      <c r="P166" s="14">
        <f t="shared" si="141"/>
        <v>2.6568987209435707E-12</v>
      </c>
      <c r="Q166" s="22">
        <f t="shared" si="162"/>
        <v>4.959485612423072E-12</v>
      </c>
      <c r="R166" s="62">
        <f t="shared" si="109"/>
        <v>291.48212850717493</v>
      </c>
      <c r="S166" s="62">
        <f ca="1">AVERAGE(OFFSET($R$3,0,0,'Données projet'!$E$9+1,1))-AVERAGE(OFFSET($H$3,0,0,'Données projet'!$E$9+1,1))</f>
        <v>341.05096821796769</v>
      </c>
      <c r="T166" s="62">
        <f t="shared" si="142"/>
        <v>400.72519822215168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projet'!$B$9,Paramètres!$A$1:$I$88,7,0))</f>
        <v>0</v>
      </c>
      <c r="X166" s="17">
        <f>IF(ISNA(VLOOKUP(A166,'Données projet'!$A$35:$I$55,6,0)),0%,VLOOKUP(A166,'Données projet'!$A$35:$I$55,6,0)*VLOOKUP('Données projet'!$B$9,Paramètres!$A$1:$I$88,7,0))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projet'!$B$9,Paramètres!$A$1:$I$88,3,0)*0.475*44/12</f>
        <v>31.163387103975523</v>
      </c>
      <c r="AA166" s="23">
        <f>EXP(-LN(2)/25)*AA165+(1-EXP(-LN(2)/25))/(LN(2)/25)*Calculateur!V166*Calculateur!X166*VLOOKUP('Données projet'!$B$9,Paramètres!$A$1:$I$88,3,0)*0.475*44/12</f>
        <v>7.621705431240219</v>
      </c>
      <c r="AB166" s="23">
        <f>EXP(-LN(2)/2)*AB165+(1-EXP(-LN(2)/2))/(LN(2)/2)*V166*Y166*VLOOKUP('Données projet'!$B$9,Paramètres!$A$1:$I$88,3,0)*0.475*44/12</f>
        <v>0</v>
      </c>
      <c r="AC166" s="24">
        <f t="shared" si="163"/>
        <v>38.785092535215739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69.4951259565009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5.6843418860808015E-14</v>
      </c>
      <c r="AJ166" s="14">
        <f>AI166*VLOOKUP('Données projet'!$B$10,Paramètres!$A$1:$I$88,3,0)*VLOOKUP('Données projet'!$B$10,Paramètres!$A$1:$I$88,5,0)</f>
        <v>3.3992364478763198E-14</v>
      </c>
      <c r="AK166" s="14">
        <f t="shared" si="164"/>
        <v>5.790027782444094E-13</v>
      </c>
      <c r="AL166" s="22">
        <f t="shared" si="165"/>
        <v>1.0676332069095257E-12</v>
      </c>
      <c r="AM166" s="62">
        <f t="shared" si="113"/>
        <v>291.48212850717107</v>
      </c>
      <c r="AN166" s="62">
        <f ca="1">AVERAGE(OFFSET($AM$3,0,0,'Données projet'!$E$10+1,1))-AVERAGE(OFFSET($H$3,0,0,'Données projet'!$E$10+1,1))</f>
        <v>231.96474801342879</v>
      </c>
      <c r="AO166" s="62">
        <f t="shared" si="144"/>
        <v>237.75726086383668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projet'!$B$10,Paramètres!$A$1:$I$88,7,0))</f>
        <v>0</v>
      </c>
      <c r="AS166" s="17">
        <f>IF(ISNA(VLOOKUP(A166,'Données projet'!$A$61:$I$81,6,0)),0%,VLOOKUP(A166,'Données projet'!$A$61:$I$81,6,0)*VLOOKUP('Données projet'!$B$10,Paramètres!$A$1:$I$88,7,0))</f>
        <v>0</v>
      </c>
      <c r="AT166" s="17">
        <f>IF(ISNA(VLOOKUP(A166,'Données projet'!$A$61:$I$81,7,0)),0%,VLOOKUP(A166,'Données projet'!$A$61:$I$81,7,0))</f>
        <v>0</v>
      </c>
      <c r="AU166" s="23">
        <f>EXP(-LN(2)/35)*AU165+(1-EXP(-LN(2)/35))/(LN(2)/35)*AQ166*AR166*VLOOKUP('Données projet'!$B$10,Paramètres!$A$1:$I$88,3,0)*0.475*44/12</f>
        <v>12.28926709566718</v>
      </c>
      <c r="AV166" s="23">
        <f>EXP(-LN(2)/25)*AV165+(1-EXP(-LN(2)/25))/(LN(2)/25)*Calculateur!AQ166*Calculateur!AS166*VLOOKUP('Données projet'!$B$10,Paramètres!$A$1:$I$88,3,0)*0.475*44/12</f>
        <v>3.2184534997951877</v>
      </c>
      <c r="AW166" s="23">
        <f>EXP(-LN(2)/2)*AW165+(1-EXP(-LN(2)/2))/(LN(2)/2)*AQ166*AT166*VLOOKUP('Données projet'!$B$10,Paramètres!$A$1:$I$88,3,0)*0.475*44/12</f>
        <v>0</v>
      </c>
      <c r="AX166" s="23">
        <f t="shared" si="166"/>
        <v>15.507720595462366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69.4951259565009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6.8212102632969618E-13</v>
      </c>
      <c r="BE166" s="14">
        <f>BD166*VLOOKUP('Données projet'!$B$11,Paramètres!$A$1:$I$88,3,0)*VLOOKUP('Données projet'!$B$11,Paramètres!$A$1:$I$88,5,0)</f>
        <v>3.1923264032229784E-13</v>
      </c>
      <c r="BF166" s="14">
        <f t="shared" si="167"/>
        <v>4.1896839804541558E-12</v>
      </c>
      <c r="BG166" s="22">
        <f t="shared" si="168"/>
        <v>7.8530297811856558E-12</v>
      </c>
      <c r="BH166" s="62">
        <f t="shared" si="116"/>
        <v>291.48212850717783</v>
      </c>
      <c r="BI166" s="62">
        <f ca="1">AVERAGE(OFFSET($BH$3,0,0,'Données projet'!$E$11+1,1))-AVERAGE(OFFSET($H$3,0,0,'Données projet'!$E$11+1,1))</f>
        <v>364.96458059055169</v>
      </c>
      <c r="BJ166" s="62">
        <f t="shared" si="146"/>
        <v>246.27159120786257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projet'!$B$11,Paramètres!$A$1:$I$88,7,0))</f>
        <v>0</v>
      </c>
      <c r="BN166" s="17">
        <f>IF(ISNA(VLOOKUP(A166,'Données projet'!$A$87:$I$107,6,0)),0%,VLOOKUP(A166,'Données projet'!$A$87:$I$107,6,0)*VLOOKUP('Données projet'!$B$11,Paramètres!$A$1:$I$88,7,0))</f>
        <v>0</v>
      </c>
      <c r="BO166" s="17">
        <f>IF(ISNA(VLOOKUP(A166,'Données projet'!$A$87:$I$107,7,0)),0%,VLOOKUP(A166,'Données projet'!$A$87:$I$107,7,0))</f>
        <v>0</v>
      </c>
      <c r="BP166" s="23">
        <f>EXP(-LN(2)/35)*BP165+(1-EXP(-LN(2)/35))/(LN(2)/35)*BL166*BM166*VLOOKUP('Données projet'!$B$11,Paramètres!$A$1:$I$88,3,0)*0.475*44/12</f>
        <v>68.365810714695513</v>
      </c>
      <c r="BQ166" s="23">
        <f>EXP(-LN(2)/25)*BQ165+(1-EXP(-LN(2)/25))/(LN(2)/25)*Calculateur!BL166*Calculateur!BN166*VLOOKUP('Données projet'!$B$11,Paramètres!$A$1:$I$88,3,0)*0.475*44/12</f>
        <v>17.573879104024584</v>
      </c>
      <c r="BR166" s="23">
        <f>EXP(-LN(2)/2)*BR165+(1-EXP(-LN(2)/2))/(LN(2)/2)*BL166*BO166*VLOOKUP('Données projet'!$B$11,Paramètres!$A$1:$I$88,3,0)*0.475*44/12</f>
        <v>0</v>
      </c>
      <c r="BS166" s="24">
        <f t="shared" si="169"/>
        <v>85.939689818720097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69.4951259565009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-1.1368683772161603E-13</v>
      </c>
      <c r="BZ166" s="14">
        <f>BY166*VLOOKUP('Données projet'!$B$12,Paramètres!$A$1:$I$88,3,0)*VLOOKUP('Données projet'!$B$12,Paramètres!$A$1:$I$88,5,0)</f>
        <v>-1.1527845344971866E-13</v>
      </c>
      <c r="CA166" s="14" t="e">
        <f t="shared" si="170"/>
        <v>#NUM!</v>
      </c>
      <c r="CB166" s="22" t="e">
        <f t="shared" si="171"/>
        <v>#NUM!</v>
      </c>
      <c r="CC166" s="62" t="e">
        <f t="shared" si="119"/>
        <v>#NUM!</v>
      </c>
      <c r="CD166" s="62">
        <f ca="1">AVERAGE(OFFSET($CC$3,0,0,'Données projet'!$E$12+1,1))-AVERAGE(OFFSET($H$3,0,0,'Données projet'!$E$12+1,1))</f>
        <v>310.53598044763282</v>
      </c>
      <c r="CE166" s="62">
        <f t="shared" si="148"/>
        <v>322.01096634040596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projet'!$B$12,Paramètres!$A$1:$I$88,7,0))</f>
        <v>0</v>
      </c>
      <c r="CI166" s="17">
        <f>IF(ISNA(VLOOKUP(A166,'Données projet'!$A$113:$I$133,6,0)),0%,VLOOKUP(A166,'Données projet'!$A$113:$I$133,6,0)*VLOOKUP('Données projet'!$B$12,Paramètres!$A$1:$I$88,7,0))</f>
        <v>0</v>
      </c>
      <c r="CJ166" s="17">
        <f>IF(ISNA(VLOOKUP(A166,'Données projet'!$A$113:$I$133,7,0)),0%,VLOOKUP(A166,'Données projet'!$A$113:$I$133,7,0))</f>
        <v>0</v>
      </c>
      <c r="CK166" s="23">
        <f>EXP(-LN(2)/35)*CK165+(1-EXP(-LN(2)/35))/(LN(2)/35)*CG166*CH166*VLOOKUP('Données projet'!$B$12,Paramètres!$A$1:$I$88,3,0)*0.475*44/12</f>
        <v>9.4027851037581431</v>
      </c>
      <c r="CL166" s="23">
        <f>EXP(-LN(2)/25)*CL165+(1-EXP(-LN(2)/25))/(LN(2)/25)*Calculateur!CG166*Calculateur!CI166*VLOOKUP('Données projet'!$B$12,Paramètres!$A$1:$I$88,3,0)*0.475*44/12</f>
        <v>0</v>
      </c>
      <c r="CM166" s="23">
        <f>EXP(-LN(2)/2)*CM165+(1-EXP(-LN(2)/2))/(LN(2)/2)*CG166*CJ166*VLOOKUP('Données projet'!$B$12,Paramètres!$A$1:$I$88,3,0)*0.475*44/12</f>
        <v>0</v>
      </c>
      <c r="CN166" s="24">
        <f t="shared" si="172"/>
        <v>9.4027851037581431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69.4951259565009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projet'!$B$13,Paramètres!$A$1:$I$88,3,0)*VLOOKUP('Données projet'!$B$13,Paramètres!$A$1:$I$88,5,0)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projet'!$B$13,Paramètres!$A$1:$I$88,7,0))</f>
        <v>0</v>
      </c>
      <c r="DD166" s="17">
        <f>IF(ISNA(VLOOKUP(A166,'Données projet'!$A$139:$I$159,6,0)),0%,VLOOKUP(A166,'Données projet'!$A$139:$I$159,6,0)*VLOOKUP('Données projet'!$B$13,Paramètres!$A$1:$I$88,7,0))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projet'!$B$13,Paramètres!$A$1:$I$88,3,0)*0.475*44/12</f>
        <v>#N/A</v>
      </c>
      <c r="DG166" s="23" t="e">
        <f>EXP(-LN(2)/25)*DG165+(1-EXP(-LN(2)/25))/(LN(2)/25)*Calculateur!DB166*Calculateur!DD166*VLOOKUP('Données projet'!$B$13,Paramètres!$A$1:$I$88,3,0)*0.475*44/12</f>
        <v>#N/A</v>
      </c>
      <c r="DH166" s="23" t="e">
        <f>EXP(-LN(2)/2)*DH165+(1-EXP(-LN(2)/2))/(LN(2)/2)*DB166*DE166*VLOOKUP('Données projet'!$B$13,Paramètres!$A$1:$I$88,3,0)*0.475*44/12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69.4951259565009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projet'!$B$14,Paramètres!$A$1:$I$88,3,0)*VLOOKUP('Données projet'!$B$14,Paramètres!$A$1:$I$88,5,0)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projet'!$B$14,Paramètres!$A$1:$I$88,7,0))</f>
        <v>0</v>
      </c>
      <c r="DY166" s="17">
        <f>IF(ISNA(VLOOKUP(A166,'Données projet'!$A$165:$I$185,6,0)),0%,VLOOKUP(A166,'Données projet'!$A$165:$I$185,6,0)*VLOOKUP('Données projet'!$B$14,Paramètres!$A$1:$I$88,7,0))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projet'!$B$14,Paramètres!$A$1:$I$88,3,0)*0.475*44/12</f>
        <v>#N/A</v>
      </c>
      <c r="EB166" s="23" t="e">
        <f>EXP(-LN(2)/25)*EB165+(1-EXP(-LN(2)/25))/(LN(2)/25)*Calculateur!DW166*Calculateur!DY166*VLOOKUP('Données projet'!$B$14,Paramètres!$A$1:$I$88,3,0)*0.475*44/12</f>
        <v>#N/A</v>
      </c>
      <c r="EC166" s="23" t="e">
        <f>EXP(-LN(2)/2)*EC165+(1-EXP(-LN(2)/2))/(LN(2)/2)*DW166*DZ166*VLOOKUP('Données projet'!$B$14,Paramètres!$A$1:$I$88,3,0)*0.475*44/12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69.4951259565009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projet'!$B$15,Paramètres!$A$1:$I$88,3,0)*VLOOKUP('Données projet'!$B$15,Paramètres!$A$1:$I$88,5,0)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projet'!$B$15,Paramètres!$A$1:$I$88,7,0))</f>
        <v>0</v>
      </c>
      <c r="ET166" s="17">
        <f>IF(ISNA(VLOOKUP(A166,'Données projet'!$A$191:$I$211,6,0)),0%,VLOOKUP(A166,'Données projet'!$A$191:$I$211,6,0)*VLOOKUP('Données projet'!$B$15,Paramètres!$A$1:$I$88,7,0))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projet'!$B$15,Paramètres!$A$1:$I$88,3,0)*0.475*44/12</f>
        <v>#N/A</v>
      </c>
      <c r="EW166" s="23" t="e">
        <f>EXP(-LN(2)/25)*EW165+(1-EXP(-LN(2)/25))/(LN(2)/25)*Calculateur!ER166*Calculateur!ET166*VLOOKUP('Données projet'!$B$15,Paramètres!$A$1:$I$88,3,0)*0.475*44/12</f>
        <v>#N/A</v>
      </c>
      <c r="EX166" s="23" t="e">
        <f>EXP(-LN(2)/2)*EX165+(1-EXP(-LN(2)/2))/(LN(2)/2)*ER166*EU166*VLOOKUP('Données projet'!$B$15,Paramètres!$A$1:$I$88,3,0)*0.475*44/12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69.4951259565009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projet'!$B$16,Paramètres!$A$1:$I$88,3,0)*VLOOKUP('Données projet'!$B$16,Paramètres!$A$1:$I$88,5,0)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projet'!$B$16,Paramètres!$A$1:$I$88,7,0))</f>
        <v>0</v>
      </c>
      <c r="FO166" s="17">
        <f>IF(ISNA(VLOOKUP(A166,'Données projet'!$A$217:$I$237,6,0)),0%,VLOOKUP(A166,'Données projet'!$A$217:$I$237,6,0)*VLOOKUP('Données projet'!$B$16,Paramètres!$A$1:$I$88,7,0))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projet'!$B$16,Paramètres!$A$1:$I$88,3,0)*0.475*44/12</f>
        <v>#N/A</v>
      </c>
      <c r="FR166" s="23" t="e">
        <f>EXP(-LN(2)/25)*FR165+(1-EXP(-LN(2)/25))/(LN(2)/25)*Calculateur!FM166*Calculateur!FO166*VLOOKUP('Données projet'!$B$16,Paramètres!$A$1:$I$88,3,0)*0.475*44/12</f>
        <v>#N/A</v>
      </c>
      <c r="FS166" s="23" t="e">
        <f>EXP(-LN(2)/2)*FS165+(1-EXP(-LN(2)/2))/(LN(2)/2)*FM166*FP166*VLOOKUP('Données projet'!$B$16,Paramètres!$A$1:$I$88,3,0)*0.475*44/12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69.4951259565009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projet'!$B$17,Paramètres!$A$1:$I$88,3,0)*VLOOKUP('Données projet'!$B$17,Paramètres!$A$1:$I$88,5,0)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projet'!$B$17,Paramètres!$A$1:$I$88,7,0))</f>
        <v>0</v>
      </c>
      <c r="GJ166" s="17">
        <f>IF(ISNA(VLOOKUP(A166,'Données projet'!$A$243:$I$263,6,0)),0%,VLOOKUP(A166,'Données projet'!$A$243:$I$263,6,0)*VLOOKUP('Données projet'!$B$17,Paramètres!$A$1:$I$88,7,0))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projet'!$B$17,Paramètres!$A$1:$I$88,3,0)*0.475*44/12</f>
        <v>#N/A</v>
      </c>
      <c r="GM166" s="23" t="e">
        <f>EXP(-LN(2)/25)*GM165+(1-EXP(-LN(2)/25))/(LN(2)/25)*Calculateur!GH166*Calculateur!GJ166*VLOOKUP('Données projet'!$B$17,Paramètres!$A$1:$I$88,3,0)*0.475*44/12</f>
        <v>#N/A</v>
      </c>
      <c r="GN166" s="23" t="e">
        <f>EXP(-LN(2)/2)*GN165+(1-EXP(-LN(2)/2))/(LN(2)/2)*GH166*GK166*VLOOKUP('Données projet'!$B$17,Paramètres!$A$1:$I$88,3,0)*0.475*44/12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69.4951259565009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projet'!$B$18,Paramètres!$A$1:$I$88,3,0)*VLOOKUP('Données projet'!$B$18,Paramètres!$A$1:$I$88,5,0)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projet'!$B$18,Paramètres!$A$1:$I$88,7,0))</f>
        <v>0</v>
      </c>
      <c r="HE166" s="17">
        <f>IF(ISNA(VLOOKUP(A166,'Données projet'!$A$269:$I$289,6,0)),0%,VLOOKUP(A166,'Données projet'!$A$269:$I$289,6,0)*VLOOKUP('Données projet'!$B$18,Paramètres!$A$1:$I$88,7,0))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projet'!$B$18,Paramètres!$A$1:$I$88,3,0)*0.475*44/12</f>
        <v>#N/A</v>
      </c>
      <c r="HH166" s="23" t="e">
        <f>EXP(-LN(2)/25)*HH165+(1-EXP(-LN(2)/25))/(LN(2)/25)*Calculateur!HC166*Calculateur!HE166*VLOOKUP('Données projet'!$B$18,Paramètres!$A$1:$I$88,3,0)*0.475*44/12</f>
        <v>#N/A</v>
      </c>
      <c r="HI166" s="23" t="e">
        <f>EXP(-LN(2)/2)*HI165+(1-EXP(-LN(2)/2))/(LN(2)/2)*HC166*HF166*VLOOKUP('Données projet'!$B$18,Paramètres!$A$1:$I$88,3,0)*0.475*44/12</f>
        <v>#N/A</v>
      </c>
      <c r="HJ166" s="24" t="e">
        <f t="shared" si="190"/>
        <v>#N/A</v>
      </c>
    </row>
    <row r="167" spans="1:218" x14ac:dyDescent="0.35">
      <c r="A167" s="11">
        <f t="shared" si="161"/>
        <v>164</v>
      </c>
      <c r="B167" s="77">
        <f>'Scénario référence'!$B$16*5+'Scénario référence'!$B$17*0+'Scénario référence'!$B$18*5</f>
        <v>1.75</v>
      </c>
      <c r="C167" s="20">
        <f>Calculateur!C166+'Scénario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67" s="12">
        <f t="shared" si="140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6.416666666666667</v>
      </c>
      <c r="H167" s="70">
        <f t="shared" si="110"/>
        <v>231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69.503884392426343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3.4106051316484809E-13</v>
      </c>
      <c r="O167" s="14">
        <f>N167*VLOOKUP('Données projet'!$B$9,Paramètres!$A$1:$I$88,3,0)*VLOOKUP('Données projet'!$B$9,Paramètres!$A$1:$I$88,5,0)</f>
        <v>1.9065282685915009E-13</v>
      </c>
      <c r="P167" s="14">
        <f t="shared" si="141"/>
        <v>2.6568987209435707E-12</v>
      </c>
      <c r="Q167" s="22">
        <f t="shared" si="162"/>
        <v>4.959485612423072E-12</v>
      </c>
      <c r="R167" s="62">
        <f t="shared" si="109"/>
        <v>291.51424277223487</v>
      </c>
      <c r="S167" s="62">
        <f ca="1">AVERAGE(OFFSET($R$3,0,0,'Données projet'!$E$9+1,1))-AVERAGE(OFFSET($H$3,0,0,'Données projet'!$E$9+1,1))</f>
        <v>341.05096821796769</v>
      </c>
      <c r="T167" s="62">
        <f t="shared" si="142"/>
        <v>400.72519822215168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projet'!$B$9,Paramètres!$A$1:$I$88,7,0))</f>
        <v>0</v>
      </c>
      <c r="X167" s="17">
        <f>IF(ISNA(VLOOKUP(A167,'Données projet'!$A$35:$I$55,6,0)),0%,VLOOKUP(A167,'Données projet'!$A$35:$I$55,6,0)*VLOOKUP('Données projet'!$B$9,Paramètres!$A$1:$I$88,7,0))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projet'!$B$9,Paramètres!$A$1:$I$88,3,0)*0.475*44/12</f>
        <v>30.552292090655833</v>
      </c>
      <c r="AA167" s="23">
        <f>EXP(-LN(2)/25)*AA166+(1-EXP(-LN(2)/25))/(LN(2)/25)*Calculateur!V167*Calculateur!X167*VLOOKUP('Données projet'!$B$9,Paramètres!$A$1:$I$88,3,0)*0.475*44/12</f>
        <v>7.4132894954148867</v>
      </c>
      <c r="AB167" s="23">
        <f>EXP(-LN(2)/2)*AB166+(1-EXP(-LN(2)/2))/(LN(2)/2)*V167*Y167*VLOOKUP('Données projet'!$B$9,Paramètres!$A$1:$I$88,3,0)*0.475*44/12</f>
        <v>0</v>
      </c>
      <c r="AC167" s="24">
        <f t="shared" si="163"/>
        <v>37.965581586070719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69.503884392426343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5.6843418860808015E-14</v>
      </c>
      <c r="AJ167" s="14">
        <f>AI167*VLOOKUP('Données projet'!$B$10,Paramètres!$A$1:$I$88,3,0)*VLOOKUP('Données projet'!$B$10,Paramètres!$A$1:$I$88,5,0)</f>
        <v>3.3992364478763198E-14</v>
      </c>
      <c r="AK167" s="14">
        <f t="shared" si="164"/>
        <v>5.790027782444094E-13</v>
      </c>
      <c r="AL167" s="22">
        <f t="shared" si="165"/>
        <v>1.0676332069095257E-12</v>
      </c>
      <c r="AM167" s="62">
        <f t="shared" si="113"/>
        <v>291.514242772231</v>
      </c>
      <c r="AN167" s="62">
        <f ca="1">AVERAGE(OFFSET($AM$3,0,0,'Données projet'!$E$10+1,1))-AVERAGE(OFFSET($H$3,0,0,'Données projet'!$E$10+1,1))</f>
        <v>231.96474801342879</v>
      </c>
      <c r="AO167" s="62">
        <f t="shared" si="144"/>
        <v>237.75726086383668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projet'!$B$10,Paramètres!$A$1:$I$88,7,0))</f>
        <v>0</v>
      </c>
      <c r="AS167" s="17">
        <f>IF(ISNA(VLOOKUP(A167,'Données projet'!$A$61:$I$81,6,0)),0%,VLOOKUP(A167,'Données projet'!$A$61:$I$81,6,0)*VLOOKUP('Données projet'!$B$10,Paramètres!$A$1:$I$88,7,0))</f>
        <v>0</v>
      </c>
      <c r="AT167" s="17">
        <f>IF(ISNA(VLOOKUP(A167,'Données projet'!$A$61:$I$81,7,0)),0%,VLOOKUP(A167,'Données projet'!$A$61:$I$81,7,0))</f>
        <v>0</v>
      </c>
      <c r="AU167" s="23">
        <f>EXP(-LN(2)/35)*AU166+(1-EXP(-LN(2)/35))/(LN(2)/35)*AQ167*AR167*VLOOKUP('Données projet'!$B$10,Paramètres!$A$1:$I$88,3,0)*0.475*44/12</f>
        <v>12.048282063633934</v>
      </c>
      <c r="AV167" s="23">
        <f>EXP(-LN(2)/25)*AV166+(1-EXP(-LN(2)/25))/(LN(2)/25)*Calculateur!AQ167*Calculateur!AS167*VLOOKUP('Données projet'!$B$10,Paramètres!$A$1:$I$88,3,0)*0.475*44/12</f>
        <v>3.1304447195921745</v>
      </c>
      <c r="AW167" s="23">
        <f>EXP(-LN(2)/2)*AW166+(1-EXP(-LN(2)/2))/(LN(2)/2)*AQ167*AT167*VLOOKUP('Données projet'!$B$10,Paramètres!$A$1:$I$88,3,0)*0.475*44/12</f>
        <v>0</v>
      </c>
      <c r="AX167" s="23">
        <f t="shared" si="166"/>
        <v>15.178726783226109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69.503884392426343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6.8212102632969618E-13</v>
      </c>
      <c r="BE167" s="14">
        <f>BD167*VLOOKUP('Données projet'!$B$11,Paramètres!$A$1:$I$88,3,0)*VLOOKUP('Données projet'!$B$11,Paramètres!$A$1:$I$88,5,0)</f>
        <v>3.1923264032229784E-13</v>
      </c>
      <c r="BF167" s="14">
        <f t="shared" si="167"/>
        <v>4.1896839804541558E-12</v>
      </c>
      <c r="BG167" s="22">
        <f t="shared" si="168"/>
        <v>7.8530297811856558E-12</v>
      </c>
      <c r="BH167" s="62">
        <f t="shared" si="116"/>
        <v>291.51424277223776</v>
      </c>
      <c r="BI167" s="62">
        <f ca="1">AVERAGE(OFFSET($BH$3,0,0,'Données projet'!$E$11+1,1))-AVERAGE(OFFSET($H$3,0,0,'Données projet'!$E$11+1,1))</f>
        <v>364.96458059055169</v>
      </c>
      <c r="BJ167" s="62">
        <f t="shared" si="146"/>
        <v>246.27159120786257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projet'!$B$11,Paramètres!$A$1:$I$88,7,0))</f>
        <v>0</v>
      </c>
      <c r="BN167" s="17">
        <f>IF(ISNA(VLOOKUP(A167,'Données projet'!$A$87:$I$107,6,0)),0%,VLOOKUP(A167,'Données projet'!$A$87:$I$107,6,0)*VLOOKUP('Données projet'!$B$11,Paramètres!$A$1:$I$88,7,0))</f>
        <v>0</v>
      </c>
      <c r="BO167" s="17">
        <f>IF(ISNA(VLOOKUP(A167,'Données projet'!$A$87:$I$107,7,0)),0%,VLOOKUP(A167,'Données projet'!$A$87:$I$107,7,0))</f>
        <v>0</v>
      </c>
      <c r="BP167" s="23">
        <f>EXP(-LN(2)/35)*BP166+(1-EXP(-LN(2)/35))/(LN(2)/35)*BL167*BM167*VLOOKUP('Données projet'!$B$11,Paramètres!$A$1:$I$88,3,0)*0.475*44/12</f>
        <v>67.025198865607436</v>
      </c>
      <c r="BQ167" s="23">
        <f>EXP(-LN(2)/25)*BQ166+(1-EXP(-LN(2)/25))/(LN(2)/25)*Calculateur!BL167*Calculateur!BN167*VLOOKUP('Données projet'!$B$11,Paramètres!$A$1:$I$88,3,0)*0.475*44/12</f>
        <v>17.093320455754895</v>
      </c>
      <c r="BR167" s="23">
        <f>EXP(-LN(2)/2)*BR166+(1-EXP(-LN(2)/2))/(LN(2)/2)*BL167*BO167*VLOOKUP('Données projet'!$B$11,Paramètres!$A$1:$I$88,3,0)*0.475*44/12</f>
        <v>0</v>
      </c>
      <c r="BS167" s="24">
        <f t="shared" si="169"/>
        <v>84.118519321362328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69.503884392426343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-1.1368683772161603E-13</v>
      </c>
      <c r="BZ167" s="14">
        <f>BY167*VLOOKUP('Données projet'!$B$12,Paramètres!$A$1:$I$88,3,0)*VLOOKUP('Données projet'!$B$12,Paramètres!$A$1:$I$88,5,0)</f>
        <v>-1.1527845344971866E-13</v>
      </c>
      <c r="CA167" s="14" t="e">
        <f t="shared" si="170"/>
        <v>#NUM!</v>
      </c>
      <c r="CB167" s="22" t="e">
        <f t="shared" si="171"/>
        <v>#NUM!</v>
      </c>
      <c r="CC167" s="62" t="e">
        <f t="shared" si="119"/>
        <v>#NUM!</v>
      </c>
      <c r="CD167" s="62">
        <f ca="1">AVERAGE(OFFSET($CC$3,0,0,'Données projet'!$E$12+1,1))-AVERAGE(OFFSET($H$3,0,0,'Données projet'!$E$12+1,1))</f>
        <v>310.53598044763282</v>
      </c>
      <c r="CE167" s="62">
        <f t="shared" si="148"/>
        <v>322.01096634040596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projet'!$B$12,Paramètres!$A$1:$I$88,7,0))</f>
        <v>0</v>
      </c>
      <c r="CI167" s="17">
        <f>IF(ISNA(VLOOKUP(A167,'Données projet'!$A$113:$I$133,6,0)),0%,VLOOKUP(A167,'Données projet'!$A$113:$I$133,6,0)*VLOOKUP('Données projet'!$B$12,Paramètres!$A$1:$I$88,7,0))</f>
        <v>0</v>
      </c>
      <c r="CJ167" s="17">
        <f>IF(ISNA(VLOOKUP(A167,'Données projet'!$A$113:$I$133,7,0)),0%,VLOOKUP(A167,'Données projet'!$A$113:$I$133,7,0))</f>
        <v>0</v>
      </c>
      <c r="CK167" s="23">
        <f>EXP(-LN(2)/35)*CK166+(1-EXP(-LN(2)/35))/(LN(2)/35)*CG167*CH167*VLOOKUP('Données projet'!$B$12,Paramètres!$A$1:$I$88,3,0)*0.475*44/12</f>
        <v>9.2184022230060627</v>
      </c>
      <c r="CL167" s="23">
        <f>EXP(-LN(2)/25)*CL166+(1-EXP(-LN(2)/25))/(LN(2)/25)*Calculateur!CG167*Calculateur!CI167*VLOOKUP('Données projet'!$B$12,Paramètres!$A$1:$I$88,3,0)*0.475*44/12</f>
        <v>0</v>
      </c>
      <c r="CM167" s="23">
        <f>EXP(-LN(2)/2)*CM166+(1-EXP(-LN(2)/2))/(LN(2)/2)*CG167*CJ167*VLOOKUP('Données projet'!$B$12,Paramètres!$A$1:$I$88,3,0)*0.475*44/12</f>
        <v>0</v>
      </c>
      <c r="CN167" s="24">
        <f t="shared" si="172"/>
        <v>9.2184022230060627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69.503884392426343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projet'!$B$13,Paramètres!$A$1:$I$88,3,0)*VLOOKUP('Données projet'!$B$13,Paramètres!$A$1:$I$88,5,0)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projet'!$B$13,Paramètres!$A$1:$I$88,7,0))</f>
        <v>0</v>
      </c>
      <c r="DD167" s="17">
        <f>IF(ISNA(VLOOKUP(A167,'Données projet'!$A$139:$I$159,6,0)),0%,VLOOKUP(A167,'Données projet'!$A$139:$I$159,6,0)*VLOOKUP('Données projet'!$B$13,Paramètres!$A$1:$I$88,7,0))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projet'!$B$13,Paramètres!$A$1:$I$88,3,0)*0.475*44/12</f>
        <v>#N/A</v>
      </c>
      <c r="DG167" s="23" t="e">
        <f>EXP(-LN(2)/25)*DG166+(1-EXP(-LN(2)/25))/(LN(2)/25)*Calculateur!DB167*Calculateur!DD167*VLOOKUP('Données projet'!$B$13,Paramètres!$A$1:$I$88,3,0)*0.475*44/12</f>
        <v>#N/A</v>
      </c>
      <c r="DH167" s="23" t="e">
        <f>EXP(-LN(2)/2)*DH166+(1-EXP(-LN(2)/2))/(LN(2)/2)*DB167*DE167*VLOOKUP('Données projet'!$B$13,Paramètres!$A$1:$I$88,3,0)*0.475*44/12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69.503884392426343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projet'!$B$14,Paramètres!$A$1:$I$88,3,0)*VLOOKUP('Données projet'!$B$14,Paramètres!$A$1:$I$88,5,0)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projet'!$B$14,Paramètres!$A$1:$I$88,7,0))</f>
        <v>0</v>
      </c>
      <c r="DY167" s="17">
        <f>IF(ISNA(VLOOKUP(A167,'Données projet'!$A$165:$I$185,6,0)),0%,VLOOKUP(A167,'Données projet'!$A$165:$I$185,6,0)*VLOOKUP('Données projet'!$B$14,Paramètres!$A$1:$I$88,7,0))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projet'!$B$14,Paramètres!$A$1:$I$88,3,0)*0.475*44/12</f>
        <v>#N/A</v>
      </c>
      <c r="EB167" s="23" t="e">
        <f>EXP(-LN(2)/25)*EB166+(1-EXP(-LN(2)/25))/(LN(2)/25)*Calculateur!DW167*Calculateur!DY167*VLOOKUP('Données projet'!$B$14,Paramètres!$A$1:$I$88,3,0)*0.475*44/12</f>
        <v>#N/A</v>
      </c>
      <c r="EC167" s="23" t="e">
        <f>EXP(-LN(2)/2)*EC166+(1-EXP(-LN(2)/2))/(LN(2)/2)*DW167*DZ167*VLOOKUP('Données projet'!$B$14,Paramètres!$A$1:$I$88,3,0)*0.475*44/12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69.503884392426343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projet'!$B$15,Paramètres!$A$1:$I$88,3,0)*VLOOKUP('Données projet'!$B$15,Paramètres!$A$1:$I$88,5,0)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projet'!$B$15,Paramètres!$A$1:$I$88,7,0))</f>
        <v>0</v>
      </c>
      <c r="ET167" s="17">
        <f>IF(ISNA(VLOOKUP(A167,'Données projet'!$A$191:$I$211,6,0)),0%,VLOOKUP(A167,'Données projet'!$A$191:$I$211,6,0)*VLOOKUP('Données projet'!$B$15,Paramètres!$A$1:$I$88,7,0))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projet'!$B$15,Paramètres!$A$1:$I$88,3,0)*0.475*44/12</f>
        <v>#N/A</v>
      </c>
      <c r="EW167" s="23" t="e">
        <f>EXP(-LN(2)/25)*EW166+(1-EXP(-LN(2)/25))/(LN(2)/25)*Calculateur!ER167*Calculateur!ET167*VLOOKUP('Données projet'!$B$15,Paramètres!$A$1:$I$88,3,0)*0.475*44/12</f>
        <v>#N/A</v>
      </c>
      <c r="EX167" s="23" t="e">
        <f>EXP(-LN(2)/2)*EX166+(1-EXP(-LN(2)/2))/(LN(2)/2)*ER167*EU167*VLOOKUP('Données projet'!$B$15,Paramètres!$A$1:$I$88,3,0)*0.475*44/12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69.503884392426343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projet'!$B$16,Paramètres!$A$1:$I$88,3,0)*VLOOKUP('Données projet'!$B$16,Paramètres!$A$1:$I$88,5,0)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projet'!$B$16,Paramètres!$A$1:$I$88,7,0))</f>
        <v>0</v>
      </c>
      <c r="FO167" s="17">
        <f>IF(ISNA(VLOOKUP(A167,'Données projet'!$A$217:$I$237,6,0)),0%,VLOOKUP(A167,'Données projet'!$A$217:$I$237,6,0)*VLOOKUP('Données projet'!$B$16,Paramètres!$A$1:$I$88,7,0))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projet'!$B$16,Paramètres!$A$1:$I$88,3,0)*0.475*44/12</f>
        <v>#N/A</v>
      </c>
      <c r="FR167" s="23" t="e">
        <f>EXP(-LN(2)/25)*FR166+(1-EXP(-LN(2)/25))/(LN(2)/25)*Calculateur!FM167*Calculateur!FO167*VLOOKUP('Données projet'!$B$16,Paramètres!$A$1:$I$88,3,0)*0.475*44/12</f>
        <v>#N/A</v>
      </c>
      <c r="FS167" s="23" t="e">
        <f>EXP(-LN(2)/2)*FS166+(1-EXP(-LN(2)/2))/(LN(2)/2)*FM167*FP167*VLOOKUP('Données projet'!$B$16,Paramètres!$A$1:$I$88,3,0)*0.475*44/12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69.503884392426343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projet'!$B$17,Paramètres!$A$1:$I$88,3,0)*VLOOKUP('Données projet'!$B$17,Paramètres!$A$1:$I$88,5,0)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projet'!$B$17,Paramètres!$A$1:$I$88,7,0))</f>
        <v>0</v>
      </c>
      <c r="GJ167" s="17">
        <f>IF(ISNA(VLOOKUP(A167,'Données projet'!$A$243:$I$263,6,0)),0%,VLOOKUP(A167,'Données projet'!$A$243:$I$263,6,0)*VLOOKUP('Données projet'!$B$17,Paramètres!$A$1:$I$88,7,0))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projet'!$B$17,Paramètres!$A$1:$I$88,3,0)*0.475*44/12</f>
        <v>#N/A</v>
      </c>
      <c r="GM167" s="23" t="e">
        <f>EXP(-LN(2)/25)*GM166+(1-EXP(-LN(2)/25))/(LN(2)/25)*Calculateur!GH167*Calculateur!GJ167*VLOOKUP('Données projet'!$B$17,Paramètres!$A$1:$I$88,3,0)*0.475*44/12</f>
        <v>#N/A</v>
      </c>
      <c r="GN167" s="23" t="e">
        <f>EXP(-LN(2)/2)*GN166+(1-EXP(-LN(2)/2))/(LN(2)/2)*GH167*GK167*VLOOKUP('Données projet'!$B$17,Paramètres!$A$1:$I$88,3,0)*0.475*44/12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69.503884392426343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projet'!$B$18,Paramètres!$A$1:$I$88,3,0)*VLOOKUP('Données projet'!$B$18,Paramètres!$A$1:$I$88,5,0)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projet'!$B$18,Paramètres!$A$1:$I$88,7,0))</f>
        <v>0</v>
      </c>
      <c r="HE167" s="17">
        <f>IF(ISNA(VLOOKUP(A167,'Données projet'!$A$269:$I$289,6,0)),0%,VLOOKUP(A167,'Données projet'!$A$269:$I$289,6,0)*VLOOKUP('Données projet'!$B$18,Paramètres!$A$1:$I$88,7,0))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projet'!$B$18,Paramètres!$A$1:$I$88,3,0)*0.475*44/12</f>
        <v>#N/A</v>
      </c>
      <c r="HH167" s="23" t="e">
        <f>EXP(-LN(2)/25)*HH166+(1-EXP(-LN(2)/25))/(LN(2)/25)*Calculateur!HC167*Calculateur!HE167*VLOOKUP('Données projet'!$B$18,Paramètres!$A$1:$I$88,3,0)*0.475*44/12</f>
        <v>#N/A</v>
      </c>
      <c r="HI167" s="23" t="e">
        <f>EXP(-LN(2)/2)*HI166+(1-EXP(-LN(2)/2))/(LN(2)/2)*HC167*HF167*VLOOKUP('Données projet'!$B$18,Paramètres!$A$1:$I$88,3,0)*0.475*44/12</f>
        <v>#N/A</v>
      </c>
      <c r="HJ167" s="24" t="e">
        <f t="shared" si="190"/>
        <v>#N/A</v>
      </c>
    </row>
    <row r="168" spans="1:218" x14ac:dyDescent="0.35">
      <c r="A168" s="11">
        <f t="shared" si="161"/>
        <v>165</v>
      </c>
      <c r="B168" s="77">
        <f>'Scénario référence'!$B$16*5+'Scénario référence'!$B$17*0+'Scénario référence'!$B$18*5</f>
        <v>1.75</v>
      </c>
      <c r="C168" s="20">
        <f>Calculateur!C167+'Scénario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68" s="12">
        <f t="shared" si="140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6.416666666666667</v>
      </c>
      <c r="H168" s="70">
        <f t="shared" si="110"/>
        <v>231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69.512490889069397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3.4106051316484809E-13</v>
      </c>
      <c r="O168" s="14">
        <f>N168*VLOOKUP('Données projet'!$B$9,Paramètres!$A$1:$I$88,3,0)*VLOOKUP('Données projet'!$B$9,Paramètres!$A$1:$I$88,5,0)</f>
        <v>1.9065282685915009E-13</v>
      </c>
      <c r="P168" s="14">
        <f t="shared" si="141"/>
        <v>2.6568987209435707E-12</v>
      </c>
      <c r="Q168" s="22">
        <f t="shared" si="162"/>
        <v>4.959485612423072E-12</v>
      </c>
      <c r="R168" s="62">
        <f t="shared" si="109"/>
        <v>291.54579992659274</v>
      </c>
      <c r="S168" s="62">
        <f ca="1">AVERAGE(OFFSET($R$3,0,0,'Données projet'!$E$9+1,1))-AVERAGE(OFFSET($H$3,0,0,'Données projet'!$E$9+1,1))</f>
        <v>341.05096821796769</v>
      </c>
      <c r="T168" s="62">
        <f t="shared" si="142"/>
        <v>400.72519822215168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projet'!$B$9,Paramètres!$A$1:$I$88,7,0))</f>
        <v>0</v>
      </c>
      <c r="X168" s="17">
        <f>IF(ISNA(VLOOKUP(A168,'Données projet'!$A$35:$I$55,6,0)),0%,VLOOKUP(A168,'Données projet'!$A$35:$I$55,6,0)*VLOOKUP('Données projet'!$B$9,Paramètres!$A$1:$I$88,7,0))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projet'!$B$9,Paramètres!$A$1:$I$88,3,0)*0.475*44/12</f>
        <v>29.953180277816188</v>
      </c>
      <c r="AA168" s="23">
        <f>EXP(-LN(2)/25)*AA167+(1-EXP(-LN(2)/25))/(LN(2)/25)*Calculateur!V168*Calculateur!X168*VLOOKUP('Données projet'!$B$9,Paramètres!$A$1:$I$88,3,0)*0.475*44/12</f>
        <v>7.2105727043148153</v>
      </c>
      <c r="AB168" s="23">
        <f>EXP(-LN(2)/2)*AB167+(1-EXP(-LN(2)/2))/(LN(2)/2)*V168*Y168*VLOOKUP('Données projet'!$B$9,Paramètres!$A$1:$I$88,3,0)*0.475*44/12</f>
        <v>0</v>
      </c>
      <c r="AC168" s="24">
        <f t="shared" si="163"/>
        <v>37.163752982131001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69.512490889069397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5.6843418860808015E-14</v>
      </c>
      <c r="AJ168" s="14">
        <f>AI168*VLOOKUP('Données projet'!$B$10,Paramètres!$A$1:$I$88,3,0)*VLOOKUP('Données projet'!$B$10,Paramètres!$A$1:$I$88,5,0)</f>
        <v>3.3992364478763198E-14</v>
      </c>
      <c r="AK168" s="14">
        <f t="shared" si="164"/>
        <v>5.790027782444094E-13</v>
      </c>
      <c r="AL168" s="22">
        <f t="shared" si="165"/>
        <v>1.0676332069095257E-12</v>
      </c>
      <c r="AM168" s="62">
        <f t="shared" si="113"/>
        <v>291.54579992658887</v>
      </c>
      <c r="AN168" s="62">
        <f ca="1">AVERAGE(OFFSET($AM$3,0,0,'Données projet'!$E$10+1,1))-AVERAGE(OFFSET($H$3,0,0,'Données projet'!$E$10+1,1))</f>
        <v>231.96474801342879</v>
      </c>
      <c r="AO168" s="62">
        <f t="shared" si="144"/>
        <v>237.75726086383668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projet'!$B$10,Paramètres!$A$1:$I$88,7,0))</f>
        <v>0</v>
      </c>
      <c r="AS168" s="17">
        <f>IF(ISNA(VLOOKUP(A168,'Données projet'!$A$61:$I$81,6,0)),0%,VLOOKUP(A168,'Données projet'!$A$61:$I$81,6,0)*VLOOKUP('Données projet'!$B$10,Paramètres!$A$1:$I$88,7,0))</f>
        <v>0</v>
      </c>
      <c r="AT168" s="17">
        <f>IF(ISNA(VLOOKUP(A168,'Données projet'!$A$61:$I$81,7,0)),0%,VLOOKUP(A168,'Données projet'!$A$61:$I$81,7,0))</f>
        <v>0</v>
      </c>
      <c r="AU168" s="23">
        <f>EXP(-LN(2)/35)*AU167+(1-EXP(-LN(2)/35))/(LN(2)/35)*AQ168*AR168*VLOOKUP('Données projet'!$B$10,Paramètres!$A$1:$I$88,3,0)*0.475*44/12</f>
        <v>11.812022601092504</v>
      </c>
      <c r="AV168" s="23">
        <f>EXP(-LN(2)/25)*AV167+(1-EXP(-LN(2)/25))/(LN(2)/25)*Calculateur!AQ168*Calculateur!AS168*VLOOKUP('Données projet'!$B$10,Paramètres!$A$1:$I$88,3,0)*0.475*44/12</f>
        <v>3.0448425441119933</v>
      </c>
      <c r="AW168" s="23">
        <f>EXP(-LN(2)/2)*AW167+(1-EXP(-LN(2)/2))/(LN(2)/2)*AQ168*AT168*VLOOKUP('Données projet'!$B$10,Paramètres!$A$1:$I$88,3,0)*0.475*44/12</f>
        <v>0</v>
      </c>
      <c r="AX168" s="23">
        <f t="shared" si="166"/>
        <v>14.856865145204498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69.512490889069397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6.8212102632969618E-13</v>
      </c>
      <c r="BE168" s="14">
        <f>BD168*VLOOKUP('Données projet'!$B$11,Paramètres!$A$1:$I$88,3,0)*VLOOKUP('Données projet'!$B$11,Paramètres!$A$1:$I$88,5,0)</f>
        <v>3.1923264032229784E-13</v>
      </c>
      <c r="BF168" s="14">
        <f t="shared" si="167"/>
        <v>4.1896839804541558E-12</v>
      </c>
      <c r="BG168" s="22">
        <f t="shared" si="168"/>
        <v>7.8530297811856558E-12</v>
      </c>
      <c r="BH168" s="62">
        <f t="shared" si="116"/>
        <v>291.54579992659563</v>
      </c>
      <c r="BI168" s="62">
        <f ca="1">AVERAGE(OFFSET($BH$3,0,0,'Données projet'!$E$11+1,1))-AVERAGE(OFFSET($H$3,0,0,'Données projet'!$E$11+1,1))</f>
        <v>364.96458059055169</v>
      </c>
      <c r="BJ168" s="62">
        <f t="shared" si="146"/>
        <v>246.27159120786257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projet'!$B$11,Paramètres!$A$1:$I$88,7,0))</f>
        <v>0</v>
      </c>
      <c r="BN168" s="17">
        <f>IF(ISNA(VLOOKUP(A168,'Données projet'!$A$87:$I$107,6,0)),0%,VLOOKUP(A168,'Données projet'!$A$87:$I$107,6,0)*VLOOKUP('Données projet'!$B$11,Paramètres!$A$1:$I$88,7,0))</f>
        <v>0</v>
      </c>
      <c r="BO168" s="17">
        <f>IF(ISNA(VLOOKUP(A168,'Données projet'!$A$87:$I$107,7,0)),0%,VLOOKUP(A168,'Données projet'!$A$87:$I$107,7,0))</f>
        <v>0</v>
      </c>
      <c r="BP168" s="23">
        <f>EXP(-LN(2)/35)*BP167+(1-EXP(-LN(2)/35))/(LN(2)/35)*BL168*BM168*VLOOKUP('Données projet'!$B$11,Paramètres!$A$1:$I$88,3,0)*0.475*44/12</f>
        <v>65.710875597187481</v>
      </c>
      <c r="BQ168" s="23">
        <f>EXP(-LN(2)/25)*BQ167+(1-EXP(-LN(2)/25))/(LN(2)/25)*Calculateur!BL168*Calculateur!BN168*VLOOKUP('Données projet'!$B$11,Paramètres!$A$1:$I$88,3,0)*0.475*44/12</f>
        <v>16.625902708993621</v>
      </c>
      <c r="BR168" s="23">
        <f>EXP(-LN(2)/2)*BR167+(1-EXP(-LN(2)/2))/(LN(2)/2)*BL168*BO168*VLOOKUP('Données projet'!$B$11,Paramètres!$A$1:$I$88,3,0)*0.475*44/12</f>
        <v>0</v>
      </c>
      <c r="BS168" s="24">
        <f t="shared" si="169"/>
        <v>82.336778306181102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69.512490889069397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-1.1368683772161603E-13</v>
      </c>
      <c r="BZ168" s="14">
        <f>BY168*VLOOKUP('Données projet'!$B$12,Paramètres!$A$1:$I$88,3,0)*VLOOKUP('Données projet'!$B$12,Paramètres!$A$1:$I$88,5,0)</f>
        <v>-1.1527845344971866E-13</v>
      </c>
      <c r="CA168" s="14" t="e">
        <f t="shared" si="170"/>
        <v>#NUM!</v>
      </c>
      <c r="CB168" s="22" t="e">
        <f t="shared" si="171"/>
        <v>#NUM!</v>
      </c>
      <c r="CC168" s="62" t="e">
        <f t="shared" si="119"/>
        <v>#NUM!</v>
      </c>
      <c r="CD168" s="62">
        <f ca="1">AVERAGE(OFFSET($CC$3,0,0,'Données projet'!$E$12+1,1))-AVERAGE(OFFSET($H$3,0,0,'Données projet'!$E$12+1,1))</f>
        <v>310.53598044763282</v>
      </c>
      <c r="CE168" s="62">
        <f t="shared" si="148"/>
        <v>322.01096634040596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projet'!$B$12,Paramètres!$A$1:$I$88,7,0))</f>
        <v>0</v>
      </c>
      <c r="CI168" s="17">
        <f>IF(ISNA(VLOOKUP(A168,'Données projet'!$A$113:$I$133,6,0)),0%,VLOOKUP(A168,'Données projet'!$A$113:$I$133,6,0)*VLOOKUP('Données projet'!$B$12,Paramètres!$A$1:$I$88,7,0))</f>
        <v>0</v>
      </c>
      <c r="CJ168" s="17">
        <f>IF(ISNA(VLOOKUP(A168,'Données projet'!$A$113:$I$133,7,0)),0%,VLOOKUP(A168,'Données projet'!$A$113:$I$133,7,0))</f>
        <v>0</v>
      </c>
      <c r="CK168" s="23">
        <f>EXP(-LN(2)/35)*CK167+(1-EXP(-LN(2)/35))/(LN(2)/35)*CG168*CH168*VLOOKUP('Données projet'!$B$12,Paramètres!$A$1:$I$88,3,0)*0.475*44/12</f>
        <v>9.0376349780830765</v>
      </c>
      <c r="CL168" s="23">
        <f>EXP(-LN(2)/25)*CL167+(1-EXP(-LN(2)/25))/(LN(2)/25)*Calculateur!CG168*Calculateur!CI168*VLOOKUP('Données projet'!$B$12,Paramètres!$A$1:$I$88,3,0)*0.475*44/12</f>
        <v>0</v>
      </c>
      <c r="CM168" s="23">
        <f>EXP(-LN(2)/2)*CM167+(1-EXP(-LN(2)/2))/(LN(2)/2)*CG168*CJ168*VLOOKUP('Données projet'!$B$12,Paramètres!$A$1:$I$88,3,0)*0.475*44/12</f>
        <v>0</v>
      </c>
      <c r="CN168" s="24">
        <f t="shared" si="172"/>
        <v>9.0376349780830765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69.512490889069397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projet'!$B$13,Paramètres!$A$1:$I$88,3,0)*VLOOKUP('Données projet'!$B$13,Paramètres!$A$1:$I$88,5,0)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projet'!$B$13,Paramètres!$A$1:$I$88,7,0))</f>
        <v>0</v>
      </c>
      <c r="DD168" s="17">
        <f>IF(ISNA(VLOOKUP(A168,'Données projet'!$A$139:$I$159,6,0)),0%,VLOOKUP(A168,'Données projet'!$A$139:$I$159,6,0)*VLOOKUP('Données projet'!$B$13,Paramètres!$A$1:$I$88,7,0))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projet'!$B$13,Paramètres!$A$1:$I$88,3,0)*0.475*44/12</f>
        <v>#N/A</v>
      </c>
      <c r="DG168" s="23" t="e">
        <f>EXP(-LN(2)/25)*DG167+(1-EXP(-LN(2)/25))/(LN(2)/25)*Calculateur!DB168*Calculateur!DD168*VLOOKUP('Données projet'!$B$13,Paramètres!$A$1:$I$88,3,0)*0.475*44/12</f>
        <v>#N/A</v>
      </c>
      <c r="DH168" s="23" t="e">
        <f>EXP(-LN(2)/2)*DH167+(1-EXP(-LN(2)/2))/(LN(2)/2)*DB168*DE168*VLOOKUP('Données projet'!$B$13,Paramètres!$A$1:$I$88,3,0)*0.475*44/12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69.512490889069397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projet'!$B$14,Paramètres!$A$1:$I$88,3,0)*VLOOKUP('Données projet'!$B$14,Paramètres!$A$1:$I$88,5,0)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projet'!$B$14,Paramètres!$A$1:$I$88,7,0))</f>
        <v>0</v>
      </c>
      <c r="DY168" s="17">
        <f>IF(ISNA(VLOOKUP(A168,'Données projet'!$A$165:$I$185,6,0)),0%,VLOOKUP(A168,'Données projet'!$A$165:$I$185,6,0)*VLOOKUP('Données projet'!$B$14,Paramètres!$A$1:$I$88,7,0))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projet'!$B$14,Paramètres!$A$1:$I$88,3,0)*0.475*44/12</f>
        <v>#N/A</v>
      </c>
      <c r="EB168" s="23" t="e">
        <f>EXP(-LN(2)/25)*EB167+(1-EXP(-LN(2)/25))/(LN(2)/25)*Calculateur!DW168*Calculateur!DY168*VLOOKUP('Données projet'!$B$14,Paramètres!$A$1:$I$88,3,0)*0.475*44/12</f>
        <v>#N/A</v>
      </c>
      <c r="EC168" s="23" t="e">
        <f>EXP(-LN(2)/2)*EC167+(1-EXP(-LN(2)/2))/(LN(2)/2)*DW168*DZ168*VLOOKUP('Données projet'!$B$14,Paramètres!$A$1:$I$88,3,0)*0.475*44/12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69.512490889069397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projet'!$B$15,Paramètres!$A$1:$I$88,3,0)*VLOOKUP('Données projet'!$B$15,Paramètres!$A$1:$I$88,5,0)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projet'!$B$15,Paramètres!$A$1:$I$88,7,0))</f>
        <v>0</v>
      </c>
      <c r="ET168" s="17">
        <f>IF(ISNA(VLOOKUP(A168,'Données projet'!$A$191:$I$211,6,0)),0%,VLOOKUP(A168,'Données projet'!$A$191:$I$211,6,0)*VLOOKUP('Données projet'!$B$15,Paramètres!$A$1:$I$88,7,0))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projet'!$B$15,Paramètres!$A$1:$I$88,3,0)*0.475*44/12</f>
        <v>#N/A</v>
      </c>
      <c r="EW168" s="23" t="e">
        <f>EXP(-LN(2)/25)*EW167+(1-EXP(-LN(2)/25))/(LN(2)/25)*Calculateur!ER168*Calculateur!ET168*VLOOKUP('Données projet'!$B$15,Paramètres!$A$1:$I$88,3,0)*0.475*44/12</f>
        <v>#N/A</v>
      </c>
      <c r="EX168" s="23" t="e">
        <f>EXP(-LN(2)/2)*EX167+(1-EXP(-LN(2)/2))/(LN(2)/2)*ER168*EU168*VLOOKUP('Données projet'!$B$15,Paramètres!$A$1:$I$88,3,0)*0.475*44/12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69.512490889069397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projet'!$B$16,Paramètres!$A$1:$I$88,3,0)*VLOOKUP('Données projet'!$B$16,Paramètres!$A$1:$I$88,5,0)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projet'!$B$16,Paramètres!$A$1:$I$88,7,0))</f>
        <v>0</v>
      </c>
      <c r="FO168" s="17">
        <f>IF(ISNA(VLOOKUP(A168,'Données projet'!$A$217:$I$237,6,0)),0%,VLOOKUP(A168,'Données projet'!$A$217:$I$237,6,0)*VLOOKUP('Données projet'!$B$16,Paramètres!$A$1:$I$88,7,0))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projet'!$B$16,Paramètres!$A$1:$I$88,3,0)*0.475*44/12</f>
        <v>#N/A</v>
      </c>
      <c r="FR168" s="23" t="e">
        <f>EXP(-LN(2)/25)*FR167+(1-EXP(-LN(2)/25))/(LN(2)/25)*Calculateur!FM168*Calculateur!FO168*VLOOKUP('Données projet'!$B$16,Paramètres!$A$1:$I$88,3,0)*0.475*44/12</f>
        <v>#N/A</v>
      </c>
      <c r="FS168" s="23" t="e">
        <f>EXP(-LN(2)/2)*FS167+(1-EXP(-LN(2)/2))/(LN(2)/2)*FM168*FP168*VLOOKUP('Données projet'!$B$16,Paramètres!$A$1:$I$88,3,0)*0.475*44/12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69.512490889069397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projet'!$B$17,Paramètres!$A$1:$I$88,3,0)*VLOOKUP('Données projet'!$B$17,Paramètres!$A$1:$I$88,5,0)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projet'!$B$17,Paramètres!$A$1:$I$88,7,0))</f>
        <v>0</v>
      </c>
      <c r="GJ168" s="17">
        <f>IF(ISNA(VLOOKUP(A168,'Données projet'!$A$243:$I$263,6,0)),0%,VLOOKUP(A168,'Données projet'!$A$243:$I$263,6,0)*VLOOKUP('Données projet'!$B$17,Paramètres!$A$1:$I$88,7,0))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projet'!$B$17,Paramètres!$A$1:$I$88,3,0)*0.475*44/12</f>
        <v>#N/A</v>
      </c>
      <c r="GM168" s="23" t="e">
        <f>EXP(-LN(2)/25)*GM167+(1-EXP(-LN(2)/25))/(LN(2)/25)*Calculateur!GH168*Calculateur!GJ168*VLOOKUP('Données projet'!$B$17,Paramètres!$A$1:$I$88,3,0)*0.475*44/12</f>
        <v>#N/A</v>
      </c>
      <c r="GN168" s="23" t="e">
        <f>EXP(-LN(2)/2)*GN167+(1-EXP(-LN(2)/2))/(LN(2)/2)*GH168*GK168*VLOOKUP('Données projet'!$B$17,Paramètres!$A$1:$I$88,3,0)*0.475*44/12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69.512490889069397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projet'!$B$18,Paramètres!$A$1:$I$88,3,0)*VLOOKUP('Données projet'!$B$18,Paramètres!$A$1:$I$88,5,0)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projet'!$B$18,Paramètres!$A$1:$I$88,7,0))</f>
        <v>0</v>
      </c>
      <c r="HE168" s="17">
        <f>IF(ISNA(VLOOKUP(A168,'Données projet'!$A$269:$I$289,6,0)),0%,VLOOKUP(A168,'Données projet'!$A$269:$I$289,6,0)*VLOOKUP('Données projet'!$B$18,Paramètres!$A$1:$I$88,7,0))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projet'!$B$18,Paramètres!$A$1:$I$88,3,0)*0.475*44/12</f>
        <v>#N/A</v>
      </c>
      <c r="HH168" s="23" t="e">
        <f>EXP(-LN(2)/25)*HH167+(1-EXP(-LN(2)/25))/(LN(2)/25)*Calculateur!HC168*Calculateur!HE168*VLOOKUP('Données projet'!$B$18,Paramètres!$A$1:$I$88,3,0)*0.475*44/12</f>
        <v>#N/A</v>
      </c>
      <c r="HI168" s="23" t="e">
        <f>EXP(-LN(2)/2)*HI167+(1-EXP(-LN(2)/2))/(LN(2)/2)*HC168*HF168*VLOOKUP('Données projet'!$B$18,Paramètres!$A$1:$I$88,3,0)*0.475*44/12</f>
        <v>#N/A</v>
      </c>
      <c r="HJ168" s="24" t="e">
        <f t="shared" si="190"/>
        <v>#N/A</v>
      </c>
    </row>
    <row r="169" spans="1:218" x14ac:dyDescent="0.35">
      <c r="A169" s="11">
        <f t="shared" si="161"/>
        <v>166</v>
      </c>
      <c r="B169" s="77">
        <f>'Scénario référence'!$B$16*5+'Scénario référence'!$B$17*0+'Scénario référence'!$B$18*5</f>
        <v>1.75</v>
      </c>
      <c r="C169" s="20">
        <f>Calculateur!C168+'Scénario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69" s="12">
        <f t="shared" si="140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6.416666666666667</v>
      </c>
      <c r="H169" s="70">
        <f t="shared" si="110"/>
        <v>231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69.520948082236956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3.4106051316484809E-13</v>
      </c>
      <c r="O169" s="14">
        <f>N169*VLOOKUP('Données projet'!$B$9,Paramètres!$A$1:$I$88,3,0)*VLOOKUP('Données projet'!$B$9,Paramètres!$A$1:$I$88,5,0)</f>
        <v>1.9065282685915009E-13</v>
      </c>
      <c r="P169" s="14">
        <f t="shared" si="141"/>
        <v>2.6568987209435707E-12</v>
      </c>
      <c r="Q169" s="22">
        <f t="shared" si="162"/>
        <v>4.959485612423072E-12</v>
      </c>
      <c r="R169" s="62">
        <f t="shared" si="109"/>
        <v>291.57680963487377</v>
      </c>
      <c r="S169" s="62">
        <f ca="1">AVERAGE(OFFSET($R$3,0,0,'Données projet'!$E$9+1,1))-AVERAGE(OFFSET($H$3,0,0,'Données projet'!$E$9+1,1))</f>
        <v>341.05096821796769</v>
      </c>
      <c r="T169" s="62">
        <f t="shared" si="142"/>
        <v>400.72519822215168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projet'!$B$9,Paramètres!$A$1:$I$88,7,0))</f>
        <v>0</v>
      </c>
      <c r="X169" s="17">
        <f>IF(ISNA(VLOOKUP(A169,'Données projet'!$A$35:$I$55,6,0)),0%,VLOOKUP(A169,'Données projet'!$A$35:$I$55,6,0)*VLOOKUP('Données projet'!$B$9,Paramètres!$A$1:$I$88,7,0))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projet'!$B$9,Paramètres!$A$1:$I$88,3,0)*0.475*44/12</f>
        <v>29.365816682204205</v>
      </c>
      <c r="AA169" s="23">
        <f>EXP(-LN(2)/25)*AA168+(1-EXP(-LN(2)/25))/(LN(2)/25)*Calculateur!V169*Calculateur!X169*VLOOKUP('Données projet'!$B$9,Paramètres!$A$1:$I$88,3,0)*0.475*44/12</f>
        <v>7.0133992145277881</v>
      </c>
      <c r="AB169" s="23">
        <f>EXP(-LN(2)/2)*AB168+(1-EXP(-LN(2)/2))/(LN(2)/2)*V169*Y169*VLOOKUP('Données projet'!$B$9,Paramètres!$A$1:$I$88,3,0)*0.475*44/12</f>
        <v>0</v>
      </c>
      <c r="AC169" s="24">
        <f t="shared" si="163"/>
        <v>36.379215896731992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69.520948082236956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5.6843418860808015E-14</v>
      </c>
      <c r="AJ169" s="14">
        <f>AI169*VLOOKUP('Données projet'!$B$10,Paramètres!$A$1:$I$88,3,0)*VLOOKUP('Données projet'!$B$10,Paramètres!$A$1:$I$88,5,0)</f>
        <v>3.3992364478763198E-14</v>
      </c>
      <c r="AK169" s="14">
        <f t="shared" si="164"/>
        <v>5.790027782444094E-13</v>
      </c>
      <c r="AL169" s="22">
        <f t="shared" si="165"/>
        <v>1.0676332069095257E-12</v>
      </c>
      <c r="AM169" s="62">
        <f t="shared" si="113"/>
        <v>291.5768096348699</v>
      </c>
      <c r="AN169" s="62">
        <f ca="1">AVERAGE(OFFSET($AM$3,0,0,'Données projet'!$E$10+1,1))-AVERAGE(OFFSET($H$3,0,0,'Données projet'!$E$10+1,1))</f>
        <v>231.96474801342879</v>
      </c>
      <c r="AO169" s="62">
        <f t="shared" si="144"/>
        <v>237.75726086383668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projet'!$B$10,Paramètres!$A$1:$I$88,7,0))</f>
        <v>0</v>
      </c>
      <c r="AS169" s="17">
        <f>IF(ISNA(VLOOKUP(A169,'Données projet'!$A$61:$I$81,6,0)),0%,VLOOKUP(A169,'Données projet'!$A$61:$I$81,6,0)*VLOOKUP('Données projet'!$B$10,Paramètres!$A$1:$I$88,7,0))</f>
        <v>0</v>
      </c>
      <c r="AT169" s="17">
        <f>IF(ISNA(VLOOKUP(A169,'Données projet'!$A$61:$I$81,7,0)),0%,VLOOKUP(A169,'Données projet'!$A$61:$I$81,7,0))</f>
        <v>0</v>
      </c>
      <c r="AU169" s="23">
        <f>EXP(-LN(2)/35)*AU168+(1-EXP(-LN(2)/35))/(LN(2)/35)*AQ169*AR169*VLOOKUP('Données projet'!$B$10,Paramètres!$A$1:$I$88,3,0)*0.475*44/12</f>
        <v>11.58039604250747</v>
      </c>
      <c r="AV169" s="23">
        <f>EXP(-LN(2)/25)*AV168+(1-EXP(-LN(2)/25))/(LN(2)/25)*Calculateur!AQ169*Calculateur!AS169*VLOOKUP('Données projet'!$B$10,Paramètres!$A$1:$I$88,3,0)*0.475*44/12</f>
        <v>2.9615811646219403</v>
      </c>
      <c r="AW169" s="23">
        <f>EXP(-LN(2)/2)*AW168+(1-EXP(-LN(2)/2))/(LN(2)/2)*AQ169*AT169*VLOOKUP('Données projet'!$B$10,Paramètres!$A$1:$I$88,3,0)*0.475*44/12</f>
        <v>0</v>
      </c>
      <c r="AX169" s="23">
        <f t="shared" si="166"/>
        <v>14.54197720712941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69.520948082236956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6.8212102632969618E-13</v>
      </c>
      <c r="BE169" s="14">
        <f>BD169*VLOOKUP('Données projet'!$B$11,Paramètres!$A$1:$I$88,3,0)*VLOOKUP('Données projet'!$B$11,Paramètres!$A$1:$I$88,5,0)</f>
        <v>3.1923264032229784E-13</v>
      </c>
      <c r="BF169" s="14">
        <f t="shared" si="167"/>
        <v>4.1896839804541558E-12</v>
      </c>
      <c r="BG169" s="22">
        <f t="shared" si="168"/>
        <v>7.8530297811856558E-12</v>
      </c>
      <c r="BH169" s="62">
        <f t="shared" si="116"/>
        <v>291.57680963487667</v>
      </c>
      <c r="BI169" s="62">
        <f ca="1">AVERAGE(OFFSET($BH$3,0,0,'Données projet'!$E$11+1,1))-AVERAGE(OFFSET($H$3,0,0,'Données projet'!$E$11+1,1))</f>
        <v>364.96458059055169</v>
      </c>
      <c r="BJ169" s="62">
        <f t="shared" si="146"/>
        <v>246.27159120786257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projet'!$B$11,Paramètres!$A$1:$I$88,7,0))</f>
        <v>0</v>
      </c>
      <c r="BN169" s="17">
        <f>IF(ISNA(VLOOKUP(A169,'Données projet'!$A$87:$I$107,6,0)),0%,VLOOKUP(A169,'Données projet'!$A$87:$I$107,6,0)*VLOOKUP('Données projet'!$B$11,Paramètres!$A$1:$I$88,7,0))</f>
        <v>0</v>
      </c>
      <c r="BO169" s="17">
        <f>IF(ISNA(VLOOKUP(A169,'Données projet'!$A$87:$I$107,7,0)),0%,VLOOKUP(A169,'Données projet'!$A$87:$I$107,7,0))</f>
        <v>0</v>
      </c>
      <c r="BP169" s="23">
        <f>EXP(-LN(2)/35)*BP168+(1-EXP(-LN(2)/35))/(LN(2)/35)*BL169*BM169*VLOOKUP('Données projet'!$B$11,Paramètres!$A$1:$I$88,3,0)*0.475*44/12</f>
        <v>64.422325406403203</v>
      </c>
      <c r="BQ169" s="23">
        <f>EXP(-LN(2)/25)*BQ168+(1-EXP(-LN(2)/25))/(LN(2)/25)*Calculateur!BL169*Calculateur!BN169*VLOOKUP('Données projet'!$B$11,Paramètres!$A$1:$I$88,3,0)*0.475*44/12</f>
        <v>16.171266525097966</v>
      </c>
      <c r="BR169" s="23">
        <f>EXP(-LN(2)/2)*BR168+(1-EXP(-LN(2)/2))/(LN(2)/2)*BL169*BO169*VLOOKUP('Données projet'!$B$11,Paramètres!$A$1:$I$88,3,0)*0.475*44/12</f>
        <v>0</v>
      </c>
      <c r="BS169" s="24">
        <f t="shared" si="169"/>
        <v>80.593591931501166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69.520948082236956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-1.1368683772161603E-13</v>
      </c>
      <c r="BZ169" s="14">
        <f>BY169*VLOOKUP('Données projet'!$B$12,Paramètres!$A$1:$I$88,3,0)*VLOOKUP('Données projet'!$B$12,Paramètres!$A$1:$I$88,5,0)</f>
        <v>-1.1527845344971866E-13</v>
      </c>
      <c r="CA169" s="14" t="e">
        <f t="shared" si="170"/>
        <v>#NUM!</v>
      </c>
      <c r="CB169" s="22" t="e">
        <f t="shared" si="171"/>
        <v>#NUM!</v>
      </c>
      <c r="CC169" s="62" t="e">
        <f t="shared" si="119"/>
        <v>#NUM!</v>
      </c>
      <c r="CD169" s="62">
        <f ca="1">AVERAGE(OFFSET($CC$3,0,0,'Données projet'!$E$12+1,1))-AVERAGE(OFFSET($H$3,0,0,'Données projet'!$E$12+1,1))</f>
        <v>310.53598044763282</v>
      </c>
      <c r="CE169" s="62">
        <f t="shared" si="148"/>
        <v>322.01096634040596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projet'!$B$12,Paramètres!$A$1:$I$88,7,0))</f>
        <v>0</v>
      </c>
      <c r="CI169" s="17">
        <f>IF(ISNA(VLOOKUP(A169,'Données projet'!$A$113:$I$133,6,0)),0%,VLOOKUP(A169,'Données projet'!$A$113:$I$133,6,0)*VLOOKUP('Données projet'!$B$12,Paramètres!$A$1:$I$88,7,0))</f>
        <v>0</v>
      </c>
      <c r="CJ169" s="17">
        <f>IF(ISNA(VLOOKUP(A169,'Données projet'!$A$113:$I$133,7,0)),0%,VLOOKUP(A169,'Données projet'!$A$113:$I$133,7,0))</f>
        <v>0</v>
      </c>
      <c r="CK169" s="23">
        <f>EXP(-LN(2)/35)*CK168+(1-EXP(-LN(2)/35))/(LN(2)/35)*CG169*CH169*VLOOKUP('Données projet'!$B$12,Paramètres!$A$1:$I$88,3,0)*0.475*44/12</f>
        <v>8.8604124685758983</v>
      </c>
      <c r="CL169" s="23">
        <f>EXP(-LN(2)/25)*CL168+(1-EXP(-LN(2)/25))/(LN(2)/25)*Calculateur!CG169*Calculateur!CI169*VLOOKUP('Données projet'!$B$12,Paramètres!$A$1:$I$88,3,0)*0.475*44/12</f>
        <v>0</v>
      </c>
      <c r="CM169" s="23">
        <f>EXP(-LN(2)/2)*CM168+(1-EXP(-LN(2)/2))/(LN(2)/2)*CG169*CJ169*VLOOKUP('Données projet'!$B$12,Paramètres!$A$1:$I$88,3,0)*0.475*44/12</f>
        <v>0</v>
      </c>
      <c r="CN169" s="24">
        <f t="shared" si="172"/>
        <v>8.8604124685758983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69.520948082236956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projet'!$B$13,Paramètres!$A$1:$I$88,3,0)*VLOOKUP('Données projet'!$B$13,Paramètres!$A$1:$I$88,5,0)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projet'!$B$13,Paramètres!$A$1:$I$88,7,0))</f>
        <v>0</v>
      </c>
      <c r="DD169" s="17">
        <f>IF(ISNA(VLOOKUP(A169,'Données projet'!$A$139:$I$159,6,0)),0%,VLOOKUP(A169,'Données projet'!$A$139:$I$159,6,0)*VLOOKUP('Données projet'!$B$13,Paramètres!$A$1:$I$88,7,0))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projet'!$B$13,Paramètres!$A$1:$I$88,3,0)*0.475*44/12</f>
        <v>#N/A</v>
      </c>
      <c r="DG169" s="23" t="e">
        <f>EXP(-LN(2)/25)*DG168+(1-EXP(-LN(2)/25))/(LN(2)/25)*Calculateur!DB169*Calculateur!DD169*VLOOKUP('Données projet'!$B$13,Paramètres!$A$1:$I$88,3,0)*0.475*44/12</f>
        <v>#N/A</v>
      </c>
      <c r="DH169" s="23" t="e">
        <f>EXP(-LN(2)/2)*DH168+(1-EXP(-LN(2)/2))/(LN(2)/2)*DB169*DE169*VLOOKUP('Données projet'!$B$13,Paramètres!$A$1:$I$88,3,0)*0.475*44/12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69.520948082236956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projet'!$B$14,Paramètres!$A$1:$I$88,3,0)*VLOOKUP('Données projet'!$B$14,Paramètres!$A$1:$I$88,5,0)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projet'!$B$14,Paramètres!$A$1:$I$88,7,0))</f>
        <v>0</v>
      </c>
      <c r="DY169" s="17">
        <f>IF(ISNA(VLOOKUP(A169,'Données projet'!$A$165:$I$185,6,0)),0%,VLOOKUP(A169,'Données projet'!$A$165:$I$185,6,0)*VLOOKUP('Données projet'!$B$14,Paramètres!$A$1:$I$88,7,0))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projet'!$B$14,Paramètres!$A$1:$I$88,3,0)*0.475*44/12</f>
        <v>#N/A</v>
      </c>
      <c r="EB169" s="23" t="e">
        <f>EXP(-LN(2)/25)*EB168+(1-EXP(-LN(2)/25))/(LN(2)/25)*Calculateur!DW169*Calculateur!DY169*VLOOKUP('Données projet'!$B$14,Paramètres!$A$1:$I$88,3,0)*0.475*44/12</f>
        <v>#N/A</v>
      </c>
      <c r="EC169" s="23" t="e">
        <f>EXP(-LN(2)/2)*EC168+(1-EXP(-LN(2)/2))/(LN(2)/2)*DW169*DZ169*VLOOKUP('Données projet'!$B$14,Paramètres!$A$1:$I$88,3,0)*0.475*44/12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69.520948082236956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projet'!$B$15,Paramètres!$A$1:$I$88,3,0)*VLOOKUP('Données projet'!$B$15,Paramètres!$A$1:$I$88,5,0)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projet'!$B$15,Paramètres!$A$1:$I$88,7,0))</f>
        <v>0</v>
      </c>
      <c r="ET169" s="17">
        <f>IF(ISNA(VLOOKUP(A169,'Données projet'!$A$191:$I$211,6,0)),0%,VLOOKUP(A169,'Données projet'!$A$191:$I$211,6,0)*VLOOKUP('Données projet'!$B$15,Paramètres!$A$1:$I$88,7,0))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projet'!$B$15,Paramètres!$A$1:$I$88,3,0)*0.475*44/12</f>
        <v>#N/A</v>
      </c>
      <c r="EW169" s="23" t="e">
        <f>EXP(-LN(2)/25)*EW168+(1-EXP(-LN(2)/25))/(LN(2)/25)*Calculateur!ER169*Calculateur!ET169*VLOOKUP('Données projet'!$B$15,Paramètres!$A$1:$I$88,3,0)*0.475*44/12</f>
        <v>#N/A</v>
      </c>
      <c r="EX169" s="23" t="e">
        <f>EXP(-LN(2)/2)*EX168+(1-EXP(-LN(2)/2))/(LN(2)/2)*ER169*EU169*VLOOKUP('Données projet'!$B$15,Paramètres!$A$1:$I$88,3,0)*0.475*44/12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69.520948082236956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projet'!$B$16,Paramètres!$A$1:$I$88,3,0)*VLOOKUP('Données projet'!$B$16,Paramètres!$A$1:$I$88,5,0)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projet'!$B$16,Paramètres!$A$1:$I$88,7,0))</f>
        <v>0</v>
      </c>
      <c r="FO169" s="17">
        <f>IF(ISNA(VLOOKUP(A169,'Données projet'!$A$217:$I$237,6,0)),0%,VLOOKUP(A169,'Données projet'!$A$217:$I$237,6,0)*VLOOKUP('Données projet'!$B$16,Paramètres!$A$1:$I$88,7,0))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projet'!$B$16,Paramètres!$A$1:$I$88,3,0)*0.475*44/12</f>
        <v>#N/A</v>
      </c>
      <c r="FR169" s="23" t="e">
        <f>EXP(-LN(2)/25)*FR168+(1-EXP(-LN(2)/25))/(LN(2)/25)*Calculateur!FM169*Calculateur!FO169*VLOOKUP('Données projet'!$B$16,Paramètres!$A$1:$I$88,3,0)*0.475*44/12</f>
        <v>#N/A</v>
      </c>
      <c r="FS169" s="23" t="e">
        <f>EXP(-LN(2)/2)*FS168+(1-EXP(-LN(2)/2))/(LN(2)/2)*FM169*FP169*VLOOKUP('Données projet'!$B$16,Paramètres!$A$1:$I$88,3,0)*0.475*44/12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69.520948082236956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projet'!$B$17,Paramètres!$A$1:$I$88,3,0)*VLOOKUP('Données projet'!$B$17,Paramètres!$A$1:$I$88,5,0)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projet'!$B$17,Paramètres!$A$1:$I$88,7,0))</f>
        <v>0</v>
      </c>
      <c r="GJ169" s="17">
        <f>IF(ISNA(VLOOKUP(A169,'Données projet'!$A$243:$I$263,6,0)),0%,VLOOKUP(A169,'Données projet'!$A$243:$I$263,6,0)*VLOOKUP('Données projet'!$B$17,Paramètres!$A$1:$I$88,7,0))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projet'!$B$17,Paramètres!$A$1:$I$88,3,0)*0.475*44/12</f>
        <v>#N/A</v>
      </c>
      <c r="GM169" s="23" t="e">
        <f>EXP(-LN(2)/25)*GM168+(1-EXP(-LN(2)/25))/(LN(2)/25)*Calculateur!GH169*Calculateur!GJ169*VLOOKUP('Données projet'!$B$17,Paramètres!$A$1:$I$88,3,0)*0.475*44/12</f>
        <v>#N/A</v>
      </c>
      <c r="GN169" s="23" t="e">
        <f>EXP(-LN(2)/2)*GN168+(1-EXP(-LN(2)/2))/(LN(2)/2)*GH169*GK169*VLOOKUP('Données projet'!$B$17,Paramètres!$A$1:$I$88,3,0)*0.475*44/12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69.520948082236956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projet'!$B$18,Paramètres!$A$1:$I$88,3,0)*VLOOKUP('Données projet'!$B$18,Paramètres!$A$1:$I$88,5,0)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projet'!$B$18,Paramètres!$A$1:$I$88,7,0))</f>
        <v>0</v>
      </c>
      <c r="HE169" s="17">
        <f>IF(ISNA(VLOOKUP(A169,'Données projet'!$A$269:$I$289,6,0)),0%,VLOOKUP(A169,'Données projet'!$A$269:$I$289,6,0)*VLOOKUP('Données projet'!$B$18,Paramètres!$A$1:$I$88,7,0))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projet'!$B$18,Paramètres!$A$1:$I$88,3,0)*0.475*44/12</f>
        <v>#N/A</v>
      </c>
      <c r="HH169" s="23" t="e">
        <f>EXP(-LN(2)/25)*HH168+(1-EXP(-LN(2)/25))/(LN(2)/25)*Calculateur!HC169*Calculateur!HE169*VLOOKUP('Données projet'!$B$18,Paramètres!$A$1:$I$88,3,0)*0.475*44/12</f>
        <v>#N/A</v>
      </c>
      <c r="HI169" s="23" t="e">
        <f>EXP(-LN(2)/2)*HI168+(1-EXP(-LN(2)/2))/(LN(2)/2)*HC169*HF169*VLOOKUP('Données projet'!$B$18,Paramètres!$A$1:$I$88,3,0)*0.475*44/12</f>
        <v>#N/A</v>
      </c>
      <c r="HJ169" s="24" t="e">
        <f t="shared" si="190"/>
        <v>#N/A</v>
      </c>
    </row>
    <row r="170" spans="1:218" x14ac:dyDescent="0.35">
      <c r="A170" s="11">
        <f t="shared" si="161"/>
        <v>167</v>
      </c>
      <c r="B170" s="77">
        <f>'Scénario référence'!$B$16*5+'Scénario référence'!$B$17*0+'Scénario référence'!$B$18*5</f>
        <v>1.75</v>
      </c>
      <c r="C170" s="20">
        <f>Calculateur!C169+'Scénario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70" s="12">
        <f t="shared" si="140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6.416666666666667</v>
      </c>
      <c r="H170" s="70">
        <f t="shared" si="110"/>
        <v>231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69.529258562010511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3.4106051316484809E-13</v>
      </c>
      <c r="O170" s="14">
        <f>N170*VLOOKUP('Données projet'!$B$9,Paramètres!$A$1:$I$88,3,0)*VLOOKUP('Données projet'!$B$9,Paramètres!$A$1:$I$88,5,0)</f>
        <v>1.9065282685915009E-13</v>
      </c>
      <c r="P170" s="14">
        <f t="shared" si="141"/>
        <v>2.6568987209435707E-12</v>
      </c>
      <c r="Q170" s="22">
        <f t="shared" si="162"/>
        <v>4.959485612423072E-12</v>
      </c>
      <c r="R170" s="62">
        <f t="shared" si="109"/>
        <v>291.60728139404353</v>
      </c>
      <c r="S170" s="62">
        <f ca="1">AVERAGE(OFFSET($R$3,0,0,'Données projet'!$E$9+1,1))-AVERAGE(OFFSET($H$3,0,0,'Données projet'!$E$9+1,1))</f>
        <v>341.05096821796769</v>
      </c>
      <c r="T170" s="62">
        <f t="shared" si="142"/>
        <v>400.72519822215168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projet'!$B$9,Paramètres!$A$1:$I$88,7,0))</f>
        <v>0</v>
      </c>
      <c r="X170" s="17">
        <f>IF(ISNA(VLOOKUP(A170,'Données projet'!$A$35:$I$55,6,0)),0%,VLOOKUP(A170,'Données projet'!$A$35:$I$55,6,0)*VLOOKUP('Données projet'!$B$9,Paramètres!$A$1:$I$88,7,0))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projet'!$B$9,Paramètres!$A$1:$I$88,3,0)*0.475*44/12</f>
        <v>28.789970928445754</v>
      </c>
      <c r="AA170" s="23">
        <f>EXP(-LN(2)/25)*AA169+(1-EXP(-LN(2)/25))/(LN(2)/25)*Calculateur!V170*Calculateur!X170*VLOOKUP('Données projet'!$B$9,Paramètres!$A$1:$I$88,3,0)*0.475*44/12</f>
        <v>6.8216174441878907</v>
      </c>
      <c r="AB170" s="23">
        <f>EXP(-LN(2)/2)*AB169+(1-EXP(-LN(2)/2))/(LN(2)/2)*V170*Y170*VLOOKUP('Données projet'!$B$9,Paramètres!$A$1:$I$88,3,0)*0.475*44/12</f>
        <v>0</v>
      </c>
      <c r="AC170" s="24">
        <f t="shared" si="163"/>
        <v>35.611588372633648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69.529258562010511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5.6843418860808015E-14</v>
      </c>
      <c r="AJ170" s="14">
        <f>AI170*VLOOKUP('Données projet'!$B$10,Paramètres!$A$1:$I$88,3,0)*VLOOKUP('Données projet'!$B$10,Paramètres!$A$1:$I$88,5,0)</f>
        <v>3.3992364478763198E-14</v>
      </c>
      <c r="AK170" s="14">
        <f t="shared" si="164"/>
        <v>5.790027782444094E-13</v>
      </c>
      <c r="AL170" s="22">
        <f t="shared" si="165"/>
        <v>1.0676332069095257E-12</v>
      </c>
      <c r="AM170" s="62">
        <f t="shared" si="113"/>
        <v>291.60728139403966</v>
      </c>
      <c r="AN170" s="62">
        <f ca="1">AVERAGE(OFFSET($AM$3,0,0,'Données projet'!$E$10+1,1))-AVERAGE(OFFSET($H$3,0,0,'Données projet'!$E$10+1,1))</f>
        <v>231.96474801342879</v>
      </c>
      <c r="AO170" s="62">
        <f t="shared" si="144"/>
        <v>237.75726086383668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projet'!$B$10,Paramètres!$A$1:$I$88,7,0))</f>
        <v>0</v>
      </c>
      <c r="AS170" s="17">
        <f>IF(ISNA(VLOOKUP(A170,'Données projet'!$A$61:$I$81,6,0)),0%,VLOOKUP(A170,'Données projet'!$A$61:$I$81,6,0)*VLOOKUP('Données projet'!$B$10,Paramètres!$A$1:$I$88,7,0))</f>
        <v>0</v>
      </c>
      <c r="AT170" s="17">
        <f>IF(ISNA(VLOOKUP(A170,'Données projet'!$A$61:$I$81,7,0)),0%,VLOOKUP(A170,'Données projet'!$A$61:$I$81,7,0))</f>
        <v>0</v>
      </c>
      <c r="AU170" s="23">
        <f>EXP(-LN(2)/35)*AU169+(1-EXP(-LN(2)/35))/(LN(2)/35)*AQ170*AR170*VLOOKUP('Données projet'!$B$10,Paramètres!$A$1:$I$88,3,0)*0.475*44/12</f>
        <v>11.353311539458037</v>
      </c>
      <c r="AV170" s="23">
        <f>EXP(-LN(2)/25)*AV169+(1-EXP(-LN(2)/25))/(LN(2)/25)*Calculateur!AQ170*Calculateur!AS170*VLOOKUP('Données projet'!$B$10,Paramètres!$A$1:$I$88,3,0)*0.475*44/12</f>
        <v>2.8805965719325686</v>
      </c>
      <c r="AW170" s="23">
        <f>EXP(-LN(2)/2)*AW169+(1-EXP(-LN(2)/2))/(LN(2)/2)*AQ170*AT170*VLOOKUP('Données projet'!$B$10,Paramètres!$A$1:$I$88,3,0)*0.475*44/12</f>
        <v>0</v>
      </c>
      <c r="AX170" s="23">
        <f t="shared" si="166"/>
        <v>14.233908111390605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69.529258562010511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6.8212102632969618E-13</v>
      </c>
      <c r="BE170" s="14">
        <f>BD170*VLOOKUP('Données projet'!$B$11,Paramètres!$A$1:$I$88,3,0)*VLOOKUP('Données projet'!$B$11,Paramètres!$A$1:$I$88,5,0)</f>
        <v>3.1923264032229784E-13</v>
      </c>
      <c r="BF170" s="14">
        <f t="shared" si="167"/>
        <v>4.1896839804541558E-12</v>
      </c>
      <c r="BG170" s="22">
        <f t="shared" si="168"/>
        <v>7.8530297811856558E-12</v>
      </c>
      <c r="BH170" s="62">
        <f t="shared" si="116"/>
        <v>291.60728139404642</v>
      </c>
      <c r="BI170" s="62">
        <f ca="1">AVERAGE(OFFSET($BH$3,0,0,'Données projet'!$E$11+1,1))-AVERAGE(OFFSET($H$3,0,0,'Données projet'!$E$11+1,1))</f>
        <v>364.96458059055169</v>
      </c>
      <c r="BJ170" s="62">
        <f t="shared" si="146"/>
        <v>246.27159120786257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projet'!$B$11,Paramètres!$A$1:$I$88,7,0))</f>
        <v>0</v>
      </c>
      <c r="BN170" s="17">
        <f>IF(ISNA(VLOOKUP(A170,'Données projet'!$A$87:$I$107,6,0)),0%,VLOOKUP(A170,'Données projet'!$A$87:$I$107,6,0)*VLOOKUP('Données projet'!$B$11,Paramètres!$A$1:$I$88,7,0))</f>
        <v>0</v>
      </c>
      <c r="BO170" s="17">
        <f>IF(ISNA(VLOOKUP(A170,'Données projet'!$A$87:$I$107,7,0)),0%,VLOOKUP(A170,'Données projet'!$A$87:$I$107,7,0))</f>
        <v>0</v>
      </c>
      <c r="BP170" s="23">
        <f>EXP(-LN(2)/35)*BP169+(1-EXP(-LN(2)/35))/(LN(2)/35)*BL170*BM170*VLOOKUP('Données projet'!$B$11,Paramètres!$A$1:$I$88,3,0)*0.475*44/12</f>
        <v>63.159042898922202</v>
      </c>
      <c r="BQ170" s="23">
        <f>EXP(-LN(2)/25)*BQ169+(1-EXP(-LN(2)/25))/(LN(2)/25)*Calculateur!BL170*Calculateur!BN170*VLOOKUP('Données projet'!$B$11,Paramètres!$A$1:$I$88,3,0)*0.475*44/12</f>
        <v>15.729062391559216</v>
      </c>
      <c r="BR170" s="23">
        <f>EXP(-LN(2)/2)*BR169+(1-EXP(-LN(2)/2))/(LN(2)/2)*BL170*BO170*VLOOKUP('Données projet'!$B$11,Paramètres!$A$1:$I$88,3,0)*0.475*44/12</f>
        <v>0</v>
      </c>
      <c r="BS170" s="24">
        <f t="shared" si="169"/>
        <v>78.88810529048142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69.529258562010511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-1.1368683772161603E-13</v>
      </c>
      <c r="BZ170" s="14">
        <f>BY170*VLOOKUP('Données projet'!$B$12,Paramètres!$A$1:$I$88,3,0)*VLOOKUP('Données projet'!$B$12,Paramètres!$A$1:$I$88,5,0)</f>
        <v>-1.1527845344971866E-13</v>
      </c>
      <c r="CA170" s="14" t="e">
        <f t="shared" si="170"/>
        <v>#NUM!</v>
      </c>
      <c r="CB170" s="22" t="e">
        <f t="shared" si="171"/>
        <v>#NUM!</v>
      </c>
      <c r="CC170" s="62" t="e">
        <f t="shared" si="119"/>
        <v>#NUM!</v>
      </c>
      <c r="CD170" s="62">
        <f ca="1">AVERAGE(OFFSET($CC$3,0,0,'Données projet'!$E$12+1,1))-AVERAGE(OFFSET($H$3,0,0,'Données projet'!$E$12+1,1))</f>
        <v>310.53598044763282</v>
      </c>
      <c r="CE170" s="62">
        <f t="shared" si="148"/>
        <v>322.01096634040596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projet'!$B$12,Paramètres!$A$1:$I$88,7,0))</f>
        <v>0</v>
      </c>
      <c r="CI170" s="17">
        <f>IF(ISNA(VLOOKUP(A170,'Données projet'!$A$113:$I$133,6,0)),0%,VLOOKUP(A170,'Données projet'!$A$113:$I$133,6,0)*VLOOKUP('Données projet'!$B$12,Paramètres!$A$1:$I$88,7,0))</f>
        <v>0</v>
      </c>
      <c r="CJ170" s="17">
        <f>IF(ISNA(VLOOKUP(A170,'Données projet'!$A$113:$I$133,7,0)),0%,VLOOKUP(A170,'Données projet'!$A$113:$I$133,7,0))</f>
        <v>0</v>
      </c>
      <c r="CK170" s="23">
        <f>EXP(-LN(2)/35)*CK169+(1-EXP(-LN(2)/35))/(LN(2)/35)*CG170*CH170*VLOOKUP('Données projet'!$B$12,Paramètres!$A$1:$I$88,3,0)*0.475*44/12</f>
        <v>8.6866651843850988</v>
      </c>
      <c r="CL170" s="23">
        <f>EXP(-LN(2)/25)*CL169+(1-EXP(-LN(2)/25))/(LN(2)/25)*Calculateur!CG170*Calculateur!CI170*VLOOKUP('Données projet'!$B$12,Paramètres!$A$1:$I$88,3,0)*0.475*44/12</f>
        <v>0</v>
      </c>
      <c r="CM170" s="23">
        <f>EXP(-LN(2)/2)*CM169+(1-EXP(-LN(2)/2))/(LN(2)/2)*CG170*CJ170*VLOOKUP('Données projet'!$B$12,Paramètres!$A$1:$I$88,3,0)*0.475*44/12</f>
        <v>0</v>
      </c>
      <c r="CN170" s="24">
        <f t="shared" si="172"/>
        <v>8.6866651843850988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69.529258562010511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projet'!$B$13,Paramètres!$A$1:$I$88,3,0)*VLOOKUP('Données projet'!$B$13,Paramètres!$A$1:$I$88,5,0)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projet'!$B$13,Paramètres!$A$1:$I$88,7,0))</f>
        <v>0</v>
      </c>
      <c r="DD170" s="17">
        <f>IF(ISNA(VLOOKUP(A170,'Données projet'!$A$139:$I$159,6,0)),0%,VLOOKUP(A170,'Données projet'!$A$139:$I$159,6,0)*VLOOKUP('Données projet'!$B$13,Paramètres!$A$1:$I$88,7,0))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projet'!$B$13,Paramètres!$A$1:$I$88,3,0)*0.475*44/12</f>
        <v>#N/A</v>
      </c>
      <c r="DG170" s="23" t="e">
        <f>EXP(-LN(2)/25)*DG169+(1-EXP(-LN(2)/25))/(LN(2)/25)*Calculateur!DB170*Calculateur!DD170*VLOOKUP('Données projet'!$B$13,Paramètres!$A$1:$I$88,3,0)*0.475*44/12</f>
        <v>#N/A</v>
      </c>
      <c r="DH170" s="23" t="e">
        <f>EXP(-LN(2)/2)*DH169+(1-EXP(-LN(2)/2))/(LN(2)/2)*DB170*DE170*VLOOKUP('Données projet'!$B$13,Paramètres!$A$1:$I$88,3,0)*0.475*44/12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69.529258562010511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projet'!$B$14,Paramètres!$A$1:$I$88,3,0)*VLOOKUP('Données projet'!$B$14,Paramètres!$A$1:$I$88,5,0)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projet'!$B$14,Paramètres!$A$1:$I$88,7,0))</f>
        <v>0</v>
      </c>
      <c r="DY170" s="17">
        <f>IF(ISNA(VLOOKUP(A170,'Données projet'!$A$165:$I$185,6,0)),0%,VLOOKUP(A170,'Données projet'!$A$165:$I$185,6,0)*VLOOKUP('Données projet'!$B$14,Paramètres!$A$1:$I$88,7,0))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projet'!$B$14,Paramètres!$A$1:$I$88,3,0)*0.475*44/12</f>
        <v>#N/A</v>
      </c>
      <c r="EB170" s="23" t="e">
        <f>EXP(-LN(2)/25)*EB169+(1-EXP(-LN(2)/25))/(LN(2)/25)*Calculateur!DW170*Calculateur!DY170*VLOOKUP('Données projet'!$B$14,Paramètres!$A$1:$I$88,3,0)*0.475*44/12</f>
        <v>#N/A</v>
      </c>
      <c r="EC170" s="23" t="e">
        <f>EXP(-LN(2)/2)*EC169+(1-EXP(-LN(2)/2))/(LN(2)/2)*DW170*DZ170*VLOOKUP('Données projet'!$B$14,Paramètres!$A$1:$I$88,3,0)*0.475*44/12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69.529258562010511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projet'!$B$15,Paramètres!$A$1:$I$88,3,0)*VLOOKUP('Données projet'!$B$15,Paramètres!$A$1:$I$88,5,0)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projet'!$B$15,Paramètres!$A$1:$I$88,7,0))</f>
        <v>0</v>
      </c>
      <c r="ET170" s="17">
        <f>IF(ISNA(VLOOKUP(A170,'Données projet'!$A$191:$I$211,6,0)),0%,VLOOKUP(A170,'Données projet'!$A$191:$I$211,6,0)*VLOOKUP('Données projet'!$B$15,Paramètres!$A$1:$I$88,7,0))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projet'!$B$15,Paramètres!$A$1:$I$88,3,0)*0.475*44/12</f>
        <v>#N/A</v>
      </c>
      <c r="EW170" s="23" t="e">
        <f>EXP(-LN(2)/25)*EW169+(1-EXP(-LN(2)/25))/(LN(2)/25)*Calculateur!ER170*Calculateur!ET170*VLOOKUP('Données projet'!$B$15,Paramètres!$A$1:$I$88,3,0)*0.475*44/12</f>
        <v>#N/A</v>
      </c>
      <c r="EX170" s="23" t="e">
        <f>EXP(-LN(2)/2)*EX169+(1-EXP(-LN(2)/2))/(LN(2)/2)*ER170*EU170*VLOOKUP('Données projet'!$B$15,Paramètres!$A$1:$I$88,3,0)*0.475*44/12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69.529258562010511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projet'!$B$16,Paramètres!$A$1:$I$88,3,0)*VLOOKUP('Données projet'!$B$16,Paramètres!$A$1:$I$88,5,0)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projet'!$B$16,Paramètres!$A$1:$I$88,7,0))</f>
        <v>0</v>
      </c>
      <c r="FO170" s="17">
        <f>IF(ISNA(VLOOKUP(A170,'Données projet'!$A$217:$I$237,6,0)),0%,VLOOKUP(A170,'Données projet'!$A$217:$I$237,6,0)*VLOOKUP('Données projet'!$B$16,Paramètres!$A$1:$I$88,7,0))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projet'!$B$16,Paramètres!$A$1:$I$88,3,0)*0.475*44/12</f>
        <v>#N/A</v>
      </c>
      <c r="FR170" s="23" t="e">
        <f>EXP(-LN(2)/25)*FR169+(1-EXP(-LN(2)/25))/(LN(2)/25)*Calculateur!FM170*Calculateur!FO170*VLOOKUP('Données projet'!$B$16,Paramètres!$A$1:$I$88,3,0)*0.475*44/12</f>
        <v>#N/A</v>
      </c>
      <c r="FS170" s="23" t="e">
        <f>EXP(-LN(2)/2)*FS169+(1-EXP(-LN(2)/2))/(LN(2)/2)*FM170*FP170*VLOOKUP('Données projet'!$B$16,Paramètres!$A$1:$I$88,3,0)*0.475*44/12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69.529258562010511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projet'!$B$17,Paramètres!$A$1:$I$88,3,0)*VLOOKUP('Données projet'!$B$17,Paramètres!$A$1:$I$88,5,0)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projet'!$B$17,Paramètres!$A$1:$I$88,7,0))</f>
        <v>0</v>
      </c>
      <c r="GJ170" s="17">
        <f>IF(ISNA(VLOOKUP(A170,'Données projet'!$A$243:$I$263,6,0)),0%,VLOOKUP(A170,'Données projet'!$A$243:$I$263,6,0)*VLOOKUP('Données projet'!$B$17,Paramètres!$A$1:$I$88,7,0))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projet'!$B$17,Paramètres!$A$1:$I$88,3,0)*0.475*44/12</f>
        <v>#N/A</v>
      </c>
      <c r="GM170" s="23" t="e">
        <f>EXP(-LN(2)/25)*GM169+(1-EXP(-LN(2)/25))/(LN(2)/25)*Calculateur!GH170*Calculateur!GJ170*VLOOKUP('Données projet'!$B$17,Paramètres!$A$1:$I$88,3,0)*0.475*44/12</f>
        <v>#N/A</v>
      </c>
      <c r="GN170" s="23" t="e">
        <f>EXP(-LN(2)/2)*GN169+(1-EXP(-LN(2)/2))/(LN(2)/2)*GH170*GK170*VLOOKUP('Données projet'!$B$17,Paramètres!$A$1:$I$88,3,0)*0.475*44/12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69.529258562010511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projet'!$B$18,Paramètres!$A$1:$I$88,3,0)*VLOOKUP('Données projet'!$B$18,Paramètres!$A$1:$I$88,5,0)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projet'!$B$18,Paramètres!$A$1:$I$88,7,0))</f>
        <v>0</v>
      </c>
      <c r="HE170" s="17">
        <f>IF(ISNA(VLOOKUP(A170,'Données projet'!$A$269:$I$289,6,0)),0%,VLOOKUP(A170,'Données projet'!$A$269:$I$289,6,0)*VLOOKUP('Données projet'!$B$18,Paramètres!$A$1:$I$88,7,0))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projet'!$B$18,Paramètres!$A$1:$I$88,3,0)*0.475*44/12</f>
        <v>#N/A</v>
      </c>
      <c r="HH170" s="23" t="e">
        <f>EXP(-LN(2)/25)*HH169+(1-EXP(-LN(2)/25))/(LN(2)/25)*Calculateur!HC170*Calculateur!HE170*VLOOKUP('Données projet'!$B$18,Paramètres!$A$1:$I$88,3,0)*0.475*44/12</f>
        <v>#N/A</v>
      </c>
      <c r="HI170" s="23" t="e">
        <f>EXP(-LN(2)/2)*HI169+(1-EXP(-LN(2)/2))/(LN(2)/2)*HC170*HF170*VLOOKUP('Données projet'!$B$18,Paramètres!$A$1:$I$88,3,0)*0.475*44/12</f>
        <v>#N/A</v>
      </c>
      <c r="HJ170" s="24" t="e">
        <f t="shared" si="190"/>
        <v>#N/A</v>
      </c>
    </row>
    <row r="171" spans="1:218" x14ac:dyDescent="0.35">
      <c r="A171" s="11">
        <f t="shared" si="161"/>
        <v>168</v>
      </c>
      <c r="B171" s="77">
        <f>'Scénario référence'!$B$16*5+'Scénario référence'!$B$17*0+'Scénario référence'!$B$18*5</f>
        <v>1.75</v>
      </c>
      <c r="C171" s="20">
        <f>Calculateur!C170+'Scénario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71" s="12">
        <f t="shared" si="140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6.416666666666667</v>
      </c>
      <c r="H171" s="70">
        <f t="shared" si="110"/>
        <v>231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69.537424873539436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3.4106051316484809E-13</v>
      </c>
      <c r="O171" s="14">
        <f>N171*VLOOKUP('Données projet'!$B$9,Paramètres!$A$1:$I$88,3,0)*VLOOKUP('Données projet'!$B$9,Paramètres!$A$1:$I$88,5,0)</f>
        <v>1.9065282685915009E-13</v>
      </c>
      <c r="P171" s="14">
        <f t="shared" si="141"/>
        <v>2.6568987209435707E-12</v>
      </c>
      <c r="Q171" s="22">
        <f t="shared" si="162"/>
        <v>4.959485612423072E-12</v>
      </c>
      <c r="R171" s="62">
        <f t="shared" si="109"/>
        <v>291.63722453631624</v>
      </c>
      <c r="S171" s="62">
        <f ca="1">AVERAGE(OFFSET($R$3,0,0,'Données projet'!$E$9+1,1))-AVERAGE(OFFSET($H$3,0,0,'Données projet'!$E$9+1,1))</f>
        <v>341.05096821796769</v>
      </c>
      <c r="T171" s="62">
        <f t="shared" si="142"/>
        <v>400.72519822215168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projet'!$B$9,Paramètres!$A$1:$I$88,7,0))</f>
        <v>0</v>
      </c>
      <c r="X171" s="17">
        <f>IF(ISNA(VLOOKUP(A171,'Données projet'!$A$35:$I$55,6,0)),0%,VLOOKUP(A171,'Données projet'!$A$35:$I$55,6,0)*VLOOKUP('Données projet'!$B$9,Paramètres!$A$1:$I$88,7,0))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projet'!$B$9,Paramètres!$A$1:$I$88,3,0)*0.475*44/12</f>
        <v>28.225417158687279</v>
      </c>
      <c r="AA171" s="23">
        <f>EXP(-LN(2)/25)*AA170+(1-EXP(-LN(2)/25))/(LN(2)/25)*Calculateur!V171*Calculateur!X171*VLOOKUP('Données projet'!$B$9,Paramètres!$A$1:$I$88,3,0)*0.475*44/12</f>
        <v>6.6350799564433025</v>
      </c>
      <c r="AB171" s="23">
        <f>EXP(-LN(2)/2)*AB170+(1-EXP(-LN(2)/2))/(LN(2)/2)*V171*Y171*VLOOKUP('Données projet'!$B$9,Paramètres!$A$1:$I$88,3,0)*0.475*44/12</f>
        <v>0</v>
      </c>
      <c r="AC171" s="24">
        <f t="shared" si="163"/>
        <v>34.860497115130585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69.537424873539436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5.6843418860808015E-14</v>
      </c>
      <c r="AJ171" s="14">
        <f>AI171*VLOOKUP('Données projet'!$B$10,Paramètres!$A$1:$I$88,3,0)*VLOOKUP('Données projet'!$B$10,Paramètres!$A$1:$I$88,5,0)</f>
        <v>3.3992364478763198E-14</v>
      </c>
      <c r="AK171" s="14">
        <f t="shared" si="164"/>
        <v>5.790027782444094E-13</v>
      </c>
      <c r="AL171" s="22">
        <f t="shared" si="165"/>
        <v>1.0676332069095257E-12</v>
      </c>
      <c r="AM171" s="62">
        <f t="shared" si="113"/>
        <v>291.63722453631237</v>
      </c>
      <c r="AN171" s="62">
        <f ca="1">AVERAGE(OFFSET($AM$3,0,0,'Données projet'!$E$10+1,1))-AVERAGE(OFFSET($H$3,0,0,'Données projet'!$E$10+1,1))</f>
        <v>231.96474801342879</v>
      </c>
      <c r="AO171" s="62">
        <f t="shared" si="144"/>
        <v>237.75726086383668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projet'!$B$10,Paramètres!$A$1:$I$88,7,0))</f>
        <v>0</v>
      </c>
      <c r="AS171" s="17">
        <f>IF(ISNA(VLOOKUP(A171,'Données projet'!$A$61:$I$81,6,0)),0%,VLOOKUP(A171,'Données projet'!$A$61:$I$81,6,0)*VLOOKUP('Données projet'!$B$10,Paramètres!$A$1:$I$88,7,0))</f>
        <v>0</v>
      </c>
      <c r="AT171" s="17">
        <f>IF(ISNA(VLOOKUP(A171,'Données projet'!$A$61:$I$81,7,0)),0%,VLOOKUP(A171,'Données projet'!$A$61:$I$81,7,0))</f>
        <v>0</v>
      </c>
      <c r="AU171" s="23">
        <f>EXP(-LN(2)/35)*AU170+(1-EXP(-LN(2)/35))/(LN(2)/35)*AQ171*AR171*VLOOKUP('Données projet'!$B$10,Paramètres!$A$1:$I$88,3,0)*0.475*44/12</f>
        <v>11.130680025005534</v>
      </c>
      <c r="AV171" s="23">
        <f>EXP(-LN(2)/25)*AV170+(1-EXP(-LN(2)/25))/(LN(2)/25)*Calculateur!AQ171*Calculateur!AS171*VLOOKUP('Données projet'!$B$10,Paramètres!$A$1:$I$88,3,0)*0.475*44/12</f>
        <v>2.8018265071890824</v>
      </c>
      <c r="AW171" s="23">
        <f>EXP(-LN(2)/2)*AW170+(1-EXP(-LN(2)/2))/(LN(2)/2)*AQ171*AT171*VLOOKUP('Données projet'!$B$10,Paramètres!$A$1:$I$88,3,0)*0.475*44/12</f>
        <v>0</v>
      </c>
      <c r="AX171" s="23">
        <f t="shared" si="166"/>
        <v>13.932506532194616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69.537424873539436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6.8212102632969618E-13</v>
      </c>
      <c r="BE171" s="14">
        <f>BD171*VLOOKUP('Données projet'!$B$11,Paramètres!$A$1:$I$88,3,0)*VLOOKUP('Données projet'!$B$11,Paramètres!$A$1:$I$88,5,0)</f>
        <v>3.1923264032229784E-13</v>
      </c>
      <c r="BF171" s="14">
        <f t="shared" si="167"/>
        <v>4.1896839804541558E-12</v>
      </c>
      <c r="BG171" s="22">
        <f t="shared" si="168"/>
        <v>7.8530297811856558E-12</v>
      </c>
      <c r="BH171" s="62">
        <f t="shared" si="116"/>
        <v>291.63722453631914</v>
      </c>
      <c r="BI171" s="62">
        <f ca="1">AVERAGE(OFFSET($BH$3,0,0,'Données projet'!$E$11+1,1))-AVERAGE(OFFSET($H$3,0,0,'Données projet'!$E$11+1,1))</f>
        <v>364.96458059055169</v>
      </c>
      <c r="BJ171" s="62">
        <f t="shared" si="146"/>
        <v>246.27159120786257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projet'!$B$11,Paramètres!$A$1:$I$88,7,0))</f>
        <v>0</v>
      </c>
      <c r="BN171" s="17">
        <f>IF(ISNA(VLOOKUP(A171,'Données projet'!$A$87:$I$107,6,0)),0%,VLOOKUP(A171,'Données projet'!$A$87:$I$107,6,0)*VLOOKUP('Données projet'!$B$11,Paramètres!$A$1:$I$88,7,0))</f>
        <v>0</v>
      </c>
      <c r="BO171" s="17">
        <f>IF(ISNA(VLOOKUP(A171,'Données projet'!$A$87:$I$107,7,0)),0%,VLOOKUP(A171,'Données projet'!$A$87:$I$107,7,0))</f>
        <v>0</v>
      </c>
      <c r="BP171" s="23">
        <f>EXP(-LN(2)/35)*BP170+(1-EXP(-LN(2)/35))/(LN(2)/35)*BL171*BM171*VLOOKUP('Données projet'!$B$11,Paramètres!$A$1:$I$88,3,0)*0.475*44/12</f>
        <v>61.920532590886651</v>
      </c>
      <c r="BQ171" s="23">
        <f>EXP(-LN(2)/25)*BQ170+(1-EXP(-LN(2)/25))/(LN(2)/25)*Calculateur!BL171*Calculateur!BN171*VLOOKUP('Données projet'!$B$11,Paramètres!$A$1:$I$88,3,0)*0.475*44/12</f>
        <v>15.298950353306587</v>
      </c>
      <c r="BR171" s="23">
        <f>EXP(-LN(2)/2)*BR170+(1-EXP(-LN(2)/2))/(LN(2)/2)*BL171*BO171*VLOOKUP('Données projet'!$B$11,Paramètres!$A$1:$I$88,3,0)*0.475*44/12</f>
        <v>0</v>
      </c>
      <c r="BS171" s="24">
        <f t="shared" si="169"/>
        <v>77.219482944193231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69.537424873539436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-1.1368683772161603E-13</v>
      </c>
      <c r="BZ171" s="14">
        <f>BY171*VLOOKUP('Données projet'!$B$12,Paramètres!$A$1:$I$88,3,0)*VLOOKUP('Données projet'!$B$12,Paramètres!$A$1:$I$88,5,0)</f>
        <v>-1.1527845344971866E-13</v>
      </c>
      <c r="CA171" s="14" t="e">
        <f t="shared" si="170"/>
        <v>#NUM!</v>
      </c>
      <c r="CB171" s="22" t="e">
        <f t="shared" si="171"/>
        <v>#NUM!</v>
      </c>
      <c r="CC171" s="62" t="e">
        <f t="shared" si="119"/>
        <v>#NUM!</v>
      </c>
      <c r="CD171" s="62">
        <f ca="1">AVERAGE(OFFSET($CC$3,0,0,'Données projet'!$E$12+1,1))-AVERAGE(OFFSET($H$3,0,0,'Données projet'!$E$12+1,1))</f>
        <v>310.53598044763282</v>
      </c>
      <c r="CE171" s="62">
        <f t="shared" si="148"/>
        <v>322.01096634040596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projet'!$B$12,Paramètres!$A$1:$I$88,7,0))</f>
        <v>0</v>
      </c>
      <c r="CI171" s="17">
        <f>IF(ISNA(VLOOKUP(A171,'Données projet'!$A$113:$I$133,6,0)),0%,VLOOKUP(A171,'Données projet'!$A$113:$I$133,6,0)*VLOOKUP('Données projet'!$B$12,Paramètres!$A$1:$I$88,7,0))</f>
        <v>0</v>
      </c>
      <c r="CJ171" s="17">
        <f>IF(ISNA(VLOOKUP(A171,'Données projet'!$A$113:$I$133,7,0)),0%,VLOOKUP(A171,'Données projet'!$A$113:$I$133,7,0))</f>
        <v>0</v>
      </c>
      <c r="CK171" s="23">
        <f>EXP(-LN(2)/35)*CK170+(1-EXP(-LN(2)/35))/(LN(2)/35)*CG171*CH171*VLOOKUP('Données projet'!$B$12,Paramètres!$A$1:$I$88,3,0)*0.475*44/12</f>
        <v>8.5163249784619008</v>
      </c>
      <c r="CL171" s="23">
        <f>EXP(-LN(2)/25)*CL170+(1-EXP(-LN(2)/25))/(LN(2)/25)*Calculateur!CG171*Calculateur!CI171*VLOOKUP('Données projet'!$B$12,Paramètres!$A$1:$I$88,3,0)*0.475*44/12</f>
        <v>0</v>
      </c>
      <c r="CM171" s="23">
        <f>EXP(-LN(2)/2)*CM170+(1-EXP(-LN(2)/2))/(LN(2)/2)*CG171*CJ171*VLOOKUP('Données projet'!$B$12,Paramètres!$A$1:$I$88,3,0)*0.475*44/12</f>
        <v>0</v>
      </c>
      <c r="CN171" s="24">
        <f t="shared" si="172"/>
        <v>8.5163249784619008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69.537424873539436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projet'!$B$13,Paramètres!$A$1:$I$88,3,0)*VLOOKUP('Données projet'!$B$13,Paramètres!$A$1:$I$88,5,0)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projet'!$B$13,Paramètres!$A$1:$I$88,7,0))</f>
        <v>0</v>
      </c>
      <c r="DD171" s="17">
        <f>IF(ISNA(VLOOKUP(A171,'Données projet'!$A$139:$I$159,6,0)),0%,VLOOKUP(A171,'Données projet'!$A$139:$I$159,6,0)*VLOOKUP('Données projet'!$B$13,Paramètres!$A$1:$I$88,7,0))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projet'!$B$13,Paramètres!$A$1:$I$88,3,0)*0.475*44/12</f>
        <v>#N/A</v>
      </c>
      <c r="DG171" s="23" t="e">
        <f>EXP(-LN(2)/25)*DG170+(1-EXP(-LN(2)/25))/(LN(2)/25)*Calculateur!DB171*Calculateur!DD171*VLOOKUP('Données projet'!$B$13,Paramètres!$A$1:$I$88,3,0)*0.475*44/12</f>
        <v>#N/A</v>
      </c>
      <c r="DH171" s="23" t="e">
        <f>EXP(-LN(2)/2)*DH170+(1-EXP(-LN(2)/2))/(LN(2)/2)*DB171*DE171*VLOOKUP('Données projet'!$B$13,Paramètres!$A$1:$I$88,3,0)*0.475*44/12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69.537424873539436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projet'!$B$14,Paramètres!$A$1:$I$88,3,0)*VLOOKUP('Données projet'!$B$14,Paramètres!$A$1:$I$88,5,0)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projet'!$B$14,Paramètres!$A$1:$I$88,7,0))</f>
        <v>0</v>
      </c>
      <c r="DY171" s="17">
        <f>IF(ISNA(VLOOKUP(A171,'Données projet'!$A$165:$I$185,6,0)),0%,VLOOKUP(A171,'Données projet'!$A$165:$I$185,6,0)*VLOOKUP('Données projet'!$B$14,Paramètres!$A$1:$I$88,7,0))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projet'!$B$14,Paramètres!$A$1:$I$88,3,0)*0.475*44/12</f>
        <v>#N/A</v>
      </c>
      <c r="EB171" s="23" t="e">
        <f>EXP(-LN(2)/25)*EB170+(1-EXP(-LN(2)/25))/(LN(2)/25)*Calculateur!DW171*Calculateur!DY171*VLOOKUP('Données projet'!$B$14,Paramètres!$A$1:$I$88,3,0)*0.475*44/12</f>
        <v>#N/A</v>
      </c>
      <c r="EC171" s="23" t="e">
        <f>EXP(-LN(2)/2)*EC170+(1-EXP(-LN(2)/2))/(LN(2)/2)*DW171*DZ171*VLOOKUP('Données projet'!$B$14,Paramètres!$A$1:$I$88,3,0)*0.475*44/12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69.537424873539436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projet'!$B$15,Paramètres!$A$1:$I$88,3,0)*VLOOKUP('Données projet'!$B$15,Paramètres!$A$1:$I$88,5,0)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projet'!$B$15,Paramètres!$A$1:$I$88,7,0))</f>
        <v>0</v>
      </c>
      <c r="ET171" s="17">
        <f>IF(ISNA(VLOOKUP(A171,'Données projet'!$A$191:$I$211,6,0)),0%,VLOOKUP(A171,'Données projet'!$A$191:$I$211,6,0)*VLOOKUP('Données projet'!$B$15,Paramètres!$A$1:$I$88,7,0))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projet'!$B$15,Paramètres!$A$1:$I$88,3,0)*0.475*44/12</f>
        <v>#N/A</v>
      </c>
      <c r="EW171" s="23" t="e">
        <f>EXP(-LN(2)/25)*EW170+(1-EXP(-LN(2)/25))/(LN(2)/25)*Calculateur!ER171*Calculateur!ET171*VLOOKUP('Données projet'!$B$15,Paramètres!$A$1:$I$88,3,0)*0.475*44/12</f>
        <v>#N/A</v>
      </c>
      <c r="EX171" s="23" t="e">
        <f>EXP(-LN(2)/2)*EX170+(1-EXP(-LN(2)/2))/(LN(2)/2)*ER171*EU171*VLOOKUP('Données projet'!$B$15,Paramètres!$A$1:$I$88,3,0)*0.475*44/12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69.537424873539436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projet'!$B$16,Paramètres!$A$1:$I$88,3,0)*VLOOKUP('Données projet'!$B$16,Paramètres!$A$1:$I$88,5,0)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projet'!$B$16,Paramètres!$A$1:$I$88,7,0))</f>
        <v>0</v>
      </c>
      <c r="FO171" s="17">
        <f>IF(ISNA(VLOOKUP(A171,'Données projet'!$A$217:$I$237,6,0)),0%,VLOOKUP(A171,'Données projet'!$A$217:$I$237,6,0)*VLOOKUP('Données projet'!$B$16,Paramètres!$A$1:$I$88,7,0))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projet'!$B$16,Paramètres!$A$1:$I$88,3,0)*0.475*44/12</f>
        <v>#N/A</v>
      </c>
      <c r="FR171" s="23" t="e">
        <f>EXP(-LN(2)/25)*FR170+(1-EXP(-LN(2)/25))/(LN(2)/25)*Calculateur!FM171*Calculateur!FO171*VLOOKUP('Données projet'!$B$16,Paramètres!$A$1:$I$88,3,0)*0.475*44/12</f>
        <v>#N/A</v>
      </c>
      <c r="FS171" s="23" t="e">
        <f>EXP(-LN(2)/2)*FS170+(1-EXP(-LN(2)/2))/(LN(2)/2)*FM171*FP171*VLOOKUP('Données projet'!$B$16,Paramètres!$A$1:$I$88,3,0)*0.475*44/12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69.537424873539436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projet'!$B$17,Paramètres!$A$1:$I$88,3,0)*VLOOKUP('Données projet'!$B$17,Paramètres!$A$1:$I$88,5,0)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projet'!$B$17,Paramètres!$A$1:$I$88,7,0))</f>
        <v>0</v>
      </c>
      <c r="GJ171" s="17">
        <f>IF(ISNA(VLOOKUP(A171,'Données projet'!$A$243:$I$263,6,0)),0%,VLOOKUP(A171,'Données projet'!$A$243:$I$263,6,0)*VLOOKUP('Données projet'!$B$17,Paramètres!$A$1:$I$88,7,0))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projet'!$B$17,Paramètres!$A$1:$I$88,3,0)*0.475*44/12</f>
        <v>#N/A</v>
      </c>
      <c r="GM171" s="23" t="e">
        <f>EXP(-LN(2)/25)*GM170+(1-EXP(-LN(2)/25))/(LN(2)/25)*Calculateur!GH171*Calculateur!GJ171*VLOOKUP('Données projet'!$B$17,Paramètres!$A$1:$I$88,3,0)*0.475*44/12</f>
        <v>#N/A</v>
      </c>
      <c r="GN171" s="23" t="e">
        <f>EXP(-LN(2)/2)*GN170+(1-EXP(-LN(2)/2))/(LN(2)/2)*GH171*GK171*VLOOKUP('Données projet'!$B$17,Paramètres!$A$1:$I$88,3,0)*0.475*44/12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69.537424873539436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projet'!$B$18,Paramètres!$A$1:$I$88,3,0)*VLOOKUP('Données projet'!$B$18,Paramètres!$A$1:$I$88,5,0)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projet'!$B$18,Paramètres!$A$1:$I$88,7,0))</f>
        <v>0</v>
      </c>
      <c r="HE171" s="17">
        <f>IF(ISNA(VLOOKUP(A171,'Données projet'!$A$269:$I$289,6,0)),0%,VLOOKUP(A171,'Données projet'!$A$269:$I$289,6,0)*VLOOKUP('Données projet'!$B$18,Paramètres!$A$1:$I$88,7,0))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projet'!$B$18,Paramètres!$A$1:$I$88,3,0)*0.475*44/12</f>
        <v>#N/A</v>
      </c>
      <c r="HH171" s="23" t="e">
        <f>EXP(-LN(2)/25)*HH170+(1-EXP(-LN(2)/25))/(LN(2)/25)*Calculateur!HC171*Calculateur!HE171*VLOOKUP('Données projet'!$B$18,Paramètres!$A$1:$I$88,3,0)*0.475*44/12</f>
        <v>#N/A</v>
      </c>
      <c r="HI171" s="23" t="e">
        <f>EXP(-LN(2)/2)*HI170+(1-EXP(-LN(2)/2))/(LN(2)/2)*HC171*HF171*VLOOKUP('Données projet'!$B$18,Paramètres!$A$1:$I$88,3,0)*0.475*44/12</f>
        <v>#N/A</v>
      </c>
      <c r="HJ171" s="24" t="e">
        <f t="shared" si="190"/>
        <v>#N/A</v>
      </c>
    </row>
    <row r="172" spans="1:218" x14ac:dyDescent="0.35">
      <c r="A172" s="11">
        <f t="shared" si="161"/>
        <v>169</v>
      </c>
      <c r="B172" s="77">
        <f>'Scénario référence'!$B$16*5+'Scénario référence'!$B$17*0+'Scénario référence'!$B$18*5</f>
        <v>1.75</v>
      </c>
      <c r="C172" s="20">
        <f>Calculateur!C171+'Scénario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72" s="12">
        <f t="shared" si="140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6.416666666666667</v>
      </c>
      <c r="H172" s="70">
        <f t="shared" si="110"/>
        <v>231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69.545449517820472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3.4106051316484809E-13</v>
      </c>
      <c r="O172" s="14">
        <f>N172*VLOOKUP('Données projet'!$B$9,Paramètres!$A$1:$I$88,3,0)*VLOOKUP('Données projet'!$B$9,Paramètres!$A$1:$I$88,5,0)</f>
        <v>1.9065282685915009E-13</v>
      </c>
      <c r="P172" s="14">
        <f t="shared" si="141"/>
        <v>2.6568987209435707E-12</v>
      </c>
      <c r="Q172" s="22">
        <f t="shared" si="162"/>
        <v>4.959485612423072E-12</v>
      </c>
      <c r="R172" s="62">
        <f t="shared" si="109"/>
        <v>291.66664823201336</v>
      </c>
      <c r="S172" s="62">
        <f ca="1">AVERAGE(OFFSET($R$3,0,0,'Données projet'!$E$9+1,1))-AVERAGE(OFFSET($H$3,0,0,'Données projet'!$E$9+1,1))</f>
        <v>341.05096821796769</v>
      </c>
      <c r="T172" s="62">
        <f t="shared" si="142"/>
        <v>400.72519822215168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projet'!$B$9,Paramètres!$A$1:$I$88,7,0))</f>
        <v>0</v>
      </c>
      <c r="X172" s="17">
        <f>IF(ISNA(VLOOKUP(A172,'Données projet'!$A$35:$I$55,6,0)),0%,VLOOKUP(A172,'Données projet'!$A$35:$I$55,6,0)*VLOOKUP('Données projet'!$B$9,Paramètres!$A$1:$I$88,7,0))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projet'!$B$9,Paramètres!$A$1:$I$88,3,0)*0.475*44/12</f>
        <v>27.671933944009968</v>
      </c>
      <c r="AA172" s="23">
        <f>EXP(-LN(2)/25)*AA171+(1-EXP(-LN(2)/25))/(LN(2)/25)*Calculateur!V172*Calculateur!X172*VLOOKUP('Données projet'!$B$9,Paramètres!$A$1:$I$88,3,0)*0.475*44/12</f>
        <v>6.4536433461106704</v>
      </c>
      <c r="AB172" s="23">
        <f>EXP(-LN(2)/2)*AB171+(1-EXP(-LN(2)/2))/(LN(2)/2)*V172*Y172*VLOOKUP('Données projet'!$B$9,Paramètres!$A$1:$I$88,3,0)*0.475*44/12</f>
        <v>0</v>
      </c>
      <c r="AC172" s="24">
        <f t="shared" si="163"/>
        <v>34.125577290120638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69.545449517820472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5.6843418860808015E-14</v>
      </c>
      <c r="AJ172" s="14">
        <f>AI172*VLOOKUP('Données projet'!$B$10,Paramètres!$A$1:$I$88,3,0)*VLOOKUP('Données projet'!$B$10,Paramètres!$A$1:$I$88,5,0)</f>
        <v>3.3992364478763198E-14</v>
      </c>
      <c r="AK172" s="14">
        <f t="shared" si="164"/>
        <v>5.790027782444094E-13</v>
      </c>
      <c r="AL172" s="22">
        <f t="shared" si="165"/>
        <v>1.0676332069095257E-12</v>
      </c>
      <c r="AM172" s="62">
        <f t="shared" si="113"/>
        <v>291.66664823200949</v>
      </c>
      <c r="AN172" s="62">
        <f ca="1">AVERAGE(OFFSET($AM$3,0,0,'Données projet'!$E$10+1,1))-AVERAGE(OFFSET($H$3,0,0,'Données projet'!$E$10+1,1))</f>
        <v>231.96474801342879</v>
      </c>
      <c r="AO172" s="62">
        <f t="shared" si="144"/>
        <v>237.75726086383668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projet'!$B$10,Paramètres!$A$1:$I$88,7,0))</f>
        <v>0</v>
      </c>
      <c r="AS172" s="17">
        <f>IF(ISNA(VLOOKUP(A172,'Données projet'!$A$61:$I$81,6,0)),0%,VLOOKUP(A172,'Données projet'!$A$61:$I$81,6,0)*VLOOKUP('Données projet'!$B$10,Paramètres!$A$1:$I$88,7,0))</f>
        <v>0</v>
      </c>
      <c r="AT172" s="17">
        <f>IF(ISNA(VLOOKUP(A172,'Données projet'!$A$61:$I$81,7,0)),0%,VLOOKUP(A172,'Données projet'!$A$61:$I$81,7,0))</f>
        <v>0</v>
      </c>
      <c r="AU172" s="23">
        <f>EXP(-LN(2)/35)*AU171+(1-EXP(-LN(2)/35))/(LN(2)/35)*AQ172*AR172*VLOOKUP('Données projet'!$B$10,Paramètres!$A$1:$I$88,3,0)*0.475*44/12</f>
        <v>10.912414178759628</v>
      </c>
      <c r="AV172" s="23">
        <f>EXP(-LN(2)/25)*AV171+(1-EXP(-LN(2)/25))/(LN(2)/25)*Calculateur!AQ172*Calculateur!AS172*VLOOKUP('Données projet'!$B$10,Paramètres!$A$1:$I$88,3,0)*0.475*44/12</f>
        <v>2.7252104140083446</v>
      </c>
      <c r="AW172" s="23">
        <f>EXP(-LN(2)/2)*AW171+(1-EXP(-LN(2)/2))/(LN(2)/2)*AQ172*AT172*VLOOKUP('Données projet'!$B$10,Paramètres!$A$1:$I$88,3,0)*0.475*44/12</f>
        <v>0</v>
      </c>
      <c r="AX172" s="23">
        <f t="shared" si="166"/>
        <v>13.637624592767972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69.545449517820472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6.8212102632969618E-13</v>
      </c>
      <c r="BE172" s="14">
        <f>BD172*VLOOKUP('Données projet'!$B$11,Paramètres!$A$1:$I$88,3,0)*VLOOKUP('Données projet'!$B$11,Paramètres!$A$1:$I$88,5,0)</f>
        <v>3.1923264032229784E-13</v>
      </c>
      <c r="BF172" s="14">
        <f t="shared" si="167"/>
        <v>4.1896839804541558E-12</v>
      </c>
      <c r="BG172" s="22">
        <f t="shared" si="168"/>
        <v>7.8530297811856558E-12</v>
      </c>
      <c r="BH172" s="62">
        <f t="shared" si="116"/>
        <v>291.66664823201626</v>
      </c>
      <c r="BI172" s="62">
        <f ca="1">AVERAGE(OFFSET($BH$3,0,0,'Données projet'!$E$11+1,1))-AVERAGE(OFFSET($H$3,0,0,'Données projet'!$E$11+1,1))</f>
        <v>364.96458059055169</v>
      </c>
      <c r="BJ172" s="62">
        <f t="shared" si="146"/>
        <v>246.27159120786257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projet'!$B$11,Paramètres!$A$1:$I$88,7,0))</f>
        <v>0</v>
      </c>
      <c r="BN172" s="17">
        <f>IF(ISNA(VLOOKUP(A172,'Données projet'!$A$87:$I$107,6,0)),0%,VLOOKUP(A172,'Données projet'!$A$87:$I$107,6,0)*VLOOKUP('Données projet'!$B$11,Paramètres!$A$1:$I$88,7,0))</f>
        <v>0</v>
      </c>
      <c r="BO172" s="17">
        <f>IF(ISNA(VLOOKUP(A172,'Données projet'!$A$87:$I$107,7,0)),0%,VLOOKUP(A172,'Données projet'!$A$87:$I$107,7,0))</f>
        <v>0</v>
      </c>
      <c r="BP172" s="23">
        <f>EXP(-LN(2)/35)*BP171+(1-EXP(-LN(2)/35))/(LN(2)/35)*BL172*BM172*VLOOKUP('Données projet'!$B$11,Paramètres!$A$1:$I$88,3,0)*0.475*44/12</f>
        <v>60.706308714574988</v>
      </c>
      <c r="BQ172" s="23">
        <f>EXP(-LN(2)/25)*BQ171+(1-EXP(-LN(2)/25))/(LN(2)/25)*Calculateur!BL172*Calculateur!BN172*VLOOKUP('Données projet'!$B$11,Paramètres!$A$1:$I$88,3,0)*0.475*44/12</f>
        <v>14.880599751358586</v>
      </c>
      <c r="BR172" s="23">
        <f>EXP(-LN(2)/2)*BR171+(1-EXP(-LN(2)/2))/(LN(2)/2)*BL172*BO172*VLOOKUP('Données projet'!$B$11,Paramètres!$A$1:$I$88,3,0)*0.475*44/12</f>
        <v>0</v>
      </c>
      <c r="BS172" s="24">
        <f t="shared" si="169"/>
        <v>75.586908465933575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69.545449517820472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-1.1368683772161603E-13</v>
      </c>
      <c r="BZ172" s="14">
        <f>BY172*VLOOKUP('Données projet'!$B$12,Paramètres!$A$1:$I$88,3,0)*VLOOKUP('Données projet'!$B$12,Paramètres!$A$1:$I$88,5,0)</f>
        <v>-1.1527845344971866E-13</v>
      </c>
      <c r="CA172" s="14" t="e">
        <f t="shared" si="170"/>
        <v>#NUM!</v>
      </c>
      <c r="CB172" s="22" t="e">
        <f t="shared" si="171"/>
        <v>#NUM!</v>
      </c>
      <c r="CC172" s="62" t="e">
        <f t="shared" si="119"/>
        <v>#NUM!</v>
      </c>
      <c r="CD172" s="62">
        <f ca="1">AVERAGE(OFFSET($CC$3,0,0,'Données projet'!$E$12+1,1))-AVERAGE(OFFSET($H$3,0,0,'Données projet'!$E$12+1,1))</f>
        <v>310.53598044763282</v>
      </c>
      <c r="CE172" s="62">
        <f t="shared" si="148"/>
        <v>322.01096634040596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projet'!$B$12,Paramètres!$A$1:$I$88,7,0))</f>
        <v>0</v>
      </c>
      <c r="CI172" s="17">
        <f>IF(ISNA(VLOOKUP(A172,'Données projet'!$A$113:$I$133,6,0)),0%,VLOOKUP(A172,'Données projet'!$A$113:$I$133,6,0)*VLOOKUP('Données projet'!$B$12,Paramètres!$A$1:$I$88,7,0))</f>
        <v>0</v>
      </c>
      <c r="CJ172" s="17">
        <f>IF(ISNA(VLOOKUP(A172,'Données projet'!$A$113:$I$133,7,0)),0%,VLOOKUP(A172,'Données projet'!$A$113:$I$133,7,0))</f>
        <v>0</v>
      </c>
      <c r="CK172" s="23">
        <f>EXP(-LN(2)/35)*CK171+(1-EXP(-LN(2)/35))/(LN(2)/35)*CG172*CH172*VLOOKUP('Données projet'!$B$12,Paramètres!$A$1:$I$88,3,0)*0.475*44/12</f>
        <v>8.3493250400795915</v>
      </c>
      <c r="CL172" s="23">
        <f>EXP(-LN(2)/25)*CL171+(1-EXP(-LN(2)/25))/(LN(2)/25)*Calculateur!CG172*Calculateur!CI172*VLOOKUP('Données projet'!$B$12,Paramètres!$A$1:$I$88,3,0)*0.475*44/12</f>
        <v>0</v>
      </c>
      <c r="CM172" s="23">
        <f>EXP(-LN(2)/2)*CM171+(1-EXP(-LN(2)/2))/(LN(2)/2)*CG172*CJ172*VLOOKUP('Données projet'!$B$12,Paramètres!$A$1:$I$88,3,0)*0.475*44/12</f>
        <v>0</v>
      </c>
      <c r="CN172" s="24">
        <f t="shared" si="172"/>
        <v>8.3493250400795915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69.545449517820472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projet'!$B$13,Paramètres!$A$1:$I$88,3,0)*VLOOKUP('Données projet'!$B$13,Paramètres!$A$1:$I$88,5,0)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projet'!$B$13,Paramètres!$A$1:$I$88,7,0))</f>
        <v>0</v>
      </c>
      <c r="DD172" s="17">
        <f>IF(ISNA(VLOOKUP(A172,'Données projet'!$A$139:$I$159,6,0)),0%,VLOOKUP(A172,'Données projet'!$A$139:$I$159,6,0)*VLOOKUP('Données projet'!$B$13,Paramètres!$A$1:$I$88,7,0))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projet'!$B$13,Paramètres!$A$1:$I$88,3,0)*0.475*44/12</f>
        <v>#N/A</v>
      </c>
      <c r="DG172" s="23" t="e">
        <f>EXP(-LN(2)/25)*DG171+(1-EXP(-LN(2)/25))/(LN(2)/25)*Calculateur!DB172*Calculateur!DD172*VLOOKUP('Données projet'!$B$13,Paramètres!$A$1:$I$88,3,0)*0.475*44/12</f>
        <v>#N/A</v>
      </c>
      <c r="DH172" s="23" t="e">
        <f>EXP(-LN(2)/2)*DH171+(1-EXP(-LN(2)/2))/(LN(2)/2)*DB172*DE172*VLOOKUP('Données projet'!$B$13,Paramètres!$A$1:$I$88,3,0)*0.475*44/12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69.545449517820472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projet'!$B$14,Paramètres!$A$1:$I$88,3,0)*VLOOKUP('Données projet'!$B$14,Paramètres!$A$1:$I$88,5,0)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projet'!$B$14,Paramètres!$A$1:$I$88,7,0))</f>
        <v>0</v>
      </c>
      <c r="DY172" s="17">
        <f>IF(ISNA(VLOOKUP(A172,'Données projet'!$A$165:$I$185,6,0)),0%,VLOOKUP(A172,'Données projet'!$A$165:$I$185,6,0)*VLOOKUP('Données projet'!$B$14,Paramètres!$A$1:$I$88,7,0))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projet'!$B$14,Paramètres!$A$1:$I$88,3,0)*0.475*44/12</f>
        <v>#N/A</v>
      </c>
      <c r="EB172" s="23" t="e">
        <f>EXP(-LN(2)/25)*EB171+(1-EXP(-LN(2)/25))/(LN(2)/25)*Calculateur!DW172*Calculateur!DY172*VLOOKUP('Données projet'!$B$14,Paramètres!$A$1:$I$88,3,0)*0.475*44/12</f>
        <v>#N/A</v>
      </c>
      <c r="EC172" s="23" t="e">
        <f>EXP(-LN(2)/2)*EC171+(1-EXP(-LN(2)/2))/(LN(2)/2)*DW172*DZ172*VLOOKUP('Données projet'!$B$14,Paramètres!$A$1:$I$88,3,0)*0.475*44/12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69.545449517820472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projet'!$B$15,Paramètres!$A$1:$I$88,3,0)*VLOOKUP('Données projet'!$B$15,Paramètres!$A$1:$I$88,5,0)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projet'!$B$15,Paramètres!$A$1:$I$88,7,0))</f>
        <v>0</v>
      </c>
      <c r="ET172" s="17">
        <f>IF(ISNA(VLOOKUP(A172,'Données projet'!$A$191:$I$211,6,0)),0%,VLOOKUP(A172,'Données projet'!$A$191:$I$211,6,0)*VLOOKUP('Données projet'!$B$15,Paramètres!$A$1:$I$88,7,0))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projet'!$B$15,Paramètres!$A$1:$I$88,3,0)*0.475*44/12</f>
        <v>#N/A</v>
      </c>
      <c r="EW172" s="23" t="e">
        <f>EXP(-LN(2)/25)*EW171+(1-EXP(-LN(2)/25))/(LN(2)/25)*Calculateur!ER172*Calculateur!ET172*VLOOKUP('Données projet'!$B$15,Paramètres!$A$1:$I$88,3,0)*0.475*44/12</f>
        <v>#N/A</v>
      </c>
      <c r="EX172" s="23" t="e">
        <f>EXP(-LN(2)/2)*EX171+(1-EXP(-LN(2)/2))/(LN(2)/2)*ER172*EU172*VLOOKUP('Données projet'!$B$15,Paramètres!$A$1:$I$88,3,0)*0.475*44/12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69.545449517820472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projet'!$B$16,Paramètres!$A$1:$I$88,3,0)*VLOOKUP('Données projet'!$B$16,Paramètres!$A$1:$I$88,5,0)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projet'!$B$16,Paramètres!$A$1:$I$88,7,0))</f>
        <v>0</v>
      </c>
      <c r="FO172" s="17">
        <f>IF(ISNA(VLOOKUP(A172,'Données projet'!$A$217:$I$237,6,0)),0%,VLOOKUP(A172,'Données projet'!$A$217:$I$237,6,0)*VLOOKUP('Données projet'!$B$16,Paramètres!$A$1:$I$88,7,0))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projet'!$B$16,Paramètres!$A$1:$I$88,3,0)*0.475*44/12</f>
        <v>#N/A</v>
      </c>
      <c r="FR172" s="23" t="e">
        <f>EXP(-LN(2)/25)*FR171+(1-EXP(-LN(2)/25))/(LN(2)/25)*Calculateur!FM172*Calculateur!FO172*VLOOKUP('Données projet'!$B$16,Paramètres!$A$1:$I$88,3,0)*0.475*44/12</f>
        <v>#N/A</v>
      </c>
      <c r="FS172" s="23" t="e">
        <f>EXP(-LN(2)/2)*FS171+(1-EXP(-LN(2)/2))/(LN(2)/2)*FM172*FP172*VLOOKUP('Données projet'!$B$16,Paramètres!$A$1:$I$88,3,0)*0.475*44/12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69.545449517820472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projet'!$B$17,Paramètres!$A$1:$I$88,3,0)*VLOOKUP('Données projet'!$B$17,Paramètres!$A$1:$I$88,5,0)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projet'!$B$17,Paramètres!$A$1:$I$88,7,0))</f>
        <v>0</v>
      </c>
      <c r="GJ172" s="17">
        <f>IF(ISNA(VLOOKUP(A172,'Données projet'!$A$243:$I$263,6,0)),0%,VLOOKUP(A172,'Données projet'!$A$243:$I$263,6,0)*VLOOKUP('Données projet'!$B$17,Paramètres!$A$1:$I$88,7,0))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projet'!$B$17,Paramètres!$A$1:$I$88,3,0)*0.475*44/12</f>
        <v>#N/A</v>
      </c>
      <c r="GM172" s="23" t="e">
        <f>EXP(-LN(2)/25)*GM171+(1-EXP(-LN(2)/25))/(LN(2)/25)*Calculateur!GH172*Calculateur!GJ172*VLOOKUP('Données projet'!$B$17,Paramètres!$A$1:$I$88,3,0)*0.475*44/12</f>
        <v>#N/A</v>
      </c>
      <c r="GN172" s="23" t="e">
        <f>EXP(-LN(2)/2)*GN171+(1-EXP(-LN(2)/2))/(LN(2)/2)*GH172*GK172*VLOOKUP('Données projet'!$B$17,Paramètres!$A$1:$I$88,3,0)*0.475*44/12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69.545449517820472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projet'!$B$18,Paramètres!$A$1:$I$88,3,0)*VLOOKUP('Données projet'!$B$18,Paramètres!$A$1:$I$88,5,0)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projet'!$B$18,Paramètres!$A$1:$I$88,7,0))</f>
        <v>0</v>
      </c>
      <c r="HE172" s="17">
        <f>IF(ISNA(VLOOKUP(A172,'Données projet'!$A$269:$I$289,6,0)),0%,VLOOKUP(A172,'Données projet'!$A$269:$I$289,6,0)*VLOOKUP('Données projet'!$B$18,Paramètres!$A$1:$I$88,7,0))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projet'!$B$18,Paramètres!$A$1:$I$88,3,0)*0.475*44/12</f>
        <v>#N/A</v>
      </c>
      <c r="HH172" s="23" t="e">
        <f>EXP(-LN(2)/25)*HH171+(1-EXP(-LN(2)/25))/(LN(2)/25)*Calculateur!HC172*Calculateur!HE172*VLOOKUP('Données projet'!$B$18,Paramètres!$A$1:$I$88,3,0)*0.475*44/12</f>
        <v>#N/A</v>
      </c>
      <c r="HI172" s="23" t="e">
        <f>EXP(-LN(2)/2)*HI171+(1-EXP(-LN(2)/2))/(LN(2)/2)*HC172*HF172*VLOOKUP('Données projet'!$B$18,Paramètres!$A$1:$I$88,3,0)*0.475*44/12</f>
        <v>#N/A</v>
      </c>
      <c r="HJ172" s="24" t="e">
        <f t="shared" si="190"/>
        <v>#N/A</v>
      </c>
    </row>
    <row r="173" spans="1:218" x14ac:dyDescent="0.35">
      <c r="A173" s="11">
        <f t="shared" si="161"/>
        <v>170</v>
      </c>
      <c r="B173" s="77">
        <f>'Scénario référence'!$B$16*5+'Scénario référence'!$B$17*0+'Scénario référence'!$B$18*5</f>
        <v>1.75</v>
      </c>
      <c r="C173" s="20">
        <f>Calculateur!C172+'Scénario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73" s="12">
        <f t="shared" si="140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6.416666666666667</v>
      </c>
      <c r="H173" s="70">
        <f t="shared" si="110"/>
        <v>231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69.553334952463644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3.4106051316484809E-13</v>
      </c>
      <c r="O173" s="14">
        <f>N173*VLOOKUP('Données projet'!$B$9,Paramètres!$A$1:$I$88,3,0)*VLOOKUP('Données projet'!$B$9,Paramètres!$A$1:$I$88,5,0)</f>
        <v>1.9065282685915009E-13</v>
      </c>
      <c r="P173" s="14">
        <f t="shared" si="141"/>
        <v>2.6568987209435707E-12</v>
      </c>
      <c r="Q173" s="22">
        <f t="shared" si="162"/>
        <v>4.959485612423072E-12</v>
      </c>
      <c r="R173" s="62">
        <f t="shared" si="109"/>
        <v>291.69556149237167</v>
      </c>
      <c r="S173" s="62">
        <f ca="1">AVERAGE(OFFSET($R$3,0,0,'Données projet'!$E$9+1,1))-AVERAGE(OFFSET($H$3,0,0,'Données projet'!$E$9+1,1))</f>
        <v>341.05096821796769</v>
      </c>
      <c r="T173" s="62">
        <f t="shared" si="142"/>
        <v>400.72519822215168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projet'!$B$9,Paramètres!$A$1:$I$88,7,0))</f>
        <v>0</v>
      </c>
      <c r="X173" s="17">
        <f>IF(ISNA(VLOOKUP(A173,'Données projet'!$A$35:$I$55,6,0)),0%,VLOOKUP(A173,'Données projet'!$A$35:$I$55,6,0)*VLOOKUP('Données projet'!$B$9,Paramètres!$A$1:$I$88,7,0))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projet'!$B$9,Paramètres!$A$1:$I$88,3,0)*0.475*44/12</f>
        <v>27.129304197581053</v>
      </c>
      <c r="AA173" s="23">
        <f>EXP(-LN(2)/25)*AA172+(1-EXP(-LN(2)/25))/(LN(2)/25)*Calculateur!V173*Calculateur!X173*VLOOKUP('Données projet'!$B$9,Paramètres!$A$1:$I$88,3,0)*0.475*44/12</f>
        <v>6.2771681294289206</v>
      </c>
      <c r="AB173" s="23">
        <f>EXP(-LN(2)/2)*AB172+(1-EXP(-LN(2)/2))/(LN(2)/2)*V173*Y173*VLOOKUP('Données projet'!$B$9,Paramètres!$A$1:$I$88,3,0)*0.475*44/12</f>
        <v>0</v>
      </c>
      <c r="AC173" s="24">
        <f t="shared" si="163"/>
        <v>33.406472327009972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69.553334952463644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5.6843418860808015E-14</v>
      </c>
      <c r="AJ173" s="14">
        <f>AI173*VLOOKUP('Données projet'!$B$10,Paramètres!$A$1:$I$88,3,0)*VLOOKUP('Données projet'!$B$10,Paramètres!$A$1:$I$88,5,0)</f>
        <v>3.3992364478763198E-14</v>
      </c>
      <c r="AK173" s="14">
        <f t="shared" si="164"/>
        <v>5.790027782444094E-13</v>
      </c>
      <c r="AL173" s="22">
        <f t="shared" si="165"/>
        <v>1.0676332069095257E-12</v>
      </c>
      <c r="AM173" s="62">
        <f t="shared" si="113"/>
        <v>291.6955614923678</v>
      </c>
      <c r="AN173" s="62">
        <f ca="1">AVERAGE(OFFSET($AM$3,0,0,'Données projet'!$E$10+1,1))-AVERAGE(OFFSET($H$3,0,0,'Données projet'!$E$10+1,1))</f>
        <v>231.96474801342879</v>
      </c>
      <c r="AO173" s="62">
        <f t="shared" si="144"/>
        <v>237.75726086383668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projet'!$B$10,Paramètres!$A$1:$I$88,7,0))</f>
        <v>0</v>
      </c>
      <c r="AS173" s="17">
        <f>IF(ISNA(VLOOKUP(A173,'Données projet'!$A$61:$I$81,6,0)),0%,VLOOKUP(A173,'Données projet'!$A$61:$I$81,6,0)*VLOOKUP('Données projet'!$B$10,Paramètres!$A$1:$I$88,7,0))</f>
        <v>0</v>
      </c>
      <c r="AT173" s="17">
        <f>IF(ISNA(VLOOKUP(A173,'Données projet'!$A$61:$I$81,7,0)),0%,VLOOKUP(A173,'Données projet'!$A$61:$I$81,7,0))</f>
        <v>0</v>
      </c>
      <c r="AU173" s="23">
        <f>EXP(-LN(2)/35)*AU172+(1-EXP(-LN(2)/35))/(LN(2)/35)*AQ173*AR173*VLOOKUP('Données projet'!$B$10,Paramètres!$A$1:$I$88,3,0)*0.475*44/12</f>
        <v>10.698428392629584</v>
      </c>
      <c r="AV173" s="23">
        <f>EXP(-LN(2)/25)*AV172+(1-EXP(-LN(2)/25))/(LN(2)/25)*Calculateur!AQ173*Calculateur!AS173*VLOOKUP('Données projet'!$B$10,Paramètres!$A$1:$I$88,3,0)*0.475*44/12</f>
        <v>2.6506893919246992</v>
      </c>
      <c r="AW173" s="23">
        <f>EXP(-LN(2)/2)*AW172+(1-EXP(-LN(2)/2))/(LN(2)/2)*AQ173*AT173*VLOOKUP('Données projet'!$B$10,Paramètres!$A$1:$I$88,3,0)*0.475*44/12</f>
        <v>0</v>
      </c>
      <c r="AX173" s="23">
        <f t="shared" si="166"/>
        <v>13.349117784554283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69.553334952463644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6.8212102632969618E-13</v>
      </c>
      <c r="BE173" s="14">
        <f>BD173*VLOOKUP('Données projet'!$B$11,Paramètres!$A$1:$I$88,3,0)*VLOOKUP('Données projet'!$B$11,Paramètres!$A$1:$I$88,5,0)</f>
        <v>3.1923264032229784E-13</v>
      </c>
      <c r="BF173" s="14">
        <f t="shared" si="167"/>
        <v>4.1896839804541558E-12</v>
      </c>
      <c r="BG173" s="22">
        <f t="shared" si="168"/>
        <v>7.8530297811856558E-12</v>
      </c>
      <c r="BH173" s="62">
        <f t="shared" si="116"/>
        <v>291.69556149237457</v>
      </c>
      <c r="BI173" s="62">
        <f ca="1">AVERAGE(OFFSET($BH$3,0,0,'Données projet'!$E$11+1,1))-AVERAGE(OFFSET($H$3,0,0,'Données projet'!$E$11+1,1))</f>
        <v>364.96458059055169</v>
      </c>
      <c r="BJ173" s="62">
        <f t="shared" si="146"/>
        <v>246.27159120786257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projet'!$B$11,Paramètres!$A$1:$I$88,7,0))</f>
        <v>0</v>
      </c>
      <c r="BN173" s="17">
        <f>IF(ISNA(VLOOKUP(A173,'Données projet'!$A$87:$I$107,6,0)),0%,VLOOKUP(A173,'Données projet'!$A$87:$I$107,6,0)*VLOOKUP('Données projet'!$B$11,Paramètres!$A$1:$I$88,7,0))</f>
        <v>0</v>
      </c>
      <c r="BO173" s="17">
        <f>IF(ISNA(VLOOKUP(A173,'Données projet'!$A$87:$I$107,7,0)),0%,VLOOKUP(A173,'Données projet'!$A$87:$I$107,7,0))</f>
        <v>0</v>
      </c>
      <c r="BP173" s="23">
        <f>EXP(-LN(2)/35)*BP172+(1-EXP(-LN(2)/35))/(LN(2)/35)*BL173*BM173*VLOOKUP('Données projet'!$B$11,Paramètres!$A$1:$I$88,3,0)*0.475*44/12</f>
        <v>59.515895027874357</v>
      </c>
      <c r="BQ173" s="23">
        <f>EXP(-LN(2)/25)*BQ172+(1-EXP(-LN(2)/25))/(LN(2)/25)*Calculateur!BL173*Calculateur!BN173*VLOOKUP('Données projet'!$B$11,Paramètres!$A$1:$I$88,3,0)*0.475*44/12</f>
        <v>14.473688968620955</v>
      </c>
      <c r="BR173" s="23">
        <f>EXP(-LN(2)/2)*BR172+(1-EXP(-LN(2)/2))/(LN(2)/2)*BL173*BO173*VLOOKUP('Données projet'!$B$11,Paramètres!$A$1:$I$88,3,0)*0.475*44/12</f>
        <v>0</v>
      </c>
      <c r="BS173" s="24">
        <f t="shared" si="169"/>
        <v>73.989583996495313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69.553334952463644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-1.1368683772161603E-13</v>
      </c>
      <c r="BZ173" s="14">
        <f>BY173*VLOOKUP('Données projet'!$B$12,Paramètres!$A$1:$I$88,3,0)*VLOOKUP('Données projet'!$B$12,Paramètres!$A$1:$I$88,5,0)</f>
        <v>-1.1527845344971866E-13</v>
      </c>
      <c r="CA173" s="14" t="e">
        <f t="shared" si="170"/>
        <v>#NUM!</v>
      </c>
      <c r="CB173" s="22" t="e">
        <f t="shared" si="171"/>
        <v>#NUM!</v>
      </c>
      <c r="CC173" s="62" t="e">
        <f t="shared" si="119"/>
        <v>#NUM!</v>
      </c>
      <c r="CD173" s="62">
        <f ca="1">AVERAGE(OFFSET($CC$3,0,0,'Données projet'!$E$12+1,1))-AVERAGE(OFFSET($H$3,0,0,'Données projet'!$E$12+1,1))</f>
        <v>310.53598044763282</v>
      </c>
      <c r="CE173" s="62">
        <f t="shared" si="148"/>
        <v>322.01096634040596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projet'!$B$12,Paramètres!$A$1:$I$88,7,0))</f>
        <v>0</v>
      </c>
      <c r="CI173" s="17">
        <f>IF(ISNA(VLOOKUP(A173,'Données projet'!$A$113:$I$133,6,0)),0%,VLOOKUP(A173,'Données projet'!$A$113:$I$133,6,0)*VLOOKUP('Données projet'!$B$12,Paramètres!$A$1:$I$88,7,0))</f>
        <v>0</v>
      </c>
      <c r="CJ173" s="17">
        <f>IF(ISNA(VLOOKUP(A173,'Données projet'!$A$113:$I$133,7,0)),0%,VLOOKUP(A173,'Données projet'!$A$113:$I$133,7,0))</f>
        <v>0</v>
      </c>
      <c r="CK173" s="23">
        <f>EXP(-LN(2)/35)*CK172+(1-EXP(-LN(2)/35))/(LN(2)/35)*CG173*CH173*VLOOKUP('Données projet'!$B$12,Paramètres!$A$1:$I$88,3,0)*0.475*44/12</f>
        <v>8.1855998686290548</v>
      </c>
      <c r="CL173" s="23">
        <f>EXP(-LN(2)/25)*CL172+(1-EXP(-LN(2)/25))/(LN(2)/25)*Calculateur!CG173*Calculateur!CI173*VLOOKUP('Données projet'!$B$12,Paramètres!$A$1:$I$88,3,0)*0.475*44/12</f>
        <v>0</v>
      </c>
      <c r="CM173" s="23">
        <f>EXP(-LN(2)/2)*CM172+(1-EXP(-LN(2)/2))/(LN(2)/2)*CG173*CJ173*VLOOKUP('Données projet'!$B$12,Paramètres!$A$1:$I$88,3,0)*0.475*44/12</f>
        <v>0</v>
      </c>
      <c r="CN173" s="24">
        <f t="shared" si="172"/>
        <v>8.1855998686290548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69.553334952463644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projet'!$B$13,Paramètres!$A$1:$I$88,3,0)*VLOOKUP('Données projet'!$B$13,Paramètres!$A$1:$I$88,5,0)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projet'!$B$13,Paramètres!$A$1:$I$88,7,0))</f>
        <v>0</v>
      </c>
      <c r="DD173" s="17">
        <f>IF(ISNA(VLOOKUP(A173,'Données projet'!$A$139:$I$159,6,0)),0%,VLOOKUP(A173,'Données projet'!$A$139:$I$159,6,0)*VLOOKUP('Données projet'!$B$13,Paramètres!$A$1:$I$88,7,0))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projet'!$B$13,Paramètres!$A$1:$I$88,3,0)*0.475*44/12</f>
        <v>#N/A</v>
      </c>
      <c r="DG173" s="23" t="e">
        <f>EXP(-LN(2)/25)*DG172+(1-EXP(-LN(2)/25))/(LN(2)/25)*Calculateur!DB173*Calculateur!DD173*VLOOKUP('Données projet'!$B$13,Paramètres!$A$1:$I$88,3,0)*0.475*44/12</f>
        <v>#N/A</v>
      </c>
      <c r="DH173" s="23" t="e">
        <f>EXP(-LN(2)/2)*DH172+(1-EXP(-LN(2)/2))/(LN(2)/2)*DB173*DE173*VLOOKUP('Données projet'!$B$13,Paramètres!$A$1:$I$88,3,0)*0.475*44/12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69.553334952463644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projet'!$B$14,Paramètres!$A$1:$I$88,3,0)*VLOOKUP('Données projet'!$B$14,Paramètres!$A$1:$I$88,5,0)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projet'!$B$14,Paramètres!$A$1:$I$88,7,0))</f>
        <v>0</v>
      </c>
      <c r="DY173" s="17">
        <f>IF(ISNA(VLOOKUP(A173,'Données projet'!$A$165:$I$185,6,0)),0%,VLOOKUP(A173,'Données projet'!$A$165:$I$185,6,0)*VLOOKUP('Données projet'!$B$14,Paramètres!$A$1:$I$88,7,0))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projet'!$B$14,Paramètres!$A$1:$I$88,3,0)*0.475*44/12</f>
        <v>#N/A</v>
      </c>
      <c r="EB173" s="23" t="e">
        <f>EXP(-LN(2)/25)*EB172+(1-EXP(-LN(2)/25))/(LN(2)/25)*Calculateur!DW173*Calculateur!DY173*VLOOKUP('Données projet'!$B$14,Paramètres!$A$1:$I$88,3,0)*0.475*44/12</f>
        <v>#N/A</v>
      </c>
      <c r="EC173" s="23" t="e">
        <f>EXP(-LN(2)/2)*EC172+(1-EXP(-LN(2)/2))/(LN(2)/2)*DW173*DZ173*VLOOKUP('Données projet'!$B$14,Paramètres!$A$1:$I$88,3,0)*0.475*44/12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69.553334952463644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projet'!$B$15,Paramètres!$A$1:$I$88,3,0)*VLOOKUP('Données projet'!$B$15,Paramètres!$A$1:$I$88,5,0)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projet'!$B$15,Paramètres!$A$1:$I$88,7,0))</f>
        <v>0</v>
      </c>
      <c r="ET173" s="17">
        <f>IF(ISNA(VLOOKUP(A173,'Données projet'!$A$191:$I$211,6,0)),0%,VLOOKUP(A173,'Données projet'!$A$191:$I$211,6,0)*VLOOKUP('Données projet'!$B$15,Paramètres!$A$1:$I$88,7,0))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projet'!$B$15,Paramètres!$A$1:$I$88,3,0)*0.475*44/12</f>
        <v>#N/A</v>
      </c>
      <c r="EW173" s="23" t="e">
        <f>EXP(-LN(2)/25)*EW172+(1-EXP(-LN(2)/25))/(LN(2)/25)*Calculateur!ER173*Calculateur!ET173*VLOOKUP('Données projet'!$B$15,Paramètres!$A$1:$I$88,3,0)*0.475*44/12</f>
        <v>#N/A</v>
      </c>
      <c r="EX173" s="23" t="e">
        <f>EXP(-LN(2)/2)*EX172+(1-EXP(-LN(2)/2))/(LN(2)/2)*ER173*EU173*VLOOKUP('Données projet'!$B$15,Paramètres!$A$1:$I$88,3,0)*0.475*44/12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69.553334952463644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projet'!$B$16,Paramètres!$A$1:$I$88,3,0)*VLOOKUP('Données projet'!$B$16,Paramètres!$A$1:$I$88,5,0)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projet'!$B$16,Paramètres!$A$1:$I$88,7,0))</f>
        <v>0</v>
      </c>
      <c r="FO173" s="17">
        <f>IF(ISNA(VLOOKUP(A173,'Données projet'!$A$217:$I$237,6,0)),0%,VLOOKUP(A173,'Données projet'!$A$217:$I$237,6,0)*VLOOKUP('Données projet'!$B$16,Paramètres!$A$1:$I$88,7,0))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projet'!$B$16,Paramètres!$A$1:$I$88,3,0)*0.475*44/12</f>
        <v>#N/A</v>
      </c>
      <c r="FR173" s="23" t="e">
        <f>EXP(-LN(2)/25)*FR172+(1-EXP(-LN(2)/25))/(LN(2)/25)*Calculateur!FM173*Calculateur!FO173*VLOOKUP('Données projet'!$B$16,Paramètres!$A$1:$I$88,3,0)*0.475*44/12</f>
        <v>#N/A</v>
      </c>
      <c r="FS173" s="23" t="e">
        <f>EXP(-LN(2)/2)*FS172+(1-EXP(-LN(2)/2))/(LN(2)/2)*FM173*FP173*VLOOKUP('Données projet'!$B$16,Paramètres!$A$1:$I$88,3,0)*0.475*44/12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69.553334952463644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projet'!$B$17,Paramètres!$A$1:$I$88,3,0)*VLOOKUP('Données projet'!$B$17,Paramètres!$A$1:$I$88,5,0)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projet'!$B$17,Paramètres!$A$1:$I$88,7,0))</f>
        <v>0</v>
      </c>
      <c r="GJ173" s="17">
        <f>IF(ISNA(VLOOKUP(A173,'Données projet'!$A$243:$I$263,6,0)),0%,VLOOKUP(A173,'Données projet'!$A$243:$I$263,6,0)*VLOOKUP('Données projet'!$B$17,Paramètres!$A$1:$I$88,7,0))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projet'!$B$17,Paramètres!$A$1:$I$88,3,0)*0.475*44/12</f>
        <v>#N/A</v>
      </c>
      <c r="GM173" s="23" t="e">
        <f>EXP(-LN(2)/25)*GM172+(1-EXP(-LN(2)/25))/(LN(2)/25)*Calculateur!GH173*Calculateur!GJ173*VLOOKUP('Données projet'!$B$17,Paramètres!$A$1:$I$88,3,0)*0.475*44/12</f>
        <v>#N/A</v>
      </c>
      <c r="GN173" s="23" t="e">
        <f>EXP(-LN(2)/2)*GN172+(1-EXP(-LN(2)/2))/(LN(2)/2)*GH173*GK173*VLOOKUP('Données projet'!$B$17,Paramètres!$A$1:$I$88,3,0)*0.475*44/12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69.553334952463644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projet'!$B$18,Paramètres!$A$1:$I$88,3,0)*VLOOKUP('Données projet'!$B$18,Paramètres!$A$1:$I$88,5,0)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projet'!$B$18,Paramètres!$A$1:$I$88,7,0))</f>
        <v>0</v>
      </c>
      <c r="HE173" s="17">
        <f>IF(ISNA(VLOOKUP(A173,'Données projet'!$A$269:$I$289,6,0)),0%,VLOOKUP(A173,'Données projet'!$A$269:$I$289,6,0)*VLOOKUP('Données projet'!$B$18,Paramètres!$A$1:$I$88,7,0))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projet'!$B$18,Paramètres!$A$1:$I$88,3,0)*0.475*44/12</f>
        <v>#N/A</v>
      </c>
      <c r="HH173" s="23" t="e">
        <f>EXP(-LN(2)/25)*HH172+(1-EXP(-LN(2)/25))/(LN(2)/25)*Calculateur!HC173*Calculateur!HE173*VLOOKUP('Données projet'!$B$18,Paramètres!$A$1:$I$88,3,0)*0.475*44/12</f>
        <v>#N/A</v>
      </c>
      <c r="HI173" s="23" t="e">
        <f>EXP(-LN(2)/2)*HI172+(1-EXP(-LN(2)/2))/(LN(2)/2)*HC173*HF173*VLOOKUP('Données projet'!$B$18,Paramètres!$A$1:$I$88,3,0)*0.475*44/12</f>
        <v>#N/A</v>
      </c>
      <c r="HJ173" s="24" t="e">
        <f t="shared" si="190"/>
        <v>#N/A</v>
      </c>
    </row>
    <row r="174" spans="1:218" x14ac:dyDescent="0.35">
      <c r="A174" s="11">
        <f t="shared" si="161"/>
        <v>171</v>
      </c>
      <c r="B174" s="77">
        <f>'Scénario référence'!$B$16*5+'Scénario référence'!$B$17*0+'Scénario référence'!$B$18*5</f>
        <v>1.75</v>
      </c>
      <c r="C174" s="20">
        <f>Calculateur!C173+'Scénario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74" s="12">
        <f t="shared" si="140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6.416666666666667</v>
      </c>
      <c r="H174" s="70">
        <f t="shared" si="110"/>
        <v>231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69.561083592444959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3.4106051316484809E-13</v>
      </c>
      <c r="O174" s="14">
        <f>N174*VLOOKUP('Données projet'!$B$9,Paramètres!$A$1:$I$88,3,0)*VLOOKUP('Données projet'!$B$9,Paramètres!$A$1:$I$88,5,0)</f>
        <v>1.9065282685915009E-13</v>
      </c>
      <c r="P174" s="14">
        <f t="shared" si="141"/>
        <v>2.6568987209435707E-12</v>
      </c>
      <c r="Q174" s="22">
        <f t="shared" si="162"/>
        <v>4.959485612423072E-12</v>
      </c>
      <c r="R174" s="62">
        <f t="shared" si="109"/>
        <v>291.72397317230315</v>
      </c>
      <c r="S174" s="62">
        <f ca="1">AVERAGE(OFFSET($R$3,0,0,'Données projet'!$E$9+1,1))-AVERAGE(OFFSET($H$3,0,0,'Données projet'!$E$9+1,1))</f>
        <v>341.05096821796769</v>
      </c>
      <c r="T174" s="62">
        <f t="shared" si="142"/>
        <v>400.72519822215168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projet'!$B$9,Paramètres!$A$1:$I$88,7,0))</f>
        <v>0</v>
      </c>
      <c r="X174" s="17">
        <f>IF(ISNA(VLOOKUP(A174,'Données projet'!$A$35:$I$55,6,0)),0%,VLOOKUP(A174,'Données projet'!$A$35:$I$55,6,0)*VLOOKUP('Données projet'!$B$9,Paramètres!$A$1:$I$88,7,0))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projet'!$B$9,Paramètres!$A$1:$I$88,3,0)*0.475*44/12</f>
        <v>26.597315089508143</v>
      </c>
      <c r="AA174" s="23">
        <f>EXP(-LN(2)/25)*AA173+(1-EXP(-LN(2)/25))/(LN(2)/25)*Calculateur!V174*Calculateur!X174*VLOOKUP('Données projet'!$B$9,Paramètres!$A$1:$I$88,3,0)*0.475*44/12</f>
        <v>6.1055186368277612</v>
      </c>
      <c r="AB174" s="23">
        <f>EXP(-LN(2)/2)*AB173+(1-EXP(-LN(2)/2))/(LN(2)/2)*V174*Y174*VLOOKUP('Données projet'!$B$9,Paramètres!$A$1:$I$88,3,0)*0.475*44/12</f>
        <v>0</v>
      </c>
      <c r="AC174" s="24">
        <f t="shared" si="163"/>
        <v>32.702833726335903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69.561083592444959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5.6843418860808015E-14</v>
      </c>
      <c r="AJ174" s="14">
        <f>AI174*VLOOKUP('Données projet'!$B$10,Paramètres!$A$1:$I$88,3,0)*VLOOKUP('Données projet'!$B$10,Paramètres!$A$1:$I$88,5,0)</f>
        <v>3.3992364478763198E-14</v>
      </c>
      <c r="AK174" s="14">
        <f t="shared" si="164"/>
        <v>5.790027782444094E-13</v>
      </c>
      <c r="AL174" s="22">
        <f t="shared" si="165"/>
        <v>1.0676332069095257E-12</v>
      </c>
      <c r="AM174" s="62">
        <f t="shared" si="113"/>
        <v>291.72397317229928</v>
      </c>
      <c r="AN174" s="62">
        <f ca="1">AVERAGE(OFFSET($AM$3,0,0,'Données projet'!$E$10+1,1))-AVERAGE(OFFSET($H$3,0,0,'Données projet'!$E$10+1,1))</f>
        <v>231.96474801342879</v>
      </c>
      <c r="AO174" s="62">
        <f t="shared" si="144"/>
        <v>237.75726086383668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projet'!$B$10,Paramètres!$A$1:$I$88,7,0))</f>
        <v>0</v>
      </c>
      <c r="AS174" s="17">
        <f>IF(ISNA(VLOOKUP(A174,'Données projet'!$A$61:$I$81,6,0)),0%,VLOOKUP(A174,'Données projet'!$A$61:$I$81,6,0)*VLOOKUP('Données projet'!$B$10,Paramètres!$A$1:$I$88,7,0))</f>
        <v>0</v>
      </c>
      <c r="AT174" s="17">
        <f>IF(ISNA(VLOOKUP(A174,'Données projet'!$A$61:$I$81,7,0)),0%,VLOOKUP(A174,'Données projet'!$A$61:$I$81,7,0))</f>
        <v>0</v>
      </c>
      <c r="AU174" s="23">
        <f>EXP(-LN(2)/35)*AU173+(1-EXP(-LN(2)/35))/(LN(2)/35)*AQ174*AR174*VLOOKUP('Données projet'!$B$10,Paramètres!$A$1:$I$88,3,0)*0.475*44/12</f>
        <v>10.488638737247108</v>
      </c>
      <c r="AV174" s="23">
        <f>EXP(-LN(2)/25)*AV173+(1-EXP(-LN(2)/25))/(LN(2)/25)*Calculateur!AQ174*Calculateur!AS174*VLOOKUP('Données projet'!$B$10,Paramètres!$A$1:$I$88,3,0)*0.475*44/12</f>
        <v>2.5782061511088212</v>
      </c>
      <c r="AW174" s="23">
        <f>EXP(-LN(2)/2)*AW173+(1-EXP(-LN(2)/2))/(LN(2)/2)*AQ174*AT174*VLOOKUP('Données projet'!$B$10,Paramètres!$A$1:$I$88,3,0)*0.475*44/12</f>
        <v>0</v>
      </c>
      <c r="AX174" s="23">
        <f t="shared" si="166"/>
        <v>13.066844888355929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69.561083592444959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6.8212102632969618E-13</v>
      </c>
      <c r="BE174" s="14">
        <f>BD174*VLOOKUP('Données projet'!$B$11,Paramètres!$A$1:$I$88,3,0)*VLOOKUP('Données projet'!$B$11,Paramètres!$A$1:$I$88,5,0)</f>
        <v>3.1923264032229784E-13</v>
      </c>
      <c r="BF174" s="14">
        <f t="shared" si="167"/>
        <v>4.1896839804541558E-12</v>
      </c>
      <c r="BG174" s="22">
        <f t="shared" si="168"/>
        <v>7.8530297811856558E-12</v>
      </c>
      <c r="BH174" s="62">
        <f t="shared" si="116"/>
        <v>291.72397317230605</v>
      </c>
      <c r="BI174" s="62">
        <f ca="1">AVERAGE(OFFSET($BH$3,0,0,'Données projet'!$E$11+1,1))-AVERAGE(OFFSET($H$3,0,0,'Données projet'!$E$11+1,1))</f>
        <v>364.96458059055169</v>
      </c>
      <c r="BJ174" s="62">
        <f t="shared" si="146"/>
        <v>246.27159120786257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projet'!$B$11,Paramètres!$A$1:$I$88,7,0))</f>
        <v>0</v>
      </c>
      <c r="BN174" s="17">
        <f>IF(ISNA(VLOOKUP(A174,'Données projet'!$A$87:$I$107,6,0)),0%,VLOOKUP(A174,'Données projet'!$A$87:$I$107,6,0)*VLOOKUP('Données projet'!$B$11,Paramètres!$A$1:$I$88,7,0))</f>
        <v>0</v>
      </c>
      <c r="BO174" s="17">
        <f>IF(ISNA(VLOOKUP(A174,'Données projet'!$A$87:$I$107,7,0)),0%,VLOOKUP(A174,'Données projet'!$A$87:$I$107,7,0))</f>
        <v>0</v>
      </c>
      <c r="BP174" s="23">
        <f>EXP(-LN(2)/35)*BP173+(1-EXP(-LN(2)/35))/(LN(2)/35)*BL174*BM174*VLOOKUP('Données projet'!$B$11,Paramètres!$A$1:$I$88,3,0)*0.475*44/12</f>
        <v>58.348824627489272</v>
      </c>
      <c r="BQ174" s="23">
        <f>EXP(-LN(2)/25)*BQ173+(1-EXP(-LN(2)/25))/(LN(2)/25)*Calculateur!BL174*Calculateur!BN174*VLOOKUP('Données projet'!$B$11,Paramètres!$A$1:$I$88,3,0)*0.475*44/12</f>
        <v>14.077905182635792</v>
      </c>
      <c r="BR174" s="23">
        <f>EXP(-LN(2)/2)*BR173+(1-EXP(-LN(2)/2))/(LN(2)/2)*BL174*BO174*VLOOKUP('Données projet'!$B$11,Paramètres!$A$1:$I$88,3,0)*0.475*44/12</f>
        <v>0</v>
      </c>
      <c r="BS174" s="24">
        <f t="shared" si="169"/>
        <v>72.426729810125067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69.561083592444959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-1.1368683772161603E-13</v>
      </c>
      <c r="BZ174" s="14">
        <f>BY174*VLOOKUP('Données projet'!$B$12,Paramètres!$A$1:$I$88,3,0)*VLOOKUP('Données projet'!$B$12,Paramètres!$A$1:$I$88,5,0)</f>
        <v>-1.1527845344971866E-13</v>
      </c>
      <c r="CA174" s="14" t="e">
        <f t="shared" si="170"/>
        <v>#NUM!</v>
      </c>
      <c r="CB174" s="22" t="e">
        <f t="shared" si="171"/>
        <v>#NUM!</v>
      </c>
      <c r="CC174" s="62" t="e">
        <f t="shared" si="119"/>
        <v>#NUM!</v>
      </c>
      <c r="CD174" s="62">
        <f ca="1">AVERAGE(OFFSET($CC$3,0,0,'Données projet'!$E$12+1,1))-AVERAGE(OFFSET($H$3,0,0,'Données projet'!$E$12+1,1))</f>
        <v>310.53598044763282</v>
      </c>
      <c r="CE174" s="62">
        <f t="shared" si="148"/>
        <v>322.01096634040596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projet'!$B$12,Paramètres!$A$1:$I$88,7,0))</f>
        <v>0</v>
      </c>
      <c r="CI174" s="17">
        <f>IF(ISNA(VLOOKUP(A174,'Données projet'!$A$113:$I$133,6,0)),0%,VLOOKUP(A174,'Données projet'!$A$113:$I$133,6,0)*VLOOKUP('Données projet'!$B$12,Paramètres!$A$1:$I$88,7,0))</f>
        <v>0</v>
      </c>
      <c r="CJ174" s="17">
        <f>IF(ISNA(VLOOKUP(A174,'Données projet'!$A$113:$I$133,7,0)),0%,VLOOKUP(A174,'Données projet'!$A$113:$I$133,7,0))</f>
        <v>0</v>
      </c>
      <c r="CK174" s="23">
        <f>EXP(-LN(2)/35)*CK173+(1-EXP(-LN(2)/35))/(LN(2)/35)*CG174*CH174*VLOOKUP('Données projet'!$B$12,Paramètres!$A$1:$I$88,3,0)*0.475*44/12</f>
        <v>8.0250852479281676</v>
      </c>
      <c r="CL174" s="23">
        <f>EXP(-LN(2)/25)*CL173+(1-EXP(-LN(2)/25))/(LN(2)/25)*Calculateur!CG174*Calculateur!CI174*VLOOKUP('Données projet'!$B$12,Paramètres!$A$1:$I$88,3,0)*0.475*44/12</f>
        <v>0</v>
      </c>
      <c r="CM174" s="23">
        <f>EXP(-LN(2)/2)*CM173+(1-EXP(-LN(2)/2))/(LN(2)/2)*CG174*CJ174*VLOOKUP('Données projet'!$B$12,Paramètres!$A$1:$I$88,3,0)*0.475*44/12</f>
        <v>0</v>
      </c>
      <c r="CN174" s="24">
        <f t="shared" si="172"/>
        <v>8.0250852479281676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69.561083592444959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projet'!$B$13,Paramètres!$A$1:$I$88,3,0)*VLOOKUP('Données projet'!$B$13,Paramètres!$A$1:$I$88,5,0)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projet'!$B$13,Paramètres!$A$1:$I$88,7,0))</f>
        <v>0</v>
      </c>
      <c r="DD174" s="17">
        <f>IF(ISNA(VLOOKUP(A174,'Données projet'!$A$139:$I$159,6,0)),0%,VLOOKUP(A174,'Données projet'!$A$139:$I$159,6,0)*VLOOKUP('Données projet'!$B$13,Paramètres!$A$1:$I$88,7,0))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projet'!$B$13,Paramètres!$A$1:$I$88,3,0)*0.475*44/12</f>
        <v>#N/A</v>
      </c>
      <c r="DG174" s="23" t="e">
        <f>EXP(-LN(2)/25)*DG173+(1-EXP(-LN(2)/25))/(LN(2)/25)*Calculateur!DB174*Calculateur!DD174*VLOOKUP('Données projet'!$B$13,Paramètres!$A$1:$I$88,3,0)*0.475*44/12</f>
        <v>#N/A</v>
      </c>
      <c r="DH174" s="23" t="e">
        <f>EXP(-LN(2)/2)*DH173+(1-EXP(-LN(2)/2))/(LN(2)/2)*DB174*DE174*VLOOKUP('Données projet'!$B$13,Paramètres!$A$1:$I$88,3,0)*0.475*44/12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69.561083592444959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projet'!$B$14,Paramètres!$A$1:$I$88,3,0)*VLOOKUP('Données projet'!$B$14,Paramètres!$A$1:$I$88,5,0)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projet'!$B$14,Paramètres!$A$1:$I$88,7,0))</f>
        <v>0</v>
      </c>
      <c r="DY174" s="17">
        <f>IF(ISNA(VLOOKUP(A174,'Données projet'!$A$165:$I$185,6,0)),0%,VLOOKUP(A174,'Données projet'!$A$165:$I$185,6,0)*VLOOKUP('Données projet'!$B$14,Paramètres!$A$1:$I$88,7,0))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projet'!$B$14,Paramètres!$A$1:$I$88,3,0)*0.475*44/12</f>
        <v>#N/A</v>
      </c>
      <c r="EB174" s="23" t="e">
        <f>EXP(-LN(2)/25)*EB173+(1-EXP(-LN(2)/25))/(LN(2)/25)*Calculateur!DW174*Calculateur!DY174*VLOOKUP('Données projet'!$B$14,Paramètres!$A$1:$I$88,3,0)*0.475*44/12</f>
        <v>#N/A</v>
      </c>
      <c r="EC174" s="23" t="e">
        <f>EXP(-LN(2)/2)*EC173+(1-EXP(-LN(2)/2))/(LN(2)/2)*DW174*DZ174*VLOOKUP('Données projet'!$B$14,Paramètres!$A$1:$I$88,3,0)*0.475*44/12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69.561083592444959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projet'!$B$15,Paramètres!$A$1:$I$88,3,0)*VLOOKUP('Données projet'!$B$15,Paramètres!$A$1:$I$88,5,0)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projet'!$B$15,Paramètres!$A$1:$I$88,7,0))</f>
        <v>0</v>
      </c>
      <c r="ET174" s="17">
        <f>IF(ISNA(VLOOKUP(A174,'Données projet'!$A$191:$I$211,6,0)),0%,VLOOKUP(A174,'Données projet'!$A$191:$I$211,6,0)*VLOOKUP('Données projet'!$B$15,Paramètres!$A$1:$I$88,7,0))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projet'!$B$15,Paramètres!$A$1:$I$88,3,0)*0.475*44/12</f>
        <v>#N/A</v>
      </c>
      <c r="EW174" s="23" t="e">
        <f>EXP(-LN(2)/25)*EW173+(1-EXP(-LN(2)/25))/(LN(2)/25)*Calculateur!ER174*Calculateur!ET174*VLOOKUP('Données projet'!$B$15,Paramètres!$A$1:$I$88,3,0)*0.475*44/12</f>
        <v>#N/A</v>
      </c>
      <c r="EX174" s="23" t="e">
        <f>EXP(-LN(2)/2)*EX173+(1-EXP(-LN(2)/2))/(LN(2)/2)*ER174*EU174*VLOOKUP('Données projet'!$B$15,Paramètres!$A$1:$I$88,3,0)*0.475*44/12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69.561083592444959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projet'!$B$16,Paramètres!$A$1:$I$88,3,0)*VLOOKUP('Données projet'!$B$16,Paramètres!$A$1:$I$88,5,0)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projet'!$B$16,Paramètres!$A$1:$I$88,7,0))</f>
        <v>0</v>
      </c>
      <c r="FO174" s="17">
        <f>IF(ISNA(VLOOKUP(A174,'Données projet'!$A$217:$I$237,6,0)),0%,VLOOKUP(A174,'Données projet'!$A$217:$I$237,6,0)*VLOOKUP('Données projet'!$B$16,Paramètres!$A$1:$I$88,7,0))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projet'!$B$16,Paramètres!$A$1:$I$88,3,0)*0.475*44/12</f>
        <v>#N/A</v>
      </c>
      <c r="FR174" s="23" t="e">
        <f>EXP(-LN(2)/25)*FR173+(1-EXP(-LN(2)/25))/(LN(2)/25)*Calculateur!FM174*Calculateur!FO174*VLOOKUP('Données projet'!$B$16,Paramètres!$A$1:$I$88,3,0)*0.475*44/12</f>
        <v>#N/A</v>
      </c>
      <c r="FS174" s="23" t="e">
        <f>EXP(-LN(2)/2)*FS173+(1-EXP(-LN(2)/2))/(LN(2)/2)*FM174*FP174*VLOOKUP('Données projet'!$B$16,Paramètres!$A$1:$I$88,3,0)*0.475*44/12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69.561083592444959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projet'!$B$17,Paramètres!$A$1:$I$88,3,0)*VLOOKUP('Données projet'!$B$17,Paramètres!$A$1:$I$88,5,0)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projet'!$B$17,Paramètres!$A$1:$I$88,7,0))</f>
        <v>0</v>
      </c>
      <c r="GJ174" s="17">
        <f>IF(ISNA(VLOOKUP(A174,'Données projet'!$A$243:$I$263,6,0)),0%,VLOOKUP(A174,'Données projet'!$A$243:$I$263,6,0)*VLOOKUP('Données projet'!$B$17,Paramètres!$A$1:$I$88,7,0))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projet'!$B$17,Paramètres!$A$1:$I$88,3,0)*0.475*44/12</f>
        <v>#N/A</v>
      </c>
      <c r="GM174" s="23" t="e">
        <f>EXP(-LN(2)/25)*GM173+(1-EXP(-LN(2)/25))/(LN(2)/25)*Calculateur!GH174*Calculateur!GJ174*VLOOKUP('Données projet'!$B$17,Paramètres!$A$1:$I$88,3,0)*0.475*44/12</f>
        <v>#N/A</v>
      </c>
      <c r="GN174" s="23" t="e">
        <f>EXP(-LN(2)/2)*GN173+(1-EXP(-LN(2)/2))/(LN(2)/2)*GH174*GK174*VLOOKUP('Données projet'!$B$17,Paramètres!$A$1:$I$88,3,0)*0.475*44/12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69.561083592444959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projet'!$B$18,Paramètres!$A$1:$I$88,3,0)*VLOOKUP('Données projet'!$B$18,Paramètres!$A$1:$I$88,5,0)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projet'!$B$18,Paramètres!$A$1:$I$88,7,0))</f>
        <v>0</v>
      </c>
      <c r="HE174" s="17">
        <f>IF(ISNA(VLOOKUP(A174,'Données projet'!$A$269:$I$289,6,0)),0%,VLOOKUP(A174,'Données projet'!$A$269:$I$289,6,0)*VLOOKUP('Données projet'!$B$18,Paramètres!$A$1:$I$88,7,0))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projet'!$B$18,Paramètres!$A$1:$I$88,3,0)*0.475*44/12</f>
        <v>#N/A</v>
      </c>
      <c r="HH174" s="23" t="e">
        <f>EXP(-LN(2)/25)*HH173+(1-EXP(-LN(2)/25))/(LN(2)/25)*Calculateur!HC174*Calculateur!HE174*VLOOKUP('Données projet'!$B$18,Paramètres!$A$1:$I$88,3,0)*0.475*44/12</f>
        <v>#N/A</v>
      </c>
      <c r="HI174" s="23" t="e">
        <f>EXP(-LN(2)/2)*HI173+(1-EXP(-LN(2)/2))/(LN(2)/2)*HC174*HF174*VLOOKUP('Données projet'!$B$18,Paramètres!$A$1:$I$88,3,0)*0.475*44/12</f>
        <v>#N/A</v>
      </c>
      <c r="HJ174" s="24" t="e">
        <f t="shared" si="190"/>
        <v>#N/A</v>
      </c>
    </row>
    <row r="175" spans="1:218" x14ac:dyDescent="0.35">
      <c r="A175" s="11">
        <f t="shared" si="161"/>
        <v>172</v>
      </c>
      <c r="B175" s="77">
        <f>'Scénario référence'!$B$16*5+'Scénario référence'!$B$17*0+'Scénario référence'!$B$18*5</f>
        <v>1.75</v>
      </c>
      <c r="C175" s="20">
        <f>Calculateur!C174+'Scénario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75" s="12">
        <f t="shared" si="140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6.416666666666667</v>
      </c>
      <c r="H175" s="70">
        <f t="shared" si="110"/>
        <v>231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69.568697810845947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3.4106051316484809E-13</v>
      </c>
      <c r="O175" s="14">
        <f>N175*VLOOKUP('Données projet'!$B$9,Paramètres!$A$1:$I$88,3,0)*VLOOKUP('Données projet'!$B$9,Paramètres!$A$1:$I$88,5,0)</f>
        <v>1.9065282685915009E-13</v>
      </c>
      <c r="P175" s="14">
        <f t="shared" si="141"/>
        <v>2.6568987209435707E-12</v>
      </c>
      <c r="Q175" s="22">
        <f t="shared" si="162"/>
        <v>4.959485612423072E-12</v>
      </c>
      <c r="R175" s="62">
        <f t="shared" si="109"/>
        <v>291.75189197310675</v>
      </c>
      <c r="S175" s="62">
        <f ca="1">AVERAGE(OFFSET($R$3,0,0,'Données projet'!$E$9+1,1))-AVERAGE(OFFSET($H$3,0,0,'Données projet'!$E$9+1,1))</f>
        <v>341.05096821796769</v>
      </c>
      <c r="T175" s="62">
        <f t="shared" si="142"/>
        <v>400.72519822215168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projet'!$B$9,Paramètres!$A$1:$I$88,7,0))</f>
        <v>0</v>
      </c>
      <c r="X175" s="17">
        <f>IF(ISNA(VLOOKUP(A175,'Données projet'!$A$35:$I$55,6,0)),0%,VLOOKUP(A175,'Données projet'!$A$35:$I$55,6,0)*VLOOKUP('Données projet'!$B$9,Paramètres!$A$1:$I$88,7,0))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projet'!$B$9,Paramètres!$A$1:$I$88,3,0)*0.475*44/12</f>
        <v>26.075757963363227</v>
      </c>
      <c r="AA175" s="23">
        <f>EXP(-LN(2)/25)*AA174+(1-EXP(-LN(2)/25))/(LN(2)/25)*Calculateur!V175*Calculateur!X175*VLOOKUP('Données projet'!$B$9,Paramètres!$A$1:$I$88,3,0)*0.475*44/12</f>
        <v>5.9385629086284357</v>
      </c>
      <c r="AB175" s="23">
        <f>EXP(-LN(2)/2)*AB174+(1-EXP(-LN(2)/2))/(LN(2)/2)*V175*Y175*VLOOKUP('Données projet'!$B$9,Paramètres!$A$1:$I$88,3,0)*0.475*44/12</f>
        <v>0</v>
      </c>
      <c r="AC175" s="24">
        <f t="shared" si="163"/>
        <v>32.014320871991664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69.568697810845947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5.6843418860808015E-14</v>
      </c>
      <c r="AJ175" s="14">
        <f>AI175*VLOOKUP('Données projet'!$B$10,Paramètres!$A$1:$I$88,3,0)*VLOOKUP('Données projet'!$B$10,Paramètres!$A$1:$I$88,5,0)</f>
        <v>3.3992364478763198E-14</v>
      </c>
      <c r="AK175" s="14">
        <f t="shared" si="164"/>
        <v>5.790027782444094E-13</v>
      </c>
      <c r="AL175" s="22">
        <f t="shared" si="165"/>
        <v>1.0676332069095257E-12</v>
      </c>
      <c r="AM175" s="62">
        <f t="shared" si="113"/>
        <v>291.75189197310289</v>
      </c>
      <c r="AN175" s="62">
        <f ca="1">AVERAGE(OFFSET($AM$3,0,0,'Données projet'!$E$10+1,1))-AVERAGE(OFFSET($H$3,0,0,'Données projet'!$E$10+1,1))</f>
        <v>231.96474801342879</v>
      </c>
      <c r="AO175" s="62">
        <f t="shared" si="144"/>
        <v>237.75726086383668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projet'!$B$10,Paramètres!$A$1:$I$88,7,0))</f>
        <v>0</v>
      </c>
      <c r="AS175" s="17">
        <f>IF(ISNA(VLOOKUP(A175,'Données projet'!$A$61:$I$81,6,0)),0%,VLOOKUP(A175,'Données projet'!$A$61:$I$81,6,0)*VLOOKUP('Données projet'!$B$10,Paramètres!$A$1:$I$88,7,0))</f>
        <v>0</v>
      </c>
      <c r="AT175" s="17">
        <f>IF(ISNA(VLOOKUP(A175,'Données projet'!$A$61:$I$81,7,0)),0%,VLOOKUP(A175,'Données projet'!$A$61:$I$81,7,0))</f>
        <v>0</v>
      </c>
      <c r="AU175" s="23">
        <f>EXP(-LN(2)/35)*AU174+(1-EXP(-LN(2)/35))/(LN(2)/35)*AQ175*AR175*VLOOKUP('Données projet'!$B$10,Paramètres!$A$1:$I$88,3,0)*0.475*44/12</f>
        <v>10.282962929047628</v>
      </c>
      <c r="AV175" s="23">
        <f>EXP(-LN(2)/25)*AV174+(1-EXP(-LN(2)/25))/(LN(2)/25)*Calculateur!AQ175*Calculateur!AS175*VLOOKUP('Données projet'!$B$10,Paramètres!$A$1:$I$88,3,0)*0.475*44/12</f>
        <v>2.5077049683247816</v>
      </c>
      <c r="AW175" s="23">
        <f>EXP(-LN(2)/2)*AW174+(1-EXP(-LN(2)/2))/(LN(2)/2)*AQ175*AT175*VLOOKUP('Données projet'!$B$10,Paramètres!$A$1:$I$88,3,0)*0.475*44/12</f>
        <v>0</v>
      </c>
      <c r="AX175" s="23">
        <f t="shared" si="166"/>
        <v>12.790667897372408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69.568697810845947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6.8212102632969618E-13</v>
      </c>
      <c r="BE175" s="14">
        <f>BD175*VLOOKUP('Données projet'!$B$11,Paramètres!$A$1:$I$88,3,0)*VLOOKUP('Données projet'!$B$11,Paramètres!$A$1:$I$88,5,0)</f>
        <v>3.1923264032229784E-13</v>
      </c>
      <c r="BF175" s="14">
        <f t="shared" si="167"/>
        <v>4.1896839804541558E-12</v>
      </c>
      <c r="BG175" s="22">
        <f t="shared" si="168"/>
        <v>7.8530297811856558E-12</v>
      </c>
      <c r="BH175" s="62">
        <f t="shared" si="116"/>
        <v>291.75189197310965</v>
      </c>
      <c r="BI175" s="62">
        <f ca="1">AVERAGE(OFFSET($BH$3,0,0,'Données projet'!$E$11+1,1))-AVERAGE(OFFSET($H$3,0,0,'Données projet'!$E$11+1,1))</f>
        <v>364.96458059055169</v>
      </c>
      <c r="BJ175" s="62">
        <f t="shared" si="146"/>
        <v>246.27159120786257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projet'!$B$11,Paramètres!$A$1:$I$88,7,0))</f>
        <v>0</v>
      </c>
      <c r="BN175" s="17">
        <f>IF(ISNA(VLOOKUP(A175,'Données projet'!$A$87:$I$107,6,0)),0%,VLOOKUP(A175,'Données projet'!$A$87:$I$107,6,0)*VLOOKUP('Données projet'!$B$11,Paramètres!$A$1:$I$88,7,0))</f>
        <v>0</v>
      </c>
      <c r="BO175" s="17">
        <f>IF(ISNA(VLOOKUP(A175,'Données projet'!$A$87:$I$107,7,0)),0%,VLOOKUP(A175,'Données projet'!$A$87:$I$107,7,0))</f>
        <v>0</v>
      </c>
      <c r="BP175" s="23">
        <f>EXP(-LN(2)/35)*BP174+(1-EXP(-LN(2)/35))/(LN(2)/35)*BL175*BM175*VLOOKUP('Données projet'!$B$11,Paramètres!$A$1:$I$88,3,0)*0.475*44/12</f>
        <v>57.204639765813084</v>
      </c>
      <c r="BQ175" s="23">
        <f>EXP(-LN(2)/25)*BQ174+(1-EXP(-LN(2)/25))/(LN(2)/25)*Calculateur!BL175*Calculateur!BN175*VLOOKUP('Données projet'!$B$11,Paramètres!$A$1:$I$88,3,0)*0.475*44/12</f>
        <v>13.692944125091758</v>
      </c>
      <c r="BR175" s="23">
        <f>EXP(-LN(2)/2)*BR174+(1-EXP(-LN(2)/2))/(LN(2)/2)*BL175*BO175*VLOOKUP('Données projet'!$B$11,Paramètres!$A$1:$I$88,3,0)*0.475*44/12</f>
        <v>0</v>
      </c>
      <c r="BS175" s="24">
        <f t="shared" si="169"/>
        <v>70.897583890904841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69.568697810845947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-1.1368683772161603E-13</v>
      </c>
      <c r="BZ175" s="14">
        <f>BY175*VLOOKUP('Données projet'!$B$12,Paramètres!$A$1:$I$88,3,0)*VLOOKUP('Données projet'!$B$12,Paramètres!$A$1:$I$88,5,0)</f>
        <v>-1.1527845344971866E-13</v>
      </c>
      <c r="CA175" s="14" t="e">
        <f t="shared" si="170"/>
        <v>#NUM!</v>
      </c>
      <c r="CB175" s="22" t="e">
        <f t="shared" si="171"/>
        <v>#NUM!</v>
      </c>
      <c r="CC175" s="62" t="e">
        <f t="shared" si="119"/>
        <v>#NUM!</v>
      </c>
      <c r="CD175" s="62">
        <f ca="1">AVERAGE(OFFSET($CC$3,0,0,'Données projet'!$E$12+1,1))-AVERAGE(OFFSET($H$3,0,0,'Données projet'!$E$12+1,1))</f>
        <v>310.53598044763282</v>
      </c>
      <c r="CE175" s="62">
        <f t="shared" si="148"/>
        <v>322.01096634040596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projet'!$B$12,Paramètres!$A$1:$I$88,7,0))</f>
        <v>0</v>
      </c>
      <c r="CI175" s="17">
        <f>IF(ISNA(VLOOKUP(A175,'Données projet'!$A$113:$I$133,6,0)),0%,VLOOKUP(A175,'Données projet'!$A$113:$I$133,6,0)*VLOOKUP('Données projet'!$B$12,Paramètres!$A$1:$I$88,7,0))</f>
        <v>0</v>
      </c>
      <c r="CJ175" s="17">
        <f>IF(ISNA(VLOOKUP(A175,'Données projet'!$A$113:$I$133,7,0)),0%,VLOOKUP(A175,'Données projet'!$A$113:$I$133,7,0))</f>
        <v>0</v>
      </c>
      <c r="CK175" s="23">
        <f>EXP(-LN(2)/35)*CK174+(1-EXP(-LN(2)/35))/(LN(2)/35)*CG175*CH175*VLOOKUP('Données projet'!$B$12,Paramètres!$A$1:$I$88,3,0)*0.475*44/12</f>
        <v>7.8677182210349743</v>
      </c>
      <c r="CL175" s="23">
        <f>EXP(-LN(2)/25)*CL174+(1-EXP(-LN(2)/25))/(LN(2)/25)*Calculateur!CG175*Calculateur!CI175*VLOOKUP('Données projet'!$B$12,Paramètres!$A$1:$I$88,3,0)*0.475*44/12</f>
        <v>0</v>
      </c>
      <c r="CM175" s="23">
        <f>EXP(-LN(2)/2)*CM174+(1-EXP(-LN(2)/2))/(LN(2)/2)*CG175*CJ175*VLOOKUP('Données projet'!$B$12,Paramètres!$A$1:$I$88,3,0)*0.475*44/12</f>
        <v>0</v>
      </c>
      <c r="CN175" s="24">
        <f t="shared" si="172"/>
        <v>7.8677182210349743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69.568697810845947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projet'!$B$13,Paramètres!$A$1:$I$88,3,0)*VLOOKUP('Données projet'!$B$13,Paramètres!$A$1:$I$88,5,0)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projet'!$B$13,Paramètres!$A$1:$I$88,7,0))</f>
        <v>0</v>
      </c>
      <c r="DD175" s="17">
        <f>IF(ISNA(VLOOKUP(A175,'Données projet'!$A$139:$I$159,6,0)),0%,VLOOKUP(A175,'Données projet'!$A$139:$I$159,6,0)*VLOOKUP('Données projet'!$B$13,Paramètres!$A$1:$I$88,7,0))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projet'!$B$13,Paramètres!$A$1:$I$88,3,0)*0.475*44/12</f>
        <v>#N/A</v>
      </c>
      <c r="DG175" s="23" t="e">
        <f>EXP(-LN(2)/25)*DG174+(1-EXP(-LN(2)/25))/(LN(2)/25)*Calculateur!DB175*Calculateur!DD175*VLOOKUP('Données projet'!$B$13,Paramètres!$A$1:$I$88,3,0)*0.475*44/12</f>
        <v>#N/A</v>
      </c>
      <c r="DH175" s="23" t="e">
        <f>EXP(-LN(2)/2)*DH174+(1-EXP(-LN(2)/2))/(LN(2)/2)*DB175*DE175*VLOOKUP('Données projet'!$B$13,Paramètres!$A$1:$I$88,3,0)*0.475*44/12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69.568697810845947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projet'!$B$14,Paramètres!$A$1:$I$88,3,0)*VLOOKUP('Données projet'!$B$14,Paramètres!$A$1:$I$88,5,0)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projet'!$B$14,Paramètres!$A$1:$I$88,7,0))</f>
        <v>0</v>
      </c>
      <c r="DY175" s="17">
        <f>IF(ISNA(VLOOKUP(A175,'Données projet'!$A$165:$I$185,6,0)),0%,VLOOKUP(A175,'Données projet'!$A$165:$I$185,6,0)*VLOOKUP('Données projet'!$B$14,Paramètres!$A$1:$I$88,7,0))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projet'!$B$14,Paramètres!$A$1:$I$88,3,0)*0.475*44/12</f>
        <v>#N/A</v>
      </c>
      <c r="EB175" s="23" t="e">
        <f>EXP(-LN(2)/25)*EB174+(1-EXP(-LN(2)/25))/(LN(2)/25)*Calculateur!DW175*Calculateur!DY175*VLOOKUP('Données projet'!$B$14,Paramètres!$A$1:$I$88,3,0)*0.475*44/12</f>
        <v>#N/A</v>
      </c>
      <c r="EC175" s="23" t="e">
        <f>EXP(-LN(2)/2)*EC174+(1-EXP(-LN(2)/2))/(LN(2)/2)*DW175*DZ175*VLOOKUP('Données projet'!$B$14,Paramètres!$A$1:$I$88,3,0)*0.475*44/12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69.568697810845947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projet'!$B$15,Paramètres!$A$1:$I$88,3,0)*VLOOKUP('Données projet'!$B$15,Paramètres!$A$1:$I$88,5,0)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projet'!$B$15,Paramètres!$A$1:$I$88,7,0))</f>
        <v>0</v>
      </c>
      <c r="ET175" s="17">
        <f>IF(ISNA(VLOOKUP(A175,'Données projet'!$A$191:$I$211,6,0)),0%,VLOOKUP(A175,'Données projet'!$A$191:$I$211,6,0)*VLOOKUP('Données projet'!$B$15,Paramètres!$A$1:$I$88,7,0))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projet'!$B$15,Paramètres!$A$1:$I$88,3,0)*0.475*44/12</f>
        <v>#N/A</v>
      </c>
      <c r="EW175" s="23" t="e">
        <f>EXP(-LN(2)/25)*EW174+(1-EXP(-LN(2)/25))/(LN(2)/25)*Calculateur!ER175*Calculateur!ET175*VLOOKUP('Données projet'!$B$15,Paramètres!$A$1:$I$88,3,0)*0.475*44/12</f>
        <v>#N/A</v>
      </c>
      <c r="EX175" s="23" t="e">
        <f>EXP(-LN(2)/2)*EX174+(1-EXP(-LN(2)/2))/(LN(2)/2)*ER175*EU175*VLOOKUP('Données projet'!$B$15,Paramètres!$A$1:$I$88,3,0)*0.475*44/12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69.568697810845947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projet'!$B$16,Paramètres!$A$1:$I$88,3,0)*VLOOKUP('Données projet'!$B$16,Paramètres!$A$1:$I$88,5,0)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projet'!$B$16,Paramètres!$A$1:$I$88,7,0))</f>
        <v>0</v>
      </c>
      <c r="FO175" s="17">
        <f>IF(ISNA(VLOOKUP(A175,'Données projet'!$A$217:$I$237,6,0)),0%,VLOOKUP(A175,'Données projet'!$A$217:$I$237,6,0)*VLOOKUP('Données projet'!$B$16,Paramètres!$A$1:$I$88,7,0))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projet'!$B$16,Paramètres!$A$1:$I$88,3,0)*0.475*44/12</f>
        <v>#N/A</v>
      </c>
      <c r="FR175" s="23" t="e">
        <f>EXP(-LN(2)/25)*FR174+(1-EXP(-LN(2)/25))/(LN(2)/25)*Calculateur!FM175*Calculateur!FO175*VLOOKUP('Données projet'!$B$16,Paramètres!$A$1:$I$88,3,0)*0.475*44/12</f>
        <v>#N/A</v>
      </c>
      <c r="FS175" s="23" t="e">
        <f>EXP(-LN(2)/2)*FS174+(1-EXP(-LN(2)/2))/(LN(2)/2)*FM175*FP175*VLOOKUP('Données projet'!$B$16,Paramètres!$A$1:$I$88,3,0)*0.475*44/12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69.568697810845947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projet'!$B$17,Paramètres!$A$1:$I$88,3,0)*VLOOKUP('Données projet'!$B$17,Paramètres!$A$1:$I$88,5,0)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projet'!$B$17,Paramètres!$A$1:$I$88,7,0))</f>
        <v>0</v>
      </c>
      <c r="GJ175" s="17">
        <f>IF(ISNA(VLOOKUP(A175,'Données projet'!$A$243:$I$263,6,0)),0%,VLOOKUP(A175,'Données projet'!$A$243:$I$263,6,0)*VLOOKUP('Données projet'!$B$17,Paramètres!$A$1:$I$88,7,0))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projet'!$B$17,Paramètres!$A$1:$I$88,3,0)*0.475*44/12</f>
        <v>#N/A</v>
      </c>
      <c r="GM175" s="23" t="e">
        <f>EXP(-LN(2)/25)*GM174+(1-EXP(-LN(2)/25))/(LN(2)/25)*Calculateur!GH175*Calculateur!GJ175*VLOOKUP('Données projet'!$B$17,Paramètres!$A$1:$I$88,3,0)*0.475*44/12</f>
        <v>#N/A</v>
      </c>
      <c r="GN175" s="23" t="e">
        <f>EXP(-LN(2)/2)*GN174+(1-EXP(-LN(2)/2))/(LN(2)/2)*GH175*GK175*VLOOKUP('Données projet'!$B$17,Paramètres!$A$1:$I$88,3,0)*0.475*44/12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69.568697810845947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projet'!$B$18,Paramètres!$A$1:$I$88,3,0)*VLOOKUP('Données projet'!$B$18,Paramètres!$A$1:$I$88,5,0)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projet'!$B$18,Paramètres!$A$1:$I$88,7,0))</f>
        <v>0</v>
      </c>
      <c r="HE175" s="17">
        <f>IF(ISNA(VLOOKUP(A175,'Données projet'!$A$269:$I$289,6,0)),0%,VLOOKUP(A175,'Données projet'!$A$269:$I$289,6,0)*VLOOKUP('Données projet'!$B$18,Paramètres!$A$1:$I$88,7,0))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projet'!$B$18,Paramètres!$A$1:$I$88,3,0)*0.475*44/12</f>
        <v>#N/A</v>
      </c>
      <c r="HH175" s="23" t="e">
        <f>EXP(-LN(2)/25)*HH174+(1-EXP(-LN(2)/25))/(LN(2)/25)*Calculateur!HC175*Calculateur!HE175*VLOOKUP('Données projet'!$B$18,Paramètres!$A$1:$I$88,3,0)*0.475*44/12</f>
        <v>#N/A</v>
      </c>
      <c r="HI175" s="23" t="e">
        <f>EXP(-LN(2)/2)*HI174+(1-EXP(-LN(2)/2))/(LN(2)/2)*HC175*HF175*VLOOKUP('Données projet'!$B$18,Paramètres!$A$1:$I$88,3,0)*0.475*44/12</f>
        <v>#N/A</v>
      </c>
      <c r="HJ175" s="24" t="e">
        <f t="shared" si="190"/>
        <v>#N/A</v>
      </c>
    </row>
    <row r="176" spans="1:218" x14ac:dyDescent="0.35">
      <c r="A176" s="11">
        <f t="shared" si="161"/>
        <v>173</v>
      </c>
      <c r="B176" s="77">
        <f>'Scénario référence'!$B$16*5+'Scénario référence'!$B$17*0+'Scénario référence'!$B$18*5</f>
        <v>1.75</v>
      </c>
      <c r="C176" s="20">
        <f>Calculateur!C175+'Scénario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76" s="12">
        <f t="shared" si="140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6.416666666666667</v>
      </c>
      <c r="H176" s="70">
        <f t="shared" si="110"/>
        <v>231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69.576179939580541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3.4106051316484809E-13</v>
      </c>
      <c r="O176" s="14">
        <f>N176*VLOOKUP('Données projet'!$B$9,Paramètres!$A$1:$I$88,3,0)*VLOOKUP('Données projet'!$B$9,Paramètres!$A$1:$I$88,5,0)</f>
        <v>1.9065282685915009E-13</v>
      </c>
      <c r="P176" s="14">
        <f t="shared" si="141"/>
        <v>2.6568987209435707E-12</v>
      </c>
      <c r="Q176" s="22">
        <f t="shared" si="162"/>
        <v>4.959485612423072E-12</v>
      </c>
      <c r="R176" s="62">
        <f t="shared" si="109"/>
        <v>291.77932644513362</v>
      </c>
      <c r="S176" s="62">
        <f ca="1">AVERAGE(OFFSET($R$3,0,0,'Données projet'!$E$9+1,1))-AVERAGE(OFFSET($H$3,0,0,'Données projet'!$E$9+1,1))</f>
        <v>341.05096821796769</v>
      </c>
      <c r="T176" s="62">
        <f t="shared" si="142"/>
        <v>400.72519822215168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projet'!$B$9,Paramètres!$A$1:$I$88,7,0))</f>
        <v>0</v>
      </c>
      <c r="X176" s="17">
        <f>IF(ISNA(VLOOKUP(A176,'Données projet'!$A$35:$I$55,6,0)),0%,VLOOKUP(A176,'Données projet'!$A$35:$I$55,6,0)*VLOOKUP('Données projet'!$B$9,Paramètres!$A$1:$I$88,7,0))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projet'!$B$9,Paramètres!$A$1:$I$88,3,0)*0.475*44/12</f>
        <v>25.564428254343579</v>
      </c>
      <c r="AA176" s="23">
        <f>EXP(-LN(2)/25)*AA175+(1-EXP(-LN(2)/25))/(LN(2)/25)*Calculateur!V176*Calculateur!X176*VLOOKUP('Données projet'!$B$9,Paramètres!$A$1:$I$88,3,0)*0.475*44/12</f>
        <v>5.7761725935965407</v>
      </c>
      <c r="AB176" s="23">
        <f>EXP(-LN(2)/2)*AB175+(1-EXP(-LN(2)/2))/(LN(2)/2)*V176*Y176*VLOOKUP('Données projet'!$B$9,Paramètres!$A$1:$I$88,3,0)*0.475*44/12</f>
        <v>0</v>
      </c>
      <c r="AC176" s="24">
        <f t="shared" si="163"/>
        <v>31.34060084794012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69.576179939580541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5.6843418860808015E-14</v>
      </c>
      <c r="AJ176" s="14">
        <f>AI176*VLOOKUP('Données projet'!$B$10,Paramètres!$A$1:$I$88,3,0)*VLOOKUP('Données projet'!$B$10,Paramètres!$A$1:$I$88,5,0)</f>
        <v>3.3992364478763198E-14</v>
      </c>
      <c r="AK176" s="14">
        <f t="shared" si="164"/>
        <v>5.790027782444094E-13</v>
      </c>
      <c r="AL176" s="22">
        <f t="shared" si="165"/>
        <v>1.0676332069095257E-12</v>
      </c>
      <c r="AM176" s="62">
        <f t="shared" si="113"/>
        <v>291.77932644512975</v>
      </c>
      <c r="AN176" s="62">
        <f ca="1">AVERAGE(OFFSET($AM$3,0,0,'Données projet'!$E$10+1,1))-AVERAGE(OFFSET($H$3,0,0,'Données projet'!$E$10+1,1))</f>
        <v>231.96474801342879</v>
      </c>
      <c r="AO176" s="62">
        <f t="shared" si="144"/>
        <v>237.75726086383668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projet'!$B$10,Paramètres!$A$1:$I$88,7,0))</f>
        <v>0</v>
      </c>
      <c r="AS176" s="17">
        <f>IF(ISNA(VLOOKUP(A176,'Données projet'!$A$61:$I$81,6,0)),0%,VLOOKUP(A176,'Données projet'!$A$61:$I$81,6,0)*VLOOKUP('Données projet'!$B$10,Paramètres!$A$1:$I$88,7,0))</f>
        <v>0</v>
      </c>
      <c r="AT176" s="17">
        <f>IF(ISNA(VLOOKUP(A176,'Données projet'!$A$61:$I$81,7,0)),0%,VLOOKUP(A176,'Données projet'!$A$61:$I$81,7,0))</f>
        <v>0</v>
      </c>
      <c r="AU176" s="23">
        <f>EXP(-LN(2)/35)*AU175+(1-EXP(-LN(2)/35))/(LN(2)/35)*AQ176*AR176*VLOOKUP('Données projet'!$B$10,Paramètres!$A$1:$I$88,3,0)*0.475*44/12</f>
        <v>10.081320297997083</v>
      </c>
      <c r="AV176" s="23">
        <f>EXP(-LN(2)/25)*AV175+(1-EXP(-LN(2)/25))/(LN(2)/25)*Calculateur!AQ176*Calculateur!AS176*VLOOKUP('Données projet'!$B$10,Paramètres!$A$1:$I$88,3,0)*0.475*44/12</f>
        <v>2.4391316440914674</v>
      </c>
      <c r="AW176" s="23">
        <f>EXP(-LN(2)/2)*AW175+(1-EXP(-LN(2)/2))/(LN(2)/2)*AQ176*AT176*VLOOKUP('Données projet'!$B$10,Paramètres!$A$1:$I$88,3,0)*0.475*44/12</f>
        <v>0</v>
      </c>
      <c r="AX176" s="23">
        <f t="shared" si="166"/>
        <v>12.520451942088551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69.576179939580541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6.8212102632969618E-13</v>
      </c>
      <c r="BE176" s="14">
        <f>BD176*VLOOKUP('Données projet'!$B$11,Paramètres!$A$1:$I$88,3,0)*VLOOKUP('Données projet'!$B$11,Paramètres!$A$1:$I$88,5,0)</f>
        <v>3.1923264032229784E-13</v>
      </c>
      <c r="BF176" s="14">
        <f t="shared" si="167"/>
        <v>4.1896839804541558E-12</v>
      </c>
      <c r="BG176" s="22">
        <f t="shared" si="168"/>
        <v>7.8530297811856558E-12</v>
      </c>
      <c r="BH176" s="62">
        <f t="shared" si="116"/>
        <v>291.77932644513652</v>
      </c>
      <c r="BI176" s="62">
        <f ca="1">AVERAGE(OFFSET($BH$3,0,0,'Données projet'!$E$11+1,1))-AVERAGE(OFFSET($H$3,0,0,'Données projet'!$E$11+1,1))</f>
        <v>364.96458059055169</v>
      </c>
      <c r="BJ176" s="62">
        <f t="shared" si="146"/>
        <v>246.27159120786257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projet'!$B$11,Paramètres!$A$1:$I$88,7,0))</f>
        <v>0</v>
      </c>
      <c r="BN176" s="17">
        <f>IF(ISNA(VLOOKUP(A176,'Données projet'!$A$87:$I$107,6,0)),0%,VLOOKUP(A176,'Données projet'!$A$87:$I$107,6,0)*VLOOKUP('Données projet'!$B$11,Paramètres!$A$1:$I$88,7,0))</f>
        <v>0</v>
      </c>
      <c r="BO176" s="17">
        <f>IF(ISNA(VLOOKUP(A176,'Données projet'!$A$87:$I$107,7,0)),0%,VLOOKUP(A176,'Données projet'!$A$87:$I$107,7,0))</f>
        <v>0</v>
      </c>
      <c r="BP176" s="23">
        <f>EXP(-LN(2)/35)*BP175+(1-EXP(-LN(2)/35))/(LN(2)/35)*BL176*BM176*VLOOKUP('Données projet'!$B$11,Paramètres!$A$1:$I$88,3,0)*0.475*44/12</f>
        <v>56.082891671390506</v>
      </c>
      <c r="BQ176" s="23">
        <f>EXP(-LN(2)/25)*BQ175+(1-EXP(-LN(2)/25))/(LN(2)/25)*Calculateur!BL176*Calculateur!BN176*VLOOKUP('Données projet'!$B$11,Paramètres!$A$1:$I$88,3,0)*0.475*44/12</f>
        <v>13.318509847910487</v>
      </c>
      <c r="BR176" s="23">
        <f>EXP(-LN(2)/2)*BR175+(1-EXP(-LN(2)/2))/(LN(2)/2)*BL176*BO176*VLOOKUP('Données projet'!$B$11,Paramètres!$A$1:$I$88,3,0)*0.475*44/12</f>
        <v>0</v>
      </c>
      <c r="BS176" s="24">
        <f t="shared" si="169"/>
        <v>69.40140151930099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69.576179939580541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-1.1368683772161603E-13</v>
      </c>
      <c r="BZ176" s="14">
        <f>BY176*VLOOKUP('Données projet'!$B$12,Paramètres!$A$1:$I$88,3,0)*VLOOKUP('Données projet'!$B$12,Paramètres!$A$1:$I$88,5,0)</f>
        <v>-1.1527845344971866E-13</v>
      </c>
      <c r="CA176" s="14" t="e">
        <f t="shared" si="170"/>
        <v>#NUM!</v>
      </c>
      <c r="CB176" s="22" t="e">
        <f t="shared" si="171"/>
        <v>#NUM!</v>
      </c>
      <c r="CC176" s="62" t="e">
        <f t="shared" si="119"/>
        <v>#NUM!</v>
      </c>
      <c r="CD176" s="62">
        <f ca="1">AVERAGE(OFFSET($CC$3,0,0,'Données projet'!$E$12+1,1))-AVERAGE(OFFSET($H$3,0,0,'Données projet'!$E$12+1,1))</f>
        <v>310.53598044763282</v>
      </c>
      <c r="CE176" s="62">
        <f t="shared" si="148"/>
        <v>322.01096634040596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projet'!$B$12,Paramètres!$A$1:$I$88,7,0))</f>
        <v>0</v>
      </c>
      <c r="CI176" s="17">
        <f>IF(ISNA(VLOOKUP(A176,'Données projet'!$A$113:$I$133,6,0)),0%,VLOOKUP(A176,'Données projet'!$A$113:$I$133,6,0)*VLOOKUP('Données projet'!$B$12,Paramètres!$A$1:$I$88,7,0))</f>
        <v>0</v>
      </c>
      <c r="CJ176" s="17">
        <f>IF(ISNA(VLOOKUP(A176,'Données projet'!$A$113:$I$133,7,0)),0%,VLOOKUP(A176,'Données projet'!$A$113:$I$133,7,0))</f>
        <v>0</v>
      </c>
      <c r="CK176" s="23">
        <f>EXP(-LN(2)/35)*CK175+(1-EXP(-LN(2)/35))/(LN(2)/35)*CG176*CH176*VLOOKUP('Données projet'!$B$12,Paramètres!$A$1:$I$88,3,0)*0.475*44/12</f>
        <v>7.7134370655547482</v>
      </c>
      <c r="CL176" s="23">
        <f>EXP(-LN(2)/25)*CL175+(1-EXP(-LN(2)/25))/(LN(2)/25)*Calculateur!CG176*Calculateur!CI176*VLOOKUP('Données projet'!$B$12,Paramètres!$A$1:$I$88,3,0)*0.475*44/12</f>
        <v>0</v>
      </c>
      <c r="CM176" s="23">
        <f>EXP(-LN(2)/2)*CM175+(1-EXP(-LN(2)/2))/(LN(2)/2)*CG176*CJ176*VLOOKUP('Données projet'!$B$12,Paramètres!$A$1:$I$88,3,0)*0.475*44/12</f>
        <v>0</v>
      </c>
      <c r="CN176" s="24">
        <f t="shared" si="172"/>
        <v>7.7134370655547482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69.576179939580541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projet'!$B$13,Paramètres!$A$1:$I$88,3,0)*VLOOKUP('Données projet'!$B$13,Paramètres!$A$1:$I$88,5,0)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projet'!$B$13,Paramètres!$A$1:$I$88,7,0))</f>
        <v>0</v>
      </c>
      <c r="DD176" s="17">
        <f>IF(ISNA(VLOOKUP(A176,'Données projet'!$A$139:$I$159,6,0)),0%,VLOOKUP(A176,'Données projet'!$A$139:$I$159,6,0)*VLOOKUP('Données projet'!$B$13,Paramètres!$A$1:$I$88,7,0))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projet'!$B$13,Paramètres!$A$1:$I$88,3,0)*0.475*44/12</f>
        <v>#N/A</v>
      </c>
      <c r="DG176" s="23" t="e">
        <f>EXP(-LN(2)/25)*DG175+(1-EXP(-LN(2)/25))/(LN(2)/25)*Calculateur!DB176*Calculateur!DD176*VLOOKUP('Données projet'!$B$13,Paramètres!$A$1:$I$88,3,0)*0.475*44/12</f>
        <v>#N/A</v>
      </c>
      <c r="DH176" s="23" t="e">
        <f>EXP(-LN(2)/2)*DH175+(1-EXP(-LN(2)/2))/(LN(2)/2)*DB176*DE176*VLOOKUP('Données projet'!$B$13,Paramètres!$A$1:$I$88,3,0)*0.475*44/12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69.576179939580541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projet'!$B$14,Paramètres!$A$1:$I$88,3,0)*VLOOKUP('Données projet'!$B$14,Paramètres!$A$1:$I$88,5,0)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projet'!$B$14,Paramètres!$A$1:$I$88,7,0))</f>
        <v>0</v>
      </c>
      <c r="DY176" s="17">
        <f>IF(ISNA(VLOOKUP(A176,'Données projet'!$A$165:$I$185,6,0)),0%,VLOOKUP(A176,'Données projet'!$A$165:$I$185,6,0)*VLOOKUP('Données projet'!$B$14,Paramètres!$A$1:$I$88,7,0))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projet'!$B$14,Paramètres!$A$1:$I$88,3,0)*0.475*44/12</f>
        <v>#N/A</v>
      </c>
      <c r="EB176" s="23" t="e">
        <f>EXP(-LN(2)/25)*EB175+(1-EXP(-LN(2)/25))/(LN(2)/25)*Calculateur!DW176*Calculateur!DY176*VLOOKUP('Données projet'!$B$14,Paramètres!$A$1:$I$88,3,0)*0.475*44/12</f>
        <v>#N/A</v>
      </c>
      <c r="EC176" s="23" t="e">
        <f>EXP(-LN(2)/2)*EC175+(1-EXP(-LN(2)/2))/(LN(2)/2)*DW176*DZ176*VLOOKUP('Données projet'!$B$14,Paramètres!$A$1:$I$88,3,0)*0.475*44/12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69.576179939580541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projet'!$B$15,Paramètres!$A$1:$I$88,3,0)*VLOOKUP('Données projet'!$B$15,Paramètres!$A$1:$I$88,5,0)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projet'!$B$15,Paramètres!$A$1:$I$88,7,0))</f>
        <v>0</v>
      </c>
      <c r="ET176" s="17">
        <f>IF(ISNA(VLOOKUP(A176,'Données projet'!$A$191:$I$211,6,0)),0%,VLOOKUP(A176,'Données projet'!$A$191:$I$211,6,0)*VLOOKUP('Données projet'!$B$15,Paramètres!$A$1:$I$88,7,0))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projet'!$B$15,Paramètres!$A$1:$I$88,3,0)*0.475*44/12</f>
        <v>#N/A</v>
      </c>
      <c r="EW176" s="23" t="e">
        <f>EXP(-LN(2)/25)*EW175+(1-EXP(-LN(2)/25))/(LN(2)/25)*Calculateur!ER176*Calculateur!ET176*VLOOKUP('Données projet'!$B$15,Paramètres!$A$1:$I$88,3,0)*0.475*44/12</f>
        <v>#N/A</v>
      </c>
      <c r="EX176" s="23" t="e">
        <f>EXP(-LN(2)/2)*EX175+(1-EXP(-LN(2)/2))/(LN(2)/2)*ER176*EU176*VLOOKUP('Données projet'!$B$15,Paramètres!$A$1:$I$88,3,0)*0.475*44/12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69.576179939580541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projet'!$B$16,Paramètres!$A$1:$I$88,3,0)*VLOOKUP('Données projet'!$B$16,Paramètres!$A$1:$I$88,5,0)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projet'!$B$16,Paramètres!$A$1:$I$88,7,0))</f>
        <v>0</v>
      </c>
      <c r="FO176" s="17">
        <f>IF(ISNA(VLOOKUP(A176,'Données projet'!$A$217:$I$237,6,0)),0%,VLOOKUP(A176,'Données projet'!$A$217:$I$237,6,0)*VLOOKUP('Données projet'!$B$16,Paramètres!$A$1:$I$88,7,0))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projet'!$B$16,Paramètres!$A$1:$I$88,3,0)*0.475*44/12</f>
        <v>#N/A</v>
      </c>
      <c r="FR176" s="23" t="e">
        <f>EXP(-LN(2)/25)*FR175+(1-EXP(-LN(2)/25))/(LN(2)/25)*Calculateur!FM176*Calculateur!FO176*VLOOKUP('Données projet'!$B$16,Paramètres!$A$1:$I$88,3,0)*0.475*44/12</f>
        <v>#N/A</v>
      </c>
      <c r="FS176" s="23" t="e">
        <f>EXP(-LN(2)/2)*FS175+(1-EXP(-LN(2)/2))/(LN(2)/2)*FM176*FP176*VLOOKUP('Données projet'!$B$16,Paramètres!$A$1:$I$88,3,0)*0.475*44/12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69.576179939580541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projet'!$B$17,Paramètres!$A$1:$I$88,3,0)*VLOOKUP('Données projet'!$B$17,Paramètres!$A$1:$I$88,5,0)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projet'!$B$17,Paramètres!$A$1:$I$88,7,0))</f>
        <v>0</v>
      </c>
      <c r="GJ176" s="17">
        <f>IF(ISNA(VLOOKUP(A176,'Données projet'!$A$243:$I$263,6,0)),0%,VLOOKUP(A176,'Données projet'!$A$243:$I$263,6,0)*VLOOKUP('Données projet'!$B$17,Paramètres!$A$1:$I$88,7,0))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projet'!$B$17,Paramètres!$A$1:$I$88,3,0)*0.475*44/12</f>
        <v>#N/A</v>
      </c>
      <c r="GM176" s="23" t="e">
        <f>EXP(-LN(2)/25)*GM175+(1-EXP(-LN(2)/25))/(LN(2)/25)*Calculateur!GH176*Calculateur!GJ176*VLOOKUP('Données projet'!$B$17,Paramètres!$A$1:$I$88,3,0)*0.475*44/12</f>
        <v>#N/A</v>
      </c>
      <c r="GN176" s="23" t="e">
        <f>EXP(-LN(2)/2)*GN175+(1-EXP(-LN(2)/2))/(LN(2)/2)*GH176*GK176*VLOOKUP('Données projet'!$B$17,Paramètres!$A$1:$I$88,3,0)*0.475*44/12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69.576179939580541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projet'!$B$18,Paramètres!$A$1:$I$88,3,0)*VLOOKUP('Données projet'!$B$18,Paramètres!$A$1:$I$88,5,0)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projet'!$B$18,Paramètres!$A$1:$I$88,7,0))</f>
        <v>0</v>
      </c>
      <c r="HE176" s="17">
        <f>IF(ISNA(VLOOKUP(A176,'Données projet'!$A$269:$I$289,6,0)),0%,VLOOKUP(A176,'Données projet'!$A$269:$I$289,6,0)*VLOOKUP('Données projet'!$B$18,Paramètres!$A$1:$I$88,7,0))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projet'!$B$18,Paramètres!$A$1:$I$88,3,0)*0.475*44/12</f>
        <v>#N/A</v>
      </c>
      <c r="HH176" s="23" t="e">
        <f>EXP(-LN(2)/25)*HH175+(1-EXP(-LN(2)/25))/(LN(2)/25)*Calculateur!HC176*Calculateur!HE176*VLOOKUP('Données projet'!$B$18,Paramètres!$A$1:$I$88,3,0)*0.475*44/12</f>
        <v>#N/A</v>
      </c>
      <c r="HI176" s="23" t="e">
        <f>EXP(-LN(2)/2)*HI175+(1-EXP(-LN(2)/2))/(LN(2)/2)*HC176*HF176*VLOOKUP('Données projet'!$B$18,Paramètres!$A$1:$I$88,3,0)*0.475*44/12</f>
        <v>#N/A</v>
      </c>
      <c r="HJ176" s="24" t="e">
        <f t="shared" si="190"/>
        <v>#N/A</v>
      </c>
    </row>
    <row r="177" spans="1:218" x14ac:dyDescent="0.35">
      <c r="A177" s="11">
        <f t="shared" si="161"/>
        <v>174</v>
      </c>
      <c r="B177" s="77">
        <f>'Scénario référence'!$B$16*5+'Scénario référence'!$B$17*0+'Scénario référence'!$B$18*5</f>
        <v>1.75</v>
      </c>
      <c r="C177" s="20">
        <f>Calculateur!C176+'Scénario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77" s="12">
        <f t="shared" si="140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6.416666666666667</v>
      </c>
      <c r="H177" s="70">
        <f t="shared" si="110"/>
        <v>231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69.583532270109117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3.4106051316484809E-13</v>
      </c>
      <c r="O177" s="14">
        <f>N177*VLOOKUP('Données projet'!$B$9,Paramètres!$A$1:$I$88,3,0)*VLOOKUP('Données projet'!$B$9,Paramètres!$A$1:$I$88,5,0)</f>
        <v>1.9065282685915009E-13</v>
      </c>
      <c r="P177" s="14">
        <f t="shared" si="141"/>
        <v>2.6568987209435707E-12</v>
      </c>
      <c r="Q177" s="22">
        <f t="shared" si="162"/>
        <v>4.959485612423072E-12</v>
      </c>
      <c r="R177" s="62">
        <f t="shared" si="109"/>
        <v>291.80628499040506</v>
      </c>
      <c r="S177" s="62">
        <f ca="1">AVERAGE(OFFSET($R$3,0,0,'Données projet'!$E$9+1,1))-AVERAGE(OFFSET($H$3,0,0,'Données projet'!$E$9+1,1))</f>
        <v>341.05096821796769</v>
      </c>
      <c r="T177" s="62">
        <f t="shared" si="142"/>
        <v>400.72519822215168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projet'!$B$9,Paramètres!$A$1:$I$88,7,0))</f>
        <v>0</v>
      </c>
      <c r="X177" s="17">
        <f>IF(ISNA(VLOOKUP(A177,'Données projet'!$A$35:$I$55,6,0)),0%,VLOOKUP(A177,'Données projet'!$A$35:$I$55,6,0)*VLOOKUP('Données projet'!$B$9,Paramètres!$A$1:$I$88,7,0))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projet'!$B$9,Paramètres!$A$1:$I$88,3,0)*0.475*44/12</f>
        <v>25.063125409037479</v>
      </c>
      <c r="AA177" s="23">
        <f>EXP(-LN(2)/25)*AA176+(1-EXP(-LN(2)/25))/(LN(2)/25)*Calculateur!V177*Calculateur!X177*VLOOKUP('Données projet'!$B$9,Paramètres!$A$1:$I$88,3,0)*0.475*44/12</f>
        <v>5.6182228502689284</v>
      </c>
      <c r="AB177" s="23">
        <f>EXP(-LN(2)/2)*AB176+(1-EXP(-LN(2)/2))/(LN(2)/2)*V177*Y177*VLOOKUP('Données projet'!$B$9,Paramètres!$A$1:$I$88,3,0)*0.475*44/12</f>
        <v>0</v>
      </c>
      <c r="AC177" s="24">
        <f t="shared" si="163"/>
        <v>30.681348259306407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69.583532270109117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5.6843418860808015E-14</v>
      </c>
      <c r="AJ177" s="14">
        <f>AI177*VLOOKUP('Données projet'!$B$10,Paramètres!$A$1:$I$88,3,0)*VLOOKUP('Données projet'!$B$10,Paramètres!$A$1:$I$88,5,0)</f>
        <v>3.3992364478763198E-14</v>
      </c>
      <c r="AK177" s="14">
        <f t="shared" si="164"/>
        <v>5.790027782444094E-13</v>
      </c>
      <c r="AL177" s="22">
        <f t="shared" si="165"/>
        <v>1.0676332069095257E-12</v>
      </c>
      <c r="AM177" s="62">
        <f t="shared" si="113"/>
        <v>291.8062849904012</v>
      </c>
      <c r="AN177" s="62">
        <f ca="1">AVERAGE(OFFSET($AM$3,0,0,'Données projet'!$E$10+1,1))-AVERAGE(OFFSET($H$3,0,0,'Données projet'!$E$10+1,1))</f>
        <v>231.96474801342879</v>
      </c>
      <c r="AO177" s="62">
        <f t="shared" si="144"/>
        <v>237.75726086383668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projet'!$B$10,Paramètres!$A$1:$I$88,7,0))</f>
        <v>0</v>
      </c>
      <c r="AS177" s="17">
        <f>IF(ISNA(VLOOKUP(A177,'Données projet'!$A$61:$I$81,6,0)),0%,VLOOKUP(A177,'Données projet'!$A$61:$I$81,6,0)*VLOOKUP('Données projet'!$B$10,Paramètres!$A$1:$I$88,7,0))</f>
        <v>0</v>
      </c>
      <c r="AT177" s="17">
        <f>IF(ISNA(VLOOKUP(A177,'Données projet'!$A$61:$I$81,7,0)),0%,VLOOKUP(A177,'Données projet'!$A$61:$I$81,7,0))</f>
        <v>0</v>
      </c>
      <c r="AU177" s="23">
        <f>EXP(-LN(2)/35)*AU176+(1-EXP(-LN(2)/35))/(LN(2)/35)*AQ177*AR177*VLOOKUP('Données projet'!$B$10,Paramètres!$A$1:$I$88,3,0)*0.475*44/12</f>
        <v>9.8836317559515781</v>
      </c>
      <c r="AV177" s="23">
        <f>EXP(-LN(2)/25)*AV176+(1-EXP(-LN(2)/25))/(LN(2)/25)*Calculateur!AQ177*Calculateur!AS177*VLOOKUP('Données projet'!$B$10,Paramètres!$A$1:$I$88,3,0)*0.475*44/12</f>
        <v>2.3724334610154276</v>
      </c>
      <c r="AW177" s="23">
        <f>EXP(-LN(2)/2)*AW176+(1-EXP(-LN(2)/2))/(LN(2)/2)*AQ177*AT177*VLOOKUP('Données projet'!$B$10,Paramètres!$A$1:$I$88,3,0)*0.475*44/12</f>
        <v>0</v>
      </c>
      <c r="AX177" s="23">
        <f t="shared" si="166"/>
        <v>12.256065216967006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69.583532270109117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6.8212102632969618E-13</v>
      </c>
      <c r="BE177" s="14">
        <f>BD177*VLOOKUP('Données projet'!$B$11,Paramètres!$A$1:$I$88,3,0)*VLOOKUP('Données projet'!$B$11,Paramètres!$A$1:$I$88,5,0)</f>
        <v>3.1923264032229784E-13</v>
      </c>
      <c r="BF177" s="14">
        <f t="shared" si="167"/>
        <v>4.1896839804541558E-12</v>
      </c>
      <c r="BG177" s="22">
        <f t="shared" si="168"/>
        <v>7.8530297811856558E-12</v>
      </c>
      <c r="BH177" s="62">
        <f t="shared" si="116"/>
        <v>291.80628499040796</v>
      </c>
      <c r="BI177" s="62">
        <f ca="1">AVERAGE(OFFSET($BH$3,0,0,'Données projet'!$E$11+1,1))-AVERAGE(OFFSET($H$3,0,0,'Données projet'!$E$11+1,1))</f>
        <v>364.96458059055169</v>
      </c>
      <c r="BJ177" s="62">
        <f t="shared" si="146"/>
        <v>246.27159120786257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projet'!$B$11,Paramètres!$A$1:$I$88,7,0))</f>
        <v>0</v>
      </c>
      <c r="BN177" s="17">
        <f>IF(ISNA(VLOOKUP(A177,'Données projet'!$A$87:$I$107,6,0)),0%,VLOOKUP(A177,'Données projet'!$A$87:$I$107,6,0)*VLOOKUP('Données projet'!$B$11,Paramètres!$A$1:$I$88,7,0))</f>
        <v>0</v>
      </c>
      <c r="BO177" s="17">
        <f>IF(ISNA(VLOOKUP(A177,'Données projet'!$A$87:$I$107,7,0)),0%,VLOOKUP(A177,'Données projet'!$A$87:$I$107,7,0))</f>
        <v>0</v>
      </c>
      <c r="BP177" s="23">
        <f>EXP(-LN(2)/35)*BP176+(1-EXP(-LN(2)/35))/(LN(2)/35)*BL177*BM177*VLOOKUP('Données projet'!$B$11,Paramètres!$A$1:$I$88,3,0)*0.475*44/12</f>
        <v>54.983140372900777</v>
      </c>
      <c r="BQ177" s="23">
        <f>EXP(-LN(2)/25)*BQ176+(1-EXP(-LN(2)/25))/(LN(2)/25)*Calculateur!BL177*Calculateur!BN177*VLOOKUP('Données projet'!$B$11,Paramètres!$A$1:$I$88,3,0)*0.475*44/12</f>
        <v>12.954314495729381</v>
      </c>
      <c r="BR177" s="23">
        <f>EXP(-LN(2)/2)*BR176+(1-EXP(-LN(2)/2))/(LN(2)/2)*BL177*BO177*VLOOKUP('Données projet'!$B$11,Paramètres!$A$1:$I$88,3,0)*0.475*44/12</f>
        <v>0</v>
      </c>
      <c r="BS177" s="24">
        <f t="shared" si="169"/>
        <v>67.937454868630155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69.583532270109117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-1.1368683772161603E-13</v>
      </c>
      <c r="BZ177" s="14">
        <f>BY177*VLOOKUP('Données projet'!$B$12,Paramètres!$A$1:$I$88,3,0)*VLOOKUP('Données projet'!$B$12,Paramètres!$A$1:$I$88,5,0)</f>
        <v>-1.1527845344971866E-13</v>
      </c>
      <c r="CA177" s="14" t="e">
        <f t="shared" si="170"/>
        <v>#NUM!</v>
      </c>
      <c r="CB177" s="22" t="e">
        <f t="shared" si="171"/>
        <v>#NUM!</v>
      </c>
      <c r="CC177" s="62" t="e">
        <f t="shared" si="119"/>
        <v>#NUM!</v>
      </c>
      <c r="CD177" s="62">
        <f ca="1">AVERAGE(OFFSET($CC$3,0,0,'Données projet'!$E$12+1,1))-AVERAGE(OFFSET($H$3,0,0,'Données projet'!$E$12+1,1))</f>
        <v>310.53598044763282</v>
      </c>
      <c r="CE177" s="62">
        <f t="shared" si="148"/>
        <v>322.01096634040596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projet'!$B$12,Paramètres!$A$1:$I$88,7,0))</f>
        <v>0</v>
      </c>
      <c r="CI177" s="17">
        <f>IF(ISNA(VLOOKUP(A177,'Données projet'!$A$113:$I$133,6,0)),0%,VLOOKUP(A177,'Données projet'!$A$113:$I$133,6,0)*VLOOKUP('Données projet'!$B$12,Paramètres!$A$1:$I$88,7,0))</f>
        <v>0</v>
      </c>
      <c r="CJ177" s="17">
        <f>IF(ISNA(VLOOKUP(A177,'Données projet'!$A$113:$I$133,7,0)),0%,VLOOKUP(A177,'Données projet'!$A$113:$I$133,7,0))</f>
        <v>0</v>
      </c>
      <c r="CK177" s="23">
        <f>EXP(-LN(2)/35)*CK176+(1-EXP(-LN(2)/35))/(LN(2)/35)*CG177*CH177*VLOOKUP('Données projet'!$B$12,Paramètres!$A$1:$I$88,3,0)*0.475*44/12</f>
        <v>7.5621812694312762</v>
      </c>
      <c r="CL177" s="23">
        <f>EXP(-LN(2)/25)*CL176+(1-EXP(-LN(2)/25))/(LN(2)/25)*Calculateur!CG177*Calculateur!CI177*VLOOKUP('Données projet'!$B$12,Paramètres!$A$1:$I$88,3,0)*0.475*44/12</f>
        <v>0</v>
      </c>
      <c r="CM177" s="23">
        <f>EXP(-LN(2)/2)*CM176+(1-EXP(-LN(2)/2))/(LN(2)/2)*CG177*CJ177*VLOOKUP('Données projet'!$B$12,Paramètres!$A$1:$I$88,3,0)*0.475*44/12</f>
        <v>0</v>
      </c>
      <c r="CN177" s="24">
        <f t="shared" si="172"/>
        <v>7.5621812694312762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69.583532270109117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projet'!$B$13,Paramètres!$A$1:$I$88,3,0)*VLOOKUP('Données projet'!$B$13,Paramètres!$A$1:$I$88,5,0)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projet'!$B$13,Paramètres!$A$1:$I$88,7,0))</f>
        <v>0</v>
      </c>
      <c r="DD177" s="17">
        <f>IF(ISNA(VLOOKUP(A177,'Données projet'!$A$139:$I$159,6,0)),0%,VLOOKUP(A177,'Données projet'!$A$139:$I$159,6,0)*VLOOKUP('Données projet'!$B$13,Paramètres!$A$1:$I$88,7,0))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projet'!$B$13,Paramètres!$A$1:$I$88,3,0)*0.475*44/12</f>
        <v>#N/A</v>
      </c>
      <c r="DG177" s="23" t="e">
        <f>EXP(-LN(2)/25)*DG176+(1-EXP(-LN(2)/25))/(LN(2)/25)*Calculateur!DB177*Calculateur!DD177*VLOOKUP('Données projet'!$B$13,Paramètres!$A$1:$I$88,3,0)*0.475*44/12</f>
        <v>#N/A</v>
      </c>
      <c r="DH177" s="23" t="e">
        <f>EXP(-LN(2)/2)*DH176+(1-EXP(-LN(2)/2))/(LN(2)/2)*DB177*DE177*VLOOKUP('Données projet'!$B$13,Paramètres!$A$1:$I$88,3,0)*0.475*44/12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69.583532270109117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projet'!$B$14,Paramètres!$A$1:$I$88,3,0)*VLOOKUP('Données projet'!$B$14,Paramètres!$A$1:$I$88,5,0)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projet'!$B$14,Paramètres!$A$1:$I$88,7,0))</f>
        <v>0</v>
      </c>
      <c r="DY177" s="17">
        <f>IF(ISNA(VLOOKUP(A177,'Données projet'!$A$165:$I$185,6,0)),0%,VLOOKUP(A177,'Données projet'!$A$165:$I$185,6,0)*VLOOKUP('Données projet'!$B$14,Paramètres!$A$1:$I$88,7,0))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projet'!$B$14,Paramètres!$A$1:$I$88,3,0)*0.475*44/12</f>
        <v>#N/A</v>
      </c>
      <c r="EB177" s="23" t="e">
        <f>EXP(-LN(2)/25)*EB176+(1-EXP(-LN(2)/25))/(LN(2)/25)*Calculateur!DW177*Calculateur!DY177*VLOOKUP('Données projet'!$B$14,Paramètres!$A$1:$I$88,3,0)*0.475*44/12</f>
        <v>#N/A</v>
      </c>
      <c r="EC177" s="23" t="e">
        <f>EXP(-LN(2)/2)*EC176+(1-EXP(-LN(2)/2))/(LN(2)/2)*DW177*DZ177*VLOOKUP('Données projet'!$B$14,Paramètres!$A$1:$I$88,3,0)*0.475*44/12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69.583532270109117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projet'!$B$15,Paramètres!$A$1:$I$88,3,0)*VLOOKUP('Données projet'!$B$15,Paramètres!$A$1:$I$88,5,0)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projet'!$B$15,Paramètres!$A$1:$I$88,7,0))</f>
        <v>0</v>
      </c>
      <c r="ET177" s="17">
        <f>IF(ISNA(VLOOKUP(A177,'Données projet'!$A$191:$I$211,6,0)),0%,VLOOKUP(A177,'Données projet'!$A$191:$I$211,6,0)*VLOOKUP('Données projet'!$B$15,Paramètres!$A$1:$I$88,7,0))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projet'!$B$15,Paramètres!$A$1:$I$88,3,0)*0.475*44/12</f>
        <v>#N/A</v>
      </c>
      <c r="EW177" s="23" t="e">
        <f>EXP(-LN(2)/25)*EW176+(1-EXP(-LN(2)/25))/(LN(2)/25)*Calculateur!ER177*Calculateur!ET177*VLOOKUP('Données projet'!$B$15,Paramètres!$A$1:$I$88,3,0)*0.475*44/12</f>
        <v>#N/A</v>
      </c>
      <c r="EX177" s="23" t="e">
        <f>EXP(-LN(2)/2)*EX176+(1-EXP(-LN(2)/2))/(LN(2)/2)*ER177*EU177*VLOOKUP('Données projet'!$B$15,Paramètres!$A$1:$I$88,3,0)*0.475*44/12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69.583532270109117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projet'!$B$16,Paramètres!$A$1:$I$88,3,0)*VLOOKUP('Données projet'!$B$16,Paramètres!$A$1:$I$88,5,0)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projet'!$B$16,Paramètres!$A$1:$I$88,7,0))</f>
        <v>0</v>
      </c>
      <c r="FO177" s="17">
        <f>IF(ISNA(VLOOKUP(A177,'Données projet'!$A$217:$I$237,6,0)),0%,VLOOKUP(A177,'Données projet'!$A$217:$I$237,6,0)*VLOOKUP('Données projet'!$B$16,Paramètres!$A$1:$I$88,7,0))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projet'!$B$16,Paramètres!$A$1:$I$88,3,0)*0.475*44/12</f>
        <v>#N/A</v>
      </c>
      <c r="FR177" s="23" t="e">
        <f>EXP(-LN(2)/25)*FR176+(1-EXP(-LN(2)/25))/(LN(2)/25)*Calculateur!FM177*Calculateur!FO177*VLOOKUP('Données projet'!$B$16,Paramètres!$A$1:$I$88,3,0)*0.475*44/12</f>
        <v>#N/A</v>
      </c>
      <c r="FS177" s="23" t="e">
        <f>EXP(-LN(2)/2)*FS176+(1-EXP(-LN(2)/2))/(LN(2)/2)*FM177*FP177*VLOOKUP('Données projet'!$B$16,Paramètres!$A$1:$I$88,3,0)*0.475*44/12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69.583532270109117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projet'!$B$17,Paramètres!$A$1:$I$88,3,0)*VLOOKUP('Données projet'!$B$17,Paramètres!$A$1:$I$88,5,0)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projet'!$B$17,Paramètres!$A$1:$I$88,7,0))</f>
        <v>0</v>
      </c>
      <c r="GJ177" s="17">
        <f>IF(ISNA(VLOOKUP(A177,'Données projet'!$A$243:$I$263,6,0)),0%,VLOOKUP(A177,'Données projet'!$A$243:$I$263,6,0)*VLOOKUP('Données projet'!$B$17,Paramètres!$A$1:$I$88,7,0))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projet'!$B$17,Paramètres!$A$1:$I$88,3,0)*0.475*44/12</f>
        <v>#N/A</v>
      </c>
      <c r="GM177" s="23" t="e">
        <f>EXP(-LN(2)/25)*GM176+(1-EXP(-LN(2)/25))/(LN(2)/25)*Calculateur!GH177*Calculateur!GJ177*VLOOKUP('Données projet'!$B$17,Paramètres!$A$1:$I$88,3,0)*0.475*44/12</f>
        <v>#N/A</v>
      </c>
      <c r="GN177" s="23" t="e">
        <f>EXP(-LN(2)/2)*GN176+(1-EXP(-LN(2)/2))/(LN(2)/2)*GH177*GK177*VLOOKUP('Données projet'!$B$17,Paramètres!$A$1:$I$88,3,0)*0.475*44/12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69.583532270109117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projet'!$B$18,Paramètres!$A$1:$I$88,3,0)*VLOOKUP('Données projet'!$B$18,Paramètres!$A$1:$I$88,5,0)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projet'!$B$18,Paramètres!$A$1:$I$88,7,0))</f>
        <v>0</v>
      </c>
      <c r="HE177" s="17">
        <f>IF(ISNA(VLOOKUP(A177,'Données projet'!$A$269:$I$289,6,0)),0%,VLOOKUP(A177,'Données projet'!$A$269:$I$289,6,0)*VLOOKUP('Données projet'!$B$18,Paramètres!$A$1:$I$88,7,0))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projet'!$B$18,Paramètres!$A$1:$I$88,3,0)*0.475*44/12</f>
        <v>#N/A</v>
      </c>
      <c r="HH177" s="23" t="e">
        <f>EXP(-LN(2)/25)*HH176+(1-EXP(-LN(2)/25))/(LN(2)/25)*Calculateur!HC177*Calculateur!HE177*VLOOKUP('Données projet'!$B$18,Paramètres!$A$1:$I$88,3,0)*0.475*44/12</f>
        <v>#N/A</v>
      </c>
      <c r="HI177" s="23" t="e">
        <f>EXP(-LN(2)/2)*HI176+(1-EXP(-LN(2)/2))/(LN(2)/2)*HC177*HF177*VLOOKUP('Données projet'!$B$18,Paramètres!$A$1:$I$88,3,0)*0.475*44/12</f>
        <v>#N/A</v>
      </c>
      <c r="HJ177" s="24" t="e">
        <f t="shared" si="190"/>
        <v>#N/A</v>
      </c>
    </row>
    <row r="178" spans="1:218" x14ac:dyDescent="0.35">
      <c r="A178" s="11">
        <f t="shared" si="161"/>
        <v>175</v>
      </c>
      <c r="B178" s="77">
        <f>'Scénario référence'!$B$16*5+'Scénario référence'!$B$17*0+'Scénario référence'!$B$18*5</f>
        <v>1.75</v>
      </c>
      <c r="C178" s="20">
        <f>Calculateur!C177+'Scénario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78" s="12">
        <f t="shared" si="140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6.416666666666667</v>
      </c>
      <c r="H178" s="70">
        <f t="shared" si="110"/>
        <v>231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69.590757054140354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3.4106051316484809E-13</v>
      </c>
      <c r="O178" s="14">
        <f>N178*VLOOKUP('Données projet'!$B$9,Paramètres!$A$1:$I$88,3,0)*VLOOKUP('Données projet'!$B$9,Paramètres!$A$1:$I$88,5,0)</f>
        <v>1.9065282685915009E-13</v>
      </c>
      <c r="P178" s="14">
        <f t="shared" si="141"/>
        <v>2.6568987209435707E-12</v>
      </c>
      <c r="Q178" s="22">
        <f t="shared" si="162"/>
        <v>4.959485612423072E-12</v>
      </c>
      <c r="R178" s="62">
        <f t="shared" si="109"/>
        <v>291.83277586518625</v>
      </c>
      <c r="S178" s="62">
        <f ca="1">AVERAGE(OFFSET($R$3,0,0,'Données projet'!$E$9+1,1))-AVERAGE(OFFSET($H$3,0,0,'Données projet'!$E$9+1,1))</f>
        <v>341.05096821796769</v>
      </c>
      <c r="T178" s="62">
        <f t="shared" si="142"/>
        <v>400.72519822215168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projet'!$B$9,Paramètres!$A$1:$I$88,7,0))</f>
        <v>0</v>
      </c>
      <c r="X178" s="17">
        <f>IF(ISNA(VLOOKUP(A178,'Données projet'!$A$35:$I$55,6,0)),0%,VLOOKUP(A178,'Données projet'!$A$35:$I$55,6,0)*VLOOKUP('Données projet'!$B$9,Paramètres!$A$1:$I$88,7,0))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projet'!$B$9,Paramètres!$A$1:$I$88,3,0)*0.475*44/12</f>
        <v>24.571652806763289</v>
      </c>
      <c r="AA178" s="23">
        <f>EXP(-LN(2)/25)*AA177+(1-EXP(-LN(2)/25))/(LN(2)/25)*Calculateur!V178*Calculateur!X178*VLOOKUP('Données projet'!$B$9,Paramètres!$A$1:$I$88,3,0)*0.475*44/12</f>
        <v>5.4645922509788258</v>
      </c>
      <c r="AB178" s="23">
        <f>EXP(-LN(2)/2)*AB177+(1-EXP(-LN(2)/2))/(LN(2)/2)*V178*Y178*VLOOKUP('Données projet'!$B$9,Paramètres!$A$1:$I$88,3,0)*0.475*44/12</f>
        <v>0</v>
      </c>
      <c r="AC178" s="24">
        <f t="shared" si="163"/>
        <v>30.036245057742114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69.590757054140354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5.6843418860808015E-14</v>
      </c>
      <c r="AJ178" s="14">
        <f>AI178*VLOOKUP('Données projet'!$B$10,Paramètres!$A$1:$I$88,3,0)*VLOOKUP('Données projet'!$B$10,Paramètres!$A$1:$I$88,5,0)</f>
        <v>3.3992364478763198E-14</v>
      </c>
      <c r="AK178" s="14">
        <f t="shared" si="164"/>
        <v>5.790027782444094E-13</v>
      </c>
      <c r="AL178" s="22">
        <f t="shared" si="165"/>
        <v>1.0676332069095257E-12</v>
      </c>
      <c r="AM178" s="62">
        <f t="shared" si="113"/>
        <v>291.83277586518238</v>
      </c>
      <c r="AN178" s="62">
        <f ca="1">AVERAGE(OFFSET($AM$3,0,0,'Données projet'!$E$10+1,1))-AVERAGE(OFFSET($H$3,0,0,'Données projet'!$E$10+1,1))</f>
        <v>231.96474801342879</v>
      </c>
      <c r="AO178" s="62">
        <f t="shared" si="144"/>
        <v>237.75726086383668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projet'!$B$10,Paramètres!$A$1:$I$88,7,0))</f>
        <v>0</v>
      </c>
      <c r="AS178" s="17">
        <f>IF(ISNA(VLOOKUP(A178,'Données projet'!$A$61:$I$81,6,0)),0%,VLOOKUP(A178,'Données projet'!$A$61:$I$81,6,0)*VLOOKUP('Données projet'!$B$10,Paramètres!$A$1:$I$88,7,0))</f>
        <v>0</v>
      </c>
      <c r="AT178" s="17">
        <f>IF(ISNA(VLOOKUP(A178,'Données projet'!$A$61:$I$81,7,0)),0%,VLOOKUP(A178,'Données projet'!$A$61:$I$81,7,0))</f>
        <v>0</v>
      </c>
      <c r="AU178" s="23">
        <f>EXP(-LN(2)/35)*AU177+(1-EXP(-LN(2)/35))/(LN(2)/35)*AQ178*AR178*VLOOKUP('Données projet'!$B$10,Paramètres!$A$1:$I$88,3,0)*0.475*44/12</f>
        <v>9.6898197656374823</v>
      </c>
      <c r="AV178" s="23">
        <f>EXP(-LN(2)/25)*AV177+(1-EXP(-LN(2)/25))/(LN(2)/25)*Calculateur!AQ178*Calculateur!AS178*VLOOKUP('Données projet'!$B$10,Paramètres!$A$1:$I$88,3,0)*0.475*44/12</f>
        <v>2.3075591432631075</v>
      </c>
      <c r="AW178" s="23">
        <f>EXP(-LN(2)/2)*AW177+(1-EXP(-LN(2)/2))/(LN(2)/2)*AQ178*AT178*VLOOKUP('Données projet'!$B$10,Paramètres!$A$1:$I$88,3,0)*0.475*44/12</f>
        <v>0</v>
      </c>
      <c r="AX178" s="23">
        <f t="shared" si="166"/>
        <v>11.99737890890059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69.590757054140354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6.8212102632969618E-13</v>
      </c>
      <c r="BE178" s="14">
        <f>BD178*VLOOKUP('Données projet'!$B$11,Paramètres!$A$1:$I$88,3,0)*VLOOKUP('Données projet'!$B$11,Paramètres!$A$1:$I$88,5,0)</f>
        <v>3.1923264032229784E-13</v>
      </c>
      <c r="BF178" s="14">
        <f t="shared" si="167"/>
        <v>4.1896839804541558E-12</v>
      </c>
      <c r="BG178" s="22">
        <f t="shared" si="168"/>
        <v>7.8530297811856558E-12</v>
      </c>
      <c r="BH178" s="62">
        <f t="shared" si="116"/>
        <v>291.83277586518915</v>
      </c>
      <c r="BI178" s="62">
        <f ca="1">AVERAGE(OFFSET($BH$3,0,0,'Données projet'!$E$11+1,1))-AVERAGE(OFFSET($H$3,0,0,'Données projet'!$E$11+1,1))</f>
        <v>364.96458059055169</v>
      </c>
      <c r="BJ178" s="62">
        <f t="shared" si="146"/>
        <v>246.27159120786257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projet'!$B$11,Paramètres!$A$1:$I$88,7,0))</f>
        <v>0</v>
      </c>
      <c r="BN178" s="17">
        <f>IF(ISNA(VLOOKUP(A178,'Données projet'!$A$87:$I$107,6,0)),0%,VLOOKUP(A178,'Données projet'!$A$87:$I$107,6,0)*VLOOKUP('Données projet'!$B$11,Paramètres!$A$1:$I$88,7,0))</f>
        <v>0</v>
      </c>
      <c r="BO178" s="17">
        <f>IF(ISNA(VLOOKUP(A178,'Données projet'!$A$87:$I$107,7,0)),0%,VLOOKUP(A178,'Données projet'!$A$87:$I$107,7,0))</f>
        <v>0</v>
      </c>
      <c r="BP178" s="23">
        <f>EXP(-LN(2)/35)*BP177+(1-EXP(-LN(2)/35))/(LN(2)/35)*BL178*BM178*VLOOKUP('Données projet'!$B$11,Paramètres!$A$1:$I$88,3,0)*0.475*44/12</f>
        <v>53.904954526592377</v>
      </c>
      <c r="BQ178" s="23">
        <f>EXP(-LN(2)/25)*BQ177+(1-EXP(-LN(2)/25))/(LN(2)/25)*Calculateur!BL178*Calculateur!BN178*VLOOKUP('Données projet'!$B$11,Paramètres!$A$1:$I$88,3,0)*0.475*44/12</f>
        <v>12.600078084605869</v>
      </c>
      <c r="BR178" s="23">
        <f>EXP(-LN(2)/2)*BR177+(1-EXP(-LN(2)/2))/(LN(2)/2)*BL178*BO178*VLOOKUP('Données projet'!$B$11,Paramètres!$A$1:$I$88,3,0)*0.475*44/12</f>
        <v>0</v>
      </c>
      <c r="BS178" s="24">
        <f t="shared" si="169"/>
        <v>66.505032611198246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69.590757054140354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-1.1368683772161603E-13</v>
      </c>
      <c r="BZ178" s="14">
        <f>BY178*VLOOKUP('Données projet'!$B$12,Paramètres!$A$1:$I$88,3,0)*VLOOKUP('Données projet'!$B$12,Paramètres!$A$1:$I$88,5,0)</f>
        <v>-1.1527845344971866E-13</v>
      </c>
      <c r="CA178" s="14" t="e">
        <f t="shared" si="170"/>
        <v>#NUM!</v>
      </c>
      <c r="CB178" s="22" t="e">
        <f t="shared" si="171"/>
        <v>#NUM!</v>
      </c>
      <c r="CC178" s="62" t="e">
        <f t="shared" si="119"/>
        <v>#NUM!</v>
      </c>
      <c r="CD178" s="62">
        <f ca="1">AVERAGE(OFFSET($CC$3,0,0,'Données projet'!$E$12+1,1))-AVERAGE(OFFSET($H$3,0,0,'Données projet'!$E$12+1,1))</f>
        <v>310.53598044763282</v>
      </c>
      <c r="CE178" s="62">
        <f t="shared" si="148"/>
        <v>322.01096634040596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projet'!$B$12,Paramètres!$A$1:$I$88,7,0))</f>
        <v>0</v>
      </c>
      <c r="CI178" s="17">
        <f>IF(ISNA(VLOOKUP(A178,'Données projet'!$A$113:$I$133,6,0)),0%,VLOOKUP(A178,'Données projet'!$A$113:$I$133,6,0)*VLOOKUP('Données projet'!$B$12,Paramètres!$A$1:$I$88,7,0))</f>
        <v>0</v>
      </c>
      <c r="CJ178" s="17">
        <f>IF(ISNA(VLOOKUP(A178,'Données projet'!$A$113:$I$133,7,0)),0%,VLOOKUP(A178,'Données projet'!$A$113:$I$133,7,0))</f>
        <v>0</v>
      </c>
      <c r="CK178" s="23">
        <f>EXP(-LN(2)/35)*CK177+(1-EXP(-LN(2)/35))/(LN(2)/35)*CG178*CH178*VLOOKUP('Données projet'!$B$12,Paramètres!$A$1:$I$88,3,0)*0.475*44/12</f>
        <v>7.4138915072128588</v>
      </c>
      <c r="CL178" s="23">
        <f>EXP(-LN(2)/25)*CL177+(1-EXP(-LN(2)/25))/(LN(2)/25)*Calculateur!CG178*Calculateur!CI178*VLOOKUP('Données projet'!$B$12,Paramètres!$A$1:$I$88,3,0)*0.475*44/12</f>
        <v>0</v>
      </c>
      <c r="CM178" s="23">
        <f>EXP(-LN(2)/2)*CM177+(1-EXP(-LN(2)/2))/(LN(2)/2)*CG178*CJ178*VLOOKUP('Données projet'!$B$12,Paramètres!$A$1:$I$88,3,0)*0.475*44/12</f>
        <v>0</v>
      </c>
      <c r="CN178" s="24">
        <f t="shared" si="172"/>
        <v>7.4138915072128588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69.590757054140354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projet'!$B$13,Paramètres!$A$1:$I$88,3,0)*VLOOKUP('Données projet'!$B$13,Paramètres!$A$1:$I$88,5,0)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projet'!$B$13,Paramètres!$A$1:$I$88,7,0))</f>
        <v>0</v>
      </c>
      <c r="DD178" s="17">
        <f>IF(ISNA(VLOOKUP(A178,'Données projet'!$A$139:$I$159,6,0)),0%,VLOOKUP(A178,'Données projet'!$A$139:$I$159,6,0)*VLOOKUP('Données projet'!$B$13,Paramètres!$A$1:$I$88,7,0))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projet'!$B$13,Paramètres!$A$1:$I$88,3,0)*0.475*44/12</f>
        <v>#N/A</v>
      </c>
      <c r="DG178" s="23" t="e">
        <f>EXP(-LN(2)/25)*DG177+(1-EXP(-LN(2)/25))/(LN(2)/25)*Calculateur!DB178*Calculateur!DD178*VLOOKUP('Données projet'!$B$13,Paramètres!$A$1:$I$88,3,0)*0.475*44/12</f>
        <v>#N/A</v>
      </c>
      <c r="DH178" s="23" t="e">
        <f>EXP(-LN(2)/2)*DH177+(1-EXP(-LN(2)/2))/(LN(2)/2)*DB178*DE178*VLOOKUP('Données projet'!$B$13,Paramètres!$A$1:$I$88,3,0)*0.475*44/12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69.590757054140354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projet'!$B$14,Paramètres!$A$1:$I$88,3,0)*VLOOKUP('Données projet'!$B$14,Paramètres!$A$1:$I$88,5,0)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projet'!$B$14,Paramètres!$A$1:$I$88,7,0))</f>
        <v>0</v>
      </c>
      <c r="DY178" s="17">
        <f>IF(ISNA(VLOOKUP(A178,'Données projet'!$A$165:$I$185,6,0)),0%,VLOOKUP(A178,'Données projet'!$A$165:$I$185,6,0)*VLOOKUP('Données projet'!$B$14,Paramètres!$A$1:$I$88,7,0))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projet'!$B$14,Paramètres!$A$1:$I$88,3,0)*0.475*44/12</f>
        <v>#N/A</v>
      </c>
      <c r="EB178" s="23" t="e">
        <f>EXP(-LN(2)/25)*EB177+(1-EXP(-LN(2)/25))/(LN(2)/25)*Calculateur!DW178*Calculateur!DY178*VLOOKUP('Données projet'!$B$14,Paramètres!$A$1:$I$88,3,0)*0.475*44/12</f>
        <v>#N/A</v>
      </c>
      <c r="EC178" s="23" t="e">
        <f>EXP(-LN(2)/2)*EC177+(1-EXP(-LN(2)/2))/(LN(2)/2)*DW178*DZ178*VLOOKUP('Données projet'!$B$14,Paramètres!$A$1:$I$88,3,0)*0.475*44/12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69.590757054140354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projet'!$B$15,Paramètres!$A$1:$I$88,3,0)*VLOOKUP('Données projet'!$B$15,Paramètres!$A$1:$I$88,5,0)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projet'!$B$15,Paramètres!$A$1:$I$88,7,0))</f>
        <v>0</v>
      </c>
      <c r="ET178" s="17">
        <f>IF(ISNA(VLOOKUP(A178,'Données projet'!$A$191:$I$211,6,0)),0%,VLOOKUP(A178,'Données projet'!$A$191:$I$211,6,0)*VLOOKUP('Données projet'!$B$15,Paramètres!$A$1:$I$88,7,0))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projet'!$B$15,Paramètres!$A$1:$I$88,3,0)*0.475*44/12</f>
        <v>#N/A</v>
      </c>
      <c r="EW178" s="23" t="e">
        <f>EXP(-LN(2)/25)*EW177+(1-EXP(-LN(2)/25))/(LN(2)/25)*Calculateur!ER178*Calculateur!ET178*VLOOKUP('Données projet'!$B$15,Paramètres!$A$1:$I$88,3,0)*0.475*44/12</f>
        <v>#N/A</v>
      </c>
      <c r="EX178" s="23" t="e">
        <f>EXP(-LN(2)/2)*EX177+(1-EXP(-LN(2)/2))/(LN(2)/2)*ER178*EU178*VLOOKUP('Données projet'!$B$15,Paramètres!$A$1:$I$88,3,0)*0.475*44/12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69.590757054140354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projet'!$B$16,Paramètres!$A$1:$I$88,3,0)*VLOOKUP('Données projet'!$B$16,Paramètres!$A$1:$I$88,5,0)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projet'!$B$16,Paramètres!$A$1:$I$88,7,0))</f>
        <v>0</v>
      </c>
      <c r="FO178" s="17">
        <f>IF(ISNA(VLOOKUP(A178,'Données projet'!$A$217:$I$237,6,0)),0%,VLOOKUP(A178,'Données projet'!$A$217:$I$237,6,0)*VLOOKUP('Données projet'!$B$16,Paramètres!$A$1:$I$88,7,0))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projet'!$B$16,Paramètres!$A$1:$I$88,3,0)*0.475*44/12</f>
        <v>#N/A</v>
      </c>
      <c r="FR178" s="23" t="e">
        <f>EXP(-LN(2)/25)*FR177+(1-EXP(-LN(2)/25))/(LN(2)/25)*Calculateur!FM178*Calculateur!FO178*VLOOKUP('Données projet'!$B$16,Paramètres!$A$1:$I$88,3,0)*0.475*44/12</f>
        <v>#N/A</v>
      </c>
      <c r="FS178" s="23" t="e">
        <f>EXP(-LN(2)/2)*FS177+(1-EXP(-LN(2)/2))/(LN(2)/2)*FM178*FP178*VLOOKUP('Données projet'!$B$16,Paramètres!$A$1:$I$88,3,0)*0.475*44/12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69.590757054140354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projet'!$B$17,Paramètres!$A$1:$I$88,3,0)*VLOOKUP('Données projet'!$B$17,Paramètres!$A$1:$I$88,5,0)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projet'!$B$17,Paramètres!$A$1:$I$88,7,0))</f>
        <v>0</v>
      </c>
      <c r="GJ178" s="17">
        <f>IF(ISNA(VLOOKUP(A178,'Données projet'!$A$243:$I$263,6,0)),0%,VLOOKUP(A178,'Données projet'!$A$243:$I$263,6,0)*VLOOKUP('Données projet'!$B$17,Paramètres!$A$1:$I$88,7,0))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projet'!$B$17,Paramètres!$A$1:$I$88,3,0)*0.475*44/12</f>
        <v>#N/A</v>
      </c>
      <c r="GM178" s="23" t="e">
        <f>EXP(-LN(2)/25)*GM177+(1-EXP(-LN(2)/25))/(LN(2)/25)*Calculateur!GH178*Calculateur!GJ178*VLOOKUP('Données projet'!$B$17,Paramètres!$A$1:$I$88,3,0)*0.475*44/12</f>
        <v>#N/A</v>
      </c>
      <c r="GN178" s="23" t="e">
        <f>EXP(-LN(2)/2)*GN177+(1-EXP(-LN(2)/2))/(LN(2)/2)*GH178*GK178*VLOOKUP('Données projet'!$B$17,Paramètres!$A$1:$I$88,3,0)*0.475*44/12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69.590757054140354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projet'!$B$18,Paramètres!$A$1:$I$88,3,0)*VLOOKUP('Données projet'!$B$18,Paramètres!$A$1:$I$88,5,0)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projet'!$B$18,Paramètres!$A$1:$I$88,7,0))</f>
        <v>0</v>
      </c>
      <c r="HE178" s="17">
        <f>IF(ISNA(VLOOKUP(A178,'Données projet'!$A$269:$I$289,6,0)),0%,VLOOKUP(A178,'Données projet'!$A$269:$I$289,6,0)*VLOOKUP('Données projet'!$B$18,Paramètres!$A$1:$I$88,7,0))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projet'!$B$18,Paramètres!$A$1:$I$88,3,0)*0.475*44/12</f>
        <v>#N/A</v>
      </c>
      <c r="HH178" s="23" t="e">
        <f>EXP(-LN(2)/25)*HH177+(1-EXP(-LN(2)/25))/(LN(2)/25)*Calculateur!HC178*Calculateur!HE178*VLOOKUP('Données projet'!$B$18,Paramètres!$A$1:$I$88,3,0)*0.475*44/12</f>
        <v>#N/A</v>
      </c>
      <c r="HI178" s="23" t="e">
        <f>EXP(-LN(2)/2)*HI177+(1-EXP(-LN(2)/2))/(LN(2)/2)*HC178*HF178*VLOOKUP('Données projet'!$B$18,Paramètres!$A$1:$I$88,3,0)*0.475*44/12</f>
        <v>#N/A</v>
      </c>
      <c r="HJ178" s="24" t="e">
        <f t="shared" si="190"/>
        <v>#N/A</v>
      </c>
    </row>
    <row r="179" spans="1:218" x14ac:dyDescent="0.35">
      <c r="A179" s="11">
        <f t="shared" si="161"/>
        <v>176</v>
      </c>
      <c r="B179" s="77">
        <f>'Scénario référence'!$B$16*5+'Scénario référence'!$B$17*0+'Scénario référence'!$B$18*5</f>
        <v>1.75</v>
      </c>
      <c r="C179" s="20">
        <f>Calculateur!C178+'Scénario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79" s="12">
        <f t="shared" si="140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6.416666666666667</v>
      </c>
      <c r="H179" s="70">
        <f t="shared" si="110"/>
        <v>231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69.597856504320859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3.4106051316484809E-13</v>
      </c>
      <c r="O179" s="14">
        <f>N179*VLOOKUP('Données projet'!$B$9,Paramètres!$A$1:$I$88,3,0)*VLOOKUP('Données projet'!$B$9,Paramètres!$A$1:$I$88,5,0)</f>
        <v>1.9065282685915009E-13</v>
      </c>
      <c r="P179" s="14">
        <f t="shared" si="141"/>
        <v>2.6568987209435707E-12</v>
      </c>
      <c r="Q179" s="22">
        <f t="shared" si="162"/>
        <v>4.959485612423072E-12</v>
      </c>
      <c r="R179" s="62">
        <f t="shared" si="109"/>
        <v>291.85880718251474</v>
      </c>
      <c r="S179" s="62">
        <f ca="1">AVERAGE(OFFSET($R$3,0,0,'Données projet'!$E$9+1,1))-AVERAGE(OFFSET($H$3,0,0,'Données projet'!$E$9+1,1))</f>
        <v>341.05096821796769</v>
      </c>
      <c r="T179" s="62">
        <f t="shared" si="142"/>
        <v>400.72519822215168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projet'!$B$9,Paramètres!$A$1:$I$88,7,0))</f>
        <v>0</v>
      </c>
      <c r="X179" s="17">
        <f>IF(ISNA(VLOOKUP(A179,'Données projet'!$A$35:$I$55,6,0)),0%,VLOOKUP(A179,'Données projet'!$A$35:$I$55,6,0)*VLOOKUP('Données projet'!$B$9,Paramètres!$A$1:$I$88,7,0))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projet'!$B$9,Paramètres!$A$1:$I$88,3,0)*0.475*44/12</f>
        <v>24.089817682451006</v>
      </c>
      <c r="AA179" s="23">
        <f>EXP(-LN(2)/25)*AA178+(1-EXP(-LN(2)/25))/(LN(2)/25)*Calculateur!V179*Calculateur!X179*VLOOKUP('Données projet'!$B$9,Paramètres!$A$1:$I$88,3,0)*0.475*44/12</f>
        <v>5.3151626885053931</v>
      </c>
      <c r="AB179" s="23">
        <f>EXP(-LN(2)/2)*AB178+(1-EXP(-LN(2)/2))/(LN(2)/2)*V179*Y179*VLOOKUP('Données projet'!$B$9,Paramètres!$A$1:$I$88,3,0)*0.475*44/12</f>
        <v>0</v>
      </c>
      <c r="AC179" s="24">
        <f t="shared" si="163"/>
        <v>29.404980370956398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69.597856504320859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5.6843418860808015E-14</v>
      </c>
      <c r="AJ179" s="14">
        <f>AI179*VLOOKUP('Données projet'!$B$10,Paramètres!$A$1:$I$88,3,0)*VLOOKUP('Données projet'!$B$10,Paramètres!$A$1:$I$88,5,0)</f>
        <v>3.3992364478763198E-14</v>
      </c>
      <c r="AK179" s="14">
        <f t="shared" si="164"/>
        <v>5.790027782444094E-13</v>
      </c>
      <c r="AL179" s="22">
        <f t="shared" si="165"/>
        <v>1.0676332069095257E-12</v>
      </c>
      <c r="AM179" s="62">
        <f t="shared" si="113"/>
        <v>291.85880718251087</v>
      </c>
      <c r="AN179" s="62">
        <f ca="1">AVERAGE(OFFSET($AM$3,0,0,'Données projet'!$E$10+1,1))-AVERAGE(OFFSET($H$3,0,0,'Données projet'!$E$10+1,1))</f>
        <v>231.96474801342879</v>
      </c>
      <c r="AO179" s="62">
        <f t="shared" si="144"/>
        <v>237.75726086383668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projet'!$B$10,Paramètres!$A$1:$I$88,7,0))</f>
        <v>0</v>
      </c>
      <c r="AS179" s="17">
        <f>IF(ISNA(VLOOKUP(A179,'Données projet'!$A$61:$I$81,6,0)),0%,VLOOKUP(A179,'Données projet'!$A$61:$I$81,6,0)*VLOOKUP('Données projet'!$B$10,Paramètres!$A$1:$I$88,7,0))</f>
        <v>0</v>
      </c>
      <c r="AT179" s="17">
        <f>IF(ISNA(VLOOKUP(A179,'Données projet'!$A$61:$I$81,7,0)),0%,VLOOKUP(A179,'Données projet'!$A$61:$I$81,7,0))</f>
        <v>0</v>
      </c>
      <c r="AU179" s="23">
        <f>EXP(-LN(2)/35)*AU178+(1-EXP(-LN(2)/35))/(LN(2)/35)*AQ179*AR179*VLOOKUP('Données projet'!$B$10,Paramètres!$A$1:$I$88,3,0)*0.475*44/12</f>
        <v>9.4998083102398034</v>
      </c>
      <c r="AV179" s="23">
        <f>EXP(-LN(2)/25)*AV178+(1-EXP(-LN(2)/25))/(LN(2)/25)*Calculateur!AQ179*Calculateur!AS179*VLOOKUP('Données projet'!$B$10,Paramètres!$A$1:$I$88,3,0)*0.475*44/12</f>
        <v>2.2444588171413167</v>
      </c>
      <c r="AW179" s="23">
        <f>EXP(-LN(2)/2)*AW178+(1-EXP(-LN(2)/2))/(LN(2)/2)*AQ179*AT179*VLOOKUP('Données projet'!$B$10,Paramètres!$A$1:$I$88,3,0)*0.475*44/12</f>
        <v>0</v>
      </c>
      <c r="AX179" s="23">
        <f t="shared" si="166"/>
        <v>11.74426712738112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69.597856504320859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6.8212102632969618E-13</v>
      </c>
      <c r="BE179" s="14">
        <f>BD179*VLOOKUP('Données projet'!$B$11,Paramètres!$A$1:$I$88,3,0)*VLOOKUP('Données projet'!$B$11,Paramètres!$A$1:$I$88,5,0)</f>
        <v>3.1923264032229784E-13</v>
      </c>
      <c r="BF179" s="14">
        <f t="shared" si="167"/>
        <v>4.1896839804541558E-12</v>
      </c>
      <c r="BG179" s="22">
        <f t="shared" si="168"/>
        <v>7.8530297811856558E-12</v>
      </c>
      <c r="BH179" s="62">
        <f t="shared" si="116"/>
        <v>291.85880718251764</v>
      </c>
      <c r="BI179" s="62">
        <f ca="1">AVERAGE(OFFSET($BH$3,0,0,'Données projet'!$E$11+1,1))-AVERAGE(OFFSET($H$3,0,0,'Données projet'!$E$11+1,1))</f>
        <v>364.96458059055169</v>
      </c>
      <c r="BJ179" s="62">
        <f t="shared" si="146"/>
        <v>246.27159120786257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projet'!$B$11,Paramètres!$A$1:$I$88,7,0))</f>
        <v>0</v>
      </c>
      <c r="BN179" s="17">
        <f>IF(ISNA(VLOOKUP(A179,'Données projet'!$A$87:$I$107,6,0)),0%,VLOOKUP(A179,'Données projet'!$A$87:$I$107,6,0)*VLOOKUP('Données projet'!$B$11,Paramètres!$A$1:$I$88,7,0))</f>
        <v>0</v>
      </c>
      <c r="BO179" s="17">
        <f>IF(ISNA(VLOOKUP(A179,'Données projet'!$A$87:$I$107,7,0)),0%,VLOOKUP(A179,'Données projet'!$A$87:$I$107,7,0))</f>
        <v>0</v>
      </c>
      <c r="BP179" s="23">
        <f>EXP(-LN(2)/35)*BP178+(1-EXP(-LN(2)/35))/(LN(2)/35)*BL179*BM179*VLOOKUP('Données projet'!$B$11,Paramètres!$A$1:$I$88,3,0)*0.475*44/12</f>
        <v>52.847911247101649</v>
      </c>
      <c r="BQ179" s="23">
        <f>EXP(-LN(2)/25)*BQ178+(1-EXP(-LN(2)/25))/(LN(2)/25)*Calculateur!BL179*Calculateur!BN179*VLOOKUP('Données projet'!$B$11,Paramètres!$A$1:$I$88,3,0)*0.475*44/12</f>
        <v>12.255528286773012</v>
      </c>
      <c r="BR179" s="23">
        <f>EXP(-LN(2)/2)*BR178+(1-EXP(-LN(2)/2))/(LN(2)/2)*BL179*BO179*VLOOKUP('Données projet'!$B$11,Paramètres!$A$1:$I$88,3,0)*0.475*44/12</f>
        <v>0</v>
      </c>
      <c r="BS179" s="24">
        <f t="shared" si="169"/>
        <v>65.103439533874663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69.597856504320859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-1.1368683772161603E-13</v>
      </c>
      <c r="BZ179" s="14">
        <f>BY179*VLOOKUP('Données projet'!$B$12,Paramètres!$A$1:$I$88,3,0)*VLOOKUP('Données projet'!$B$12,Paramètres!$A$1:$I$88,5,0)</f>
        <v>-1.1527845344971866E-13</v>
      </c>
      <c r="CA179" s="14" t="e">
        <f t="shared" si="170"/>
        <v>#NUM!</v>
      </c>
      <c r="CB179" s="22" t="e">
        <f t="shared" si="171"/>
        <v>#NUM!</v>
      </c>
      <c r="CC179" s="62" t="e">
        <f t="shared" si="119"/>
        <v>#NUM!</v>
      </c>
      <c r="CD179" s="62">
        <f ca="1">AVERAGE(OFFSET($CC$3,0,0,'Données projet'!$E$12+1,1))-AVERAGE(OFFSET($H$3,0,0,'Données projet'!$E$12+1,1))</f>
        <v>310.53598044763282</v>
      </c>
      <c r="CE179" s="62">
        <f t="shared" si="148"/>
        <v>322.01096634040596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projet'!$B$12,Paramètres!$A$1:$I$88,7,0))</f>
        <v>0</v>
      </c>
      <c r="CI179" s="17">
        <f>IF(ISNA(VLOOKUP(A179,'Données projet'!$A$113:$I$133,6,0)),0%,VLOOKUP(A179,'Données projet'!$A$113:$I$133,6,0)*VLOOKUP('Données projet'!$B$12,Paramètres!$A$1:$I$88,7,0))</f>
        <v>0</v>
      </c>
      <c r="CJ179" s="17">
        <f>IF(ISNA(VLOOKUP(A179,'Données projet'!$A$113:$I$133,7,0)),0%,VLOOKUP(A179,'Données projet'!$A$113:$I$133,7,0))</f>
        <v>0</v>
      </c>
      <c r="CK179" s="23">
        <f>EXP(-LN(2)/35)*CK178+(1-EXP(-LN(2)/35))/(LN(2)/35)*CG179*CH179*VLOOKUP('Données projet'!$B$12,Paramètres!$A$1:$I$88,3,0)*0.475*44/12</f>
        <v>7.2685096167837209</v>
      </c>
      <c r="CL179" s="23">
        <f>EXP(-LN(2)/25)*CL178+(1-EXP(-LN(2)/25))/(LN(2)/25)*Calculateur!CG179*Calculateur!CI179*VLOOKUP('Données projet'!$B$12,Paramètres!$A$1:$I$88,3,0)*0.475*44/12</f>
        <v>0</v>
      </c>
      <c r="CM179" s="23">
        <f>EXP(-LN(2)/2)*CM178+(1-EXP(-LN(2)/2))/(LN(2)/2)*CG179*CJ179*VLOOKUP('Données projet'!$B$12,Paramètres!$A$1:$I$88,3,0)*0.475*44/12</f>
        <v>0</v>
      </c>
      <c r="CN179" s="24">
        <f t="shared" si="172"/>
        <v>7.2685096167837209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69.597856504320859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projet'!$B$13,Paramètres!$A$1:$I$88,3,0)*VLOOKUP('Données projet'!$B$13,Paramètres!$A$1:$I$88,5,0)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projet'!$B$13,Paramètres!$A$1:$I$88,7,0))</f>
        <v>0</v>
      </c>
      <c r="DD179" s="17">
        <f>IF(ISNA(VLOOKUP(A179,'Données projet'!$A$139:$I$159,6,0)),0%,VLOOKUP(A179,'Données projet'!$A$139:$I$159,6,0)*VLOOKUP('Données projet'!$B$13,Paramètres!$A$1:$I$88,7,0))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projet'!$B$13,Paramètres!$A$1:$I$88,3,0)*0.475*44/12</f>
        <v>#N/A</v>
      </c>
      <c r="DG179" s="23" t="e">
        <f>EXP(-LN(2)/25)*DG178+(1-EXP(-LN(2)/25))/(LN(2)/25)*Calculateur!DB179*Calculateur!DD179*VLOOKUP('Données projet'!$B$13,Paramètres!$A$1:$I$88,3,0)*0.475*44/12</f>
        <v>#N/A</v>
      </c>
      <c r="DH179" s="23" t="e">
        <f>EXP(-LN(2)/2)*DH178+(1-EXP(-LN(2)/2))/(LN(2)/2)*DB179*DE179*VLOOKUP('Données projet'!$B$13,Paramètres!$A$1:$I$88,3,0)*0.475*44/12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69.597856504320859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projet'!$B$14,Paramètres!$A$1:$I$88,3,0)*VLOOKUP('Données projet'!$B$14,Paramètres!$A$1:$I$88,5,0)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projet'!$B$14,Paramètres!$A$1:$I$88,7,0))</f>
        <v>0</v>
      </c>
      <c r="DY179" s="17">
        <f>IF(ISNA(VLOOKUP(A179,'Données projet'!$A$165:$I$185,6,0)),0%,VLOOKUP(A179,'Données projet'!$A$165:$I$185,6,0)*VLOOKUP('Données projet'!$B$14,Paramètres!$A$1:$I$88,7,0))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projet'!$B$14,Paramètres!$A$1:$I$88,3,0)*0.475*44/12</f>
        <v>#N/A</v>
      </c>
      <c r="EB179" s="23" t="e">
        <f>EXP(-LN(2)/25)*EB178+(1-EXP(-LN(2)/25))/(LN(2)/25)*Calculateur!DW179*Calculateur!DY179*VLOOKUP('Données projet'!$B$14,Paramètres!$A$1:$I$88,3,0)*0.475*44/12</f>
        <v>#N/A</v>
      </c>
      <c r="EC179" s="23" t="e">
        <f>EXP(-LN(2)/2)*EC178+(1-EXP(-LN(2)/2))/(LN(2)/2)*DW179*DZ179*VLOOKUP('Données projet'!$B$14,Paramètres!$A$1:$I$88,3,0)*0.475*44/12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69.597856504320859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projet'!$B$15,Paramètres!$A$1:$I$88,3,0)*VLOOKUP('Données projet'!$B$15,Paramètres!$A$1:$I$88,5,0)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projet'!$B$15,Paramètres!$A$1:$I$88,7,0))</f>
        <v>0</v>
      </c>
      <c r="ET179" s="17">
        <f>IF(ISNA(VLOOKUP(A179,'Données projet'!$A$191:$I$211,6,0)),0%,VLOOKUP(A179,'Données projet'!$A$191:$I$211,6,0)*VLOOKUP('Données projet'!$B$15,Paramètres!$A$1:$I$88,7,0))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projet'!$B$15,Paramètres!$A$1:$I$88,3,0)*0.475*44/12</f>
        <v>#N/A</v>
      </c>
      <c r="EW179" s="23" t="e">
        <f>EXP(-LN(2)/25)*EW178+(1-EXP(-LN(2)/25))/(LN(2)/25)*Calculateur!ER179*Calculateur!ET179*VLOOKUP('Données projet'!$B$15,Paramètres!$A$1:$I$88,3,0)*0.475*44/12</f>
        <v>#N/A</v>
      </c>
      <c r="EX179" s="23" t="e">
        <f>EXP(-LN(2)/2)*EX178+(1-EXP(-LN(2)/2))/(LN(2)/2)*ER179*EU179*VLOOKUP('Données projet'!$B$15,Paramètres!$A$1:$I$88,3,0)*0.475*44/12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69.597856504320859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projet'!$B$16,Paramètres!$A$1:$I$88,3,0)*VLOOKUP('Données projet'!$B$16,Paramètres!$A$1:$I$88,5,0)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projet'!$B$16,Paramètres!$A$1:$I$88,7,0))</f>
        <v>0</v>
      </c>
      <c r="FO179" s="17">
        <f>IF(ISNA(VLOOKUP(A179,'Données projet'!$A$217:$I$237,6,0)),0%,VLOOKUP(A179,'Données projet'!$A$217:$I$237,6,0)*VLOOKUP('Données projet'!$B$16,Paramètres!$A$1:$I$88,7,0))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projet'!$B$16,Paramètres!$A$1:$I$88,3,0)*0.475*44/12</f>
        <v>#N/A</v>
      </c>
      <c r="FR179" s="23" t="e">
        <f>EXP(-LN(2)/25)*FR178+(1-EXP(-LN(2)/25))/(LN(2)/25)*Calculateur!FM179*Calculateur!FO179*VLOOKUP('Données projet'!$B$16,Paramètres!$A$1:$I$88,3,0)*0.475*44/12</f>
        <v>#N/A</v>
      </c>
      <c r="FS179" s="23" t="e">
        <f>EXP(-LN(2)/2)*FS178+(1-EXP(-LN(2)/2))/(LN(2)/2)*FM179*FP179*VLOOKUP('Données projet'!$B$16,Paramètres!$A$1:$I$88,3,0)*0.475*44/12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69.597856504320859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projet'!$B$17,Paramètres!$A$1:$I$88,3,0)*VLOOKUP('Données projet'!$B$17,Paramètres!$A$1:$I$88,5,0)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projet'!$B$17,Paramètres!$A$1:$I$88,7,0))</f>
        <v>0</v>
      </c>
      <c r="GJ179" s="17">
        <f>IF(ISNA(VLOOKUP(A179,'Données projet'!$A$243:$I$263,6,0)),0%,VLOOKUP(A179,'Données projet'!$A$243:$I$263,6,0)*VLOOKUP('Données projet'!$B$17,Paramètres!$A$1:$I$88,7,0))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projet'!$B$17,Paramètres!$A$1:$I$88,3,0)*0.475*44/12</f>
        <v>#N/A</v>
      </c>
      <c r="GM179" s="23" t="e">
        <f>EXP(-LN(2)/25)*GM178+(1-EXP(-LN(2)/25))/(LN(2)/25)*Calculateur!GH179*Calculateur!GJ179*VLOOKUP('Données projet'!$B$17,Paramètres!$A$1:$I$88,3,0)*0.475*44/12</f>
        <v>#N/A</v>
      </c>
      <c r="GN179" s="23" t="e">
        <f>EXP(-LN(2)/2)*GN178+(1-EXP(-LN(2)/2))/(LN(2)/2)*GH179*GK179*VLOOKUP('Données projet'!$B$17,Paramètres!$A$1:$I$88,3,0)*0.475*44/12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69.597856504320859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projet'!$B$18,Paramètres!$A$1:$I$88,3,0)*VLOOKUP('Données projet'!$B$18,Paramètres!$A$1:$I$88,5,0)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projet'!$B$18,Paramètres!$A$1:$I$88,7,0))</f>
        <v>0</v>
      </c>
      <c r="HE179" s="17">
        <f>IF(ISNA(VLOOKUP(A179,'Données projet'!$A$269:$I$289,6,0)),0%,VLOOKUP(A179,'Données projet'!$A$269:$I$289,6,0)*VLOOKUP('Données projet'!$B$18,Paramètres!$A$1:$I$88,7,0))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projet'!$B$18,Paramètres!$A$1:$I$88,3,0)*0.475*44/12</f>
        <v>#N/A</v>
      </c>
      <c r="HH179" s="23" t="e">
        <f>EXP(-LN(2)/25)*HH178+(1-EXP(-LN(2)/25))/(LN(2)/25)*Calculateur!HC179*Calculateur!HE179*VLOOKUP('Données projet'!$B$18,Paramètres!$A$1:$I$88,3,0)*0.475*44/12</f>
        <v>#N/A</v>
      </c>
      <c r="HI179" s="23" t="e">
        <f>EXP(-LN(2)/2)*HI178+(1-EXP(-LN(2)/2))/(LN(2)/2)*HC179*HF179*VLOOKUP('Données projet'!$B$18,Paramètres!$A$1:$I$88,3,0)*0.475*44/12</f>
        <v>#N/A</v>
      </c>
      <c r="HJ179" s="24" t="e">
        <f t="shared" si="190"/>
        <v>#N/A</v>
      </c>
    </row>
    <row r="180" spans="1:218" x14ac:dyDescent="0.35">
      <c r="A180" s="11">
        <f t="shared" si="161"/>
        <v>177</v>
      </c>
      <c r="B180" s="77">
        <f>'Scénario référence'!$B$16*5+'Scénario référence'!$B$17*0+'Scénario référence'!$B$18*5</f>
        <v>1.75</v>
      </c>
      <c r="C180" s="20">
        <f>Calculateur!C179+'Scénario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80" s="12">
        <f t="shared" si="140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6.416666666666667</v>
      </c>
      <c r="H180" s="70">
        <f t="shared" si="110"/>
        <v>231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69.604832794912724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3.4106051316484809E-13</v>
      </c>
      <c r="O180" s="14">
        <f>N180*VLOOKUP('Données projet'!$B$9,Paramètres!$A$1:$I$88,3,0)*VLOOKUP('Données projet'!$B$9,Paramètres!$A$1:$I$88,5,0)</f>
        <v>1.9065282685915009E-13</v>
      </c>
      <c r="P180" s="14">
        <f t="shared" si="141"/>
        <v>2.6568987209435707E-12</v>
      </c>
      <c r="Q180" s="22">
        <f t="shared" si="162"/>
        <v>4.959485612423072E-12</v>
      </c>
      <c r="R180" s="62">
        <f t="shared" si="109"/>
        <v>291.88438691468491</v>
      </c>
      <c r="S180" s="62">
        <f ca="1">AVERAGE(OFFSET($R$3,0,0,'Données projet'!$E$9+1,1))-AVERAGE(OFFSET($H$3,0,0,'Données projet'!$E$9+1,1))</f>
        <v>341.05096821796769</v>
      </c>
      <c r="T180" s="62">
        <f t="shared" si="142"/>
        <v>400.72519822215168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projet'!$B$9,Paramètres!$A$1:$I$88,7,0))</f>
        <v>0</v>
      </c>
      <c r="X180" s="17">
        <f>IF(ISNA(VLOOKUP(A180,'Données projet'!$A$35:$I$55,6,0)),0%,VLOOKUP(A180,'Données projet'!$A$35:$I$55,6,0)*VLOOKUP('Données projet'!$B$9,Paramètres!$A$1:$I$88,7,0))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projet'!$B$9,Paramètres!$A$1:$I$88,3,0)*0.475*44/12</f>
        <v>23.617431051036082</v>
      </c>
      <c r="AA180" s="23">
        <f>EXP(-LN(2)/25)*AA179+(1-EXP(-LN(2)/25))/(LN(2)/25)*Calculateur!V180*Calculateur!X180*VLOOKUP('Données projet'!$B$9,Paramètres!$A$1:$I$88,3,0)*0.475*44/12</f>
        <v>5.1698192852759552</v>
      </c>
      <c r="AB180" s="23">
        <f>EXP(-LN(2)/2)*AB179+(1-EXP(-LN(2)/2))/(LN(2)/2)*V180*Y180*VLOOKUP('Données projet'!$B$9,Paramètres!$A$1:$I$88,3,0)*0.475*44/12</f>
        <v>0</v>
      </c>
      <c r="AC180" s="24">
        <f t="shared" si="163"/>
        <v>28.787250336312038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69.604832794912724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5.6843418860808015E-14</v>
      </c>
      <c r="AJ180" s="14">
        <f>AI180*VLOOKUP('Données projet'!$B$10,Paramètres!$A$1:$I$88,3,0)*VLOOKUP('Données projet'!$B$10,Paramètres!$A$1:$I$88,5,0)</f>
        <v>3.3992364478763198E-14</v>
      </c>
      <c r="AK180" s="14">
        <f t="shared" si="164"/>
        <v>5.790027782444094E-13</v>
      </c>
      <c r="AL180" s="22">
        <f t="shared" si="165"/>
        <v>1.0676332069095257E-12</v>
      </c>
      <c r="AM180" s="62">
        <f t="shared" si="113"/>
        <v>291.88438691468104</v>
      </c>
      <c r="AN180" s="62">
        <f ca="1">AVERAGE(OFFSET($AM$3,0,0,'Données projet'!$E$10+1,1))-AVERAGE(OFFSET($H$3,0,0,'Données projet'!$E$10+1,1))</f>
        <v>231.96474801342879</v>
      </c>
      <c r="AO180" s="62">
        <f t="shared" si="144"/>
        <v>237.75726086383668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projet'!$B$10,Paramètres!$A$1:$I$88,7,0))</f>
        <v>0</v>
      </c>
      <c r="AS180" s="17">
        <f>IF(ISNA(VLOOKUP(A180,'Données projet'!$A$61:$I$81,6,0)),0%,VLOOKUP(A180,'Données projet'!$A$61:$I$81,6,0)*VLOOKUP('Données projet'!$B$10,Paramètres!$A$1:$I$88,7,0))</f>
        <v>0</v>
      </c>
      <c r="AT180" s="17">
        <f>IF(ISNA(VLOOKUP(A180,'Données projet'!$A$61:$I$81,7,0)),0%,VLOOKUP(A180,'Données projet'!$A$61:$I$81,7,0))</f>
        <v>0</v>
      </c>
      <c r="AU180" s="23">
        <f>EXP(-LN(2)/35)*AU179+(1-EXP(-LN(2)/35))/(LN(2)/35)*AQ180*AR180*VLOOKUP('Données projet'!$B$10,Paramètres!$A$1:$I$88,3,0)*0.475*44/12</f>
        <v>9.3135228635869289</v>
      </c>
      <c r="AV180" s="23">
        <f>EXP(-LN(2)/25)*AV179+(1-EXP(-LN(2)/25))/(LN(2)/25)*Calculateur!AQ180*Calculateur!AS180*VLOOKUP('Données projet'!$B$10,Paramètres!$A$1:$I$88,3,0)*0.475*44/12</f>
        <v>2.1830839727556279</v>
      </c>
      <c r="AW180" s="23">
        <f>EXP(-LN(2)/2)*AW179+(1-EXP(-LN(2)/2))/(LN(2)/2)*AQ180*AT180*VLOOKUP('Données projet'!$B$10,Paramètres!$A$1:$I$88,3,0)*0.475*44/12</f>
        <v>0</v>
      </c>
      <c r="AX180" s="23">
        <f t="shared" si="166"/>
        <v>11.496606836342558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69.604832794912724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6.8212102632969618E-13</v>
      </c>
      <c r="BE180" s="14">
        <f>BD180*VLOOKUP('Données projet'!$B$11,Paramètres!$A$1:$I$88,3,0)*VLOOKUP('Données projet'!$B$11,Paramètres!$A$1:$I$88,5,0)</f>
        <v>3.1923264032229784E-13</v>
      </c>
      <c r="BF180" s="14">
        <f t="shared" si="167"/>
        <v>4.1896839804541558E-12</v>
      </c>
      <c r="BG180" s="22">
        <f t="shared" si="168"/>
        <v>7.8530297811856558E-12</v>
      </c>
      <c r="BH180" s="62">
        <f t="shared" si="116"/>
        <v>291.88438691468781</v>
      </c>
      <c r="BI180" s="62">
        <f ca="1">AVERAGE(OFFSET($BH$3,0,0,'Données projet'!$E$11+1,1))-AVERAGE(OFFSET($H$3,0,0,'Données projet'!$E$11+1,1))</f>
        <v>364.96458059055169</v>
      </c>
      <c r="BJ180" s="62">
        <f t="shared" si="146"/>
        <v>246.27159120786257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projet'!$B$11,Paramètres!$A$1:$I$88,7,0))</f>
        <v>0</v>
      </c>
      <c r="BN180" s="17">
        <f>IF(ISNA(VLOOKUP(A180,'Données projet'!$A$87:$I$107,6,0)),0%,VLOOKUP(A180,'Données projet'!$A$87:$I$107,6,0)*VLOOKUP('Données projet'!$B$11,Paramètres!$A$1:$I$88,7,0))</f>
        <v>0</v>
      </c>
      <c r="BO180" s="17">
        <f>IF(ISNA(VLOOKUP(A180,'Données projet'!$A$87:$I$107,7,0)),0%,VLOOKUP(A180,'Données projet'!$A$87:$I$107,7,0))</f>
        <v>0</v>
      </c>
      <c r="BP180" s="23">
        <f>EXP(-LN(2)/35)*BP179+(1-EXP(-LN(2)/35))/(LN(2)/35)*BL180*BM180*VLOOKUP('Données projet'!$B$11,Paramètres!$A$1:$I$88,3,0)*0.475*44/12</f>
        <v>51.811595941588998</v>
      </c>
      <c r="BQ180" s="23">
        <f>EXP(-LN(2)/25)*BQ179+(1-EXP(-LN(2)/25))/(LN(2)/25)*Calculateur!BL180*Calculateur!BN180*VLOOKUP('Données projet'!$B$11,Paramètres!$A$1:$I$88,3,0)*0.475*44/12</f>
        <v>11.920400221280982</v>
      </c>
      <c r="BR180" s="23">
        <f>EXP(-LN(2)/2)*BR179+(1-EXP(-LN(2)/2))/(LN(2)/2)*BL180*BO180*VLOOKUP('Données projet'!$B$11,Paramètres!$A$1:$I$88,3,0)*0.475*44/12</f>
        <v>0</v>
      </c>
      <c r="BS180" s="24">
        <f t="shared" si="169"/>
        <v>63.731996162869976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69.604832794912724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-1.1368683772161603E-13</v>
      </c>
      <c r="BZ180" s="14">
        <f>BY180*VLOOKUP('Données projet'!$B$12,Paramètres!$A$1:$I$88,3,0)*VLOOKUP('Données projet'!$B$12,Paramètres!$A$1:$I$88,5,0)</f>
        <v>-1.1527845344971866E-13</v>
      </c>
      <c r="CA180" s="14" t="e">
        <f t="shared" si="170"/>
        <v>#NUM!</v>
      </c>
      <c r="CB180" s="22" t="e">
        <f t="shared" si="171"/>
        <v>#NUM!</v>
      </c>
      <c r="CC180" s="62" t="e">
        <f t="shared" si="119"/>
        <v>#NUM!</v>
      </c>
      <c r="CD180" s="62">
        <f ca="1">AVERAGE(OFFSET($CC$3,0,0,'Données projet'!$E$12+1,1))-AVERAGE(OFFSET($H$3,0,0,'Données projet'!$E$12+1,1))</f>
        <v>310.53598044763282</v>
      </c>
      <c r="CE180" s="62">
        <f t="shared" si="148"/>
        <v>322.01096634040596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projet'!$B$12,Paramètres!$A$1:$I$88,7,0))</f>
        <v>0</v>
      </c>
      <c r="CI180" s="17">
        <f>IF(ISNA(VLOOKUP(A180,'Données projet'!$A$113:$I$133,6,0)),0%,VLOOKUP(A180,'Données projet'!$A$113:$I$133,6,0)*VLOOKUP('Données projet'!$B$12,Paramètres!$A$1:$I$88,7,0))</f>
        <v>0</v>
      </c>
      <c r="CJ180" s="17">
        <f>IF(ISNA(VLOOKUP(A180,'Données projet'!$A$113:$I$133,7,0)),0%,VLOOKUP(A180,'Données projet'!$A$113:$I$133,7,0))</f>
        <v>0</v>
      </c>
      <c r="CK180" s="23">
        <f>EXP(-LN(2)/35)*CK179+(1-EXP(-LN(2)/35))/(LN(2)/35)*CG180*CH180*VLOOKUP('Données projet'!$B$12,Paramètres!$A$1:$I$88,3,0)*0.475*44/12</f>
        <v>7.1259785765517014</v>
      </c>
      <c r="CL180" s="23">
        <f>EXP(-LN(2)/25)*CL179+(1-EXP(-LN(2)/25))/(LN(2)/25)*Calculateur!CG180*Calculateur!CI180*VLOOKUP('Données projet'!$B$12,Paramètres!$A$1:$I$88,3,0)*0.475*44/12</f>
        <v>0</v>
      </c>
      <c r="CM180" s="23">
        <f>EXP(-LN(2)/2)*CM179+(1-EXP(-LN(2)/2))/(LN(2)/2)*CG180*CJ180*VLOOKUP('Données projet'!$B$12,Paramètres!$A$1:$I$88,3,0)*0.475*44/12</f>
        <v>0</v>
      </c>
      <c r="CN180" s="24">
        <f t="shared" si="172"/>
        <v>7.1259785765517014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69.604832794912724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projet'!$B$13,Paramètres!$A$1:$I$88,3,0)*VLOOKUP('Données projet'!$B$13,Paramètres!$A$1:$I$88,5,0)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projet'!$B$13,Paramètres!$A$1:$I$88,7,0))</f>
        <v>0</v>
      </c>
      <c r="DD180" s="17">
        <f>IF(ISNA(VLOOKUP(A180,'Données projet'!$A$139:$I$159,6,0)),0%,VLOOKUP(A180,'Données projet'!$A$139:$I$159,6,0)*VLOOKUP('Données projet'!$B$13,Paramètres!$A$1:$I$88,7,0))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projet'!$B$13,Paramètres!$A$1:$I$88,3,0)*0.475*44/12</f>
        <v>#N/A</v>
      </c>
      <c r="DG180" s="23" t="e">
        <f>EXP(-LN(2)/25)*DG179+(1-EXP(-LN(2)/25))/(LN(2)/25)*Calculateur!DB180*Calculateur!DD180*VLOOKUP('Données projet'!$B$13,Paramètres!$A$1:$I$88,3,0)*0.475*44/12</f>
        <v>#N/A</v>
      </c>
      <c r="DH180" s="23" t="e">
        <f>EXP(-LN(2)/2)*DH179+(1-EXP(-LN(2)/2))/(LN(2)/2)*DB180*DE180*VLOOKUP('Données projet'!$B$13,Paramètres!$A$1:$I$88,3,0)*0.475*44/12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69.604832794912724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projet'!$B$14,Paramètres!$A$1:$I$88,3,0)*VLOOKUP('Données projet'!$B$14,Paramètres!$A$1:$I$88,5,0)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projet'!$B$14,Paramètres!$A$1:$I$88,7,0))</f>
        <v>0</v>
      </c>
      <c r="DY180" s="17">
        <f>IF(ISNA(VLOOKUP(A180,'Données projet'!$A$165:$I$185,6,0)),0%,VLOOKUP(A180,'Données projet'!$A$165:$I$185,6,0)*VLOOKUP('Données projet'!$B$14,Paramètres!$A$1:$I$88,7,0))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projet'!$B$14,Paramètres!$A$1:$I$88,3,0)*0.475*44/12</f>
        <v>#N/A</v>
      </c>
      <c r="EB180" s="23" t="e">
        <f>EXP(-LN(2)/25)*EB179+(1-EXP(-LN(2)/25))/(LN(2)/25)*Calculateur!DW180*Calculateur!DY180*VLOOKUP('Données projet'!$B$14,Paramètres!$A$1:$I$88,3,0)*0.475*44/12</f>
        <v>#N/A</v>
      </c>
      <c r="EC180" s="23" t="e">
        <f>EXP(-LN(2)/2)*EC179+(1-EXP(-LN(2)/2))/(LN(2)/2)*DW180*DZ180*VLOOKUP('Données projet'!$B$14,Paramètres!$A$1:$I$88,3,0)*0.475*44/12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69.604832794912724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projet'!$B$15,Paramètres!$A$1:$I$88,3,0)*VLOOKUP('Données projet'!$B$15,Paramètres!$A$1:$I$88,5,0)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projet'!$B$15,Paramètres!$A$1:$I$88,7,0))</f>
        <v>0</v>
      </c>
      <c r="ET180" s="17">
        <f>IF(ISNA(VLOOKUP(A180,'Données projet'!$A$191:$I$211,6,0)),0%,VLOOKUP(A180,'Données projet'!$A$191:$I$211,6,0)*VLOOKUP('Données projet'!$B$15,Paramètres!$A$1:$I$88,7,0))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projet'!$B$15,Paramètres!$A$1:$I$88,3,0)*0.475*44/12</f>
        <v>#N/A</v>
      </c>
      <c r="EW180" s="23" t="e">
        <f>EXP(-LN(2)/25)*EW179+(1-EXP(-LN(2)/25))/(LN(2)/25)*Calculateur!ER180*Calculateur!ET180*VLOOKUP('Données projet'!$B$15,Paramètres!$A$1:$I$88,3,0)*0.475*44/12</f>
        <v>#N/A</v>
      </c>
      <c r="EX180" s="23" t="e">
        <f>EXP(-LN(2)/2)*EX179+(1-EXP(-LN(2)/2))/(LN(2)/2)*ER180*EU180*VLOOKUP('Données projet'!$B$15,Paramètres!$A$1:$I$88,3,0)*0.475*44/12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69.604832794912724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projet'!$B$16,Paramètres!$A$1:$I$88,3,0)*VLOOKUP('Données projet'!$B$16,Paramètres!$A$1:$I$88,5,0)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projet'!$B$16,Paramètres!$A$1:$I$88,7,0))</f>
        <v>0</v>
      </c>
      <c r="FO180" s="17">
        <f>IF(ISNA(VLOOKUP(A180,'Données projet'!$A$217:$I$237,6,0)),0%,VLOOKUP(A180,'Données projet'!$A$217:$I$237,6,0)*VLOOKUP('Données projet'!$B$16,Paramètres!$A$1:$I$88,7,0))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projet'!$B$16,Paramètres!$A$1:$I$88,3,0)*0.475*44/12</f>
        <v>#N/A</v>
      </c>
      <c r="FR180" s="23" t="e">
        <f>EXP(-LN(2)/25)*FR179+(1-EXP(-LN(2)/25))/(LN(2)/25)*Calculateur!FM180*Calculateur!FO180*VLOOKUP('Données projet'!$B$16,Paramètres!$A$1:$I$88,3,0)*0.475*44/12</f>
        <v>#N/A</v>
      </c>
      <c r="FS180" s="23" t="e">
        <f>EXP(-LN(2)/2)*FS179+(1-EXP(-LN(2)/2))/(LN(2)/2)*FM180*FP180*VLOOKUP('Données projet'!$B$16,Paramètres!$A$1:$I$88,3,0)*0.475*44/12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69.604832794912724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projet'!$B$17,Paramètres!$A$1:$I$88,3,0)*VLOOKUP('Données projet'!$B$17,Paramètres!$A$1:$I$88,5,0)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projet'!$B$17,Paramètres!$A$1:$I$88,7,0))</f>
        <v>0</v>
      </c>
      <c r="GJ180" s="17">
        <f>IF(ISNA(VLOOKUP(A180,'Données projet'!$A$243:$I$263,6,0)),0%,VLOOKUP(A180,'Données projet'!$A$243:$I$263,6,0)*VLOOKUP('Données projet'!$B$17,Paramètres!$A$1:$I$88,7,0))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projet'!$B$17,Paramètres!$A$1:$I$88,3,0)*0.475*44/12</f>
        <v>#N/A</v>
      </c>
      <c r="GM180" s="23" t="e">
        <f>EXP(-LN(2)/25)*GM179+(1-EXP(-LN(2)/25))/(LN(2)/25)*Calculateur!GH180*Calculateur!GJ180*VLOOKUP('Données projet'!$B$17,Paramètres!$A$1:$I$88,3,0)*0.475*44/12</f>
        <v>#N/A</v>
      </c>
      <c r="GN180" s="23" t="e">
        <f>EXP(-LN(2)/2)*GN179+(1-EXP(-LN(2)/2))/(LN(2)/2)*GH180*GK180*VLOOKUP('Données projet'!$B$17,Paramètres!$A$1:$I$88,3,0)*0.475*44/12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69.604832794912724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projet'!$B$18,Paramètres!$A$1:$I$88,3,0)*VLOOKUP('Données projet'!$B$18,Paramètres!$A$1:$I$88,5,0)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projet'!$B$18,Paramètres!$A$1:$I$88,7,0))</f>
        <v>0</v>
      </c>
      <c r="HE180" s="17">
        <f>IF(ISNA(VLOOKUP(A180,'Données projet'!$A$269:$I$289,6,0)),0%,VLOOKUP(A180,'Données projet'!$A$269:$I$289,6,0)*VLOOKUP('Données projet'!$B$18,Paramètres!$A$1:$I$88,7,0))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projet'!$B$18,Paramètres!$A$1:$I$88,3,0)*0.475*44/12</f>
        <v>#N/A</v>
      </c>
      <c r="HH180" s="23" t="e">
        <f>EXP(-LN(2)/25)*HH179+(1-EXP(-LN(2)/25))/(LN(2)/25)*Calculateur!HC180*Calculateur!HE180*VLOOKUP('Données projet'!$B$18,Paramètres!$A$1:$I$88,3,0)*0.475*44/12</f>
        <v>#N/A</v>
      </c>
      <c r="HI180" s="23" t="e">
        <f>EXP(-LN(2)/2)*HI179+(1-EXP(-LN(2)/2))/(LN(2)/2)*HC180*HF180*VLOOKUP('Données projet'!$B$18,Paramètres!$A$1:$I$88,3,0)*0.475*44/12</f>
        <v>#N/A</v>
      </c>
      <c r="HJ180" s="24" t="e">
        <f t="shared" si="190"/>
        <v>#N/A</v>
      </c>
    </row>
    <row r="181" spans="1:218" x14ac:dyDescent="0.35">
      <c r="A181" s="11">
        <f t="shared" si="161"/>
        <v>178</v>
      </c>
      <c r="B181" s="77">
        <f>'Scénario référence'!$B$16*5+'Scénario référence'!$B$17*0+'Scénario référence'!$B$18*5</f>
        <v>1.75</v>
      </c>
      <c r="C181" s="20">
        <f>Calculateur!C180+'Scénario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81" s="12">
        <f t="shared" si="140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6.416666666666667</v>
      </c>
      <c r="H181" s="70">
        <f t="shared" si="110"/>
        <v>231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69.611688062459478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3.4106051316484809E-13</v>
      </c>
      <c r="O181" s="14">
        <f>N181*VLOOKUP('Données projet'!$B$9,Paramètres!$A$1:$I$88,3,0)*VLOOKUP('Données projet'!$B$9,Paramètres!$A$1:$I$88,5,0)</f>
        <v>1.9065282685915009E-13</v>
      </c>
      <c r="P181" s="14">
        <f t="shared" si="141"/>
        <v>2.6568987209435707E-12</v>
      </c>
      <c r="Q181" s="22">
        <f t="shared" si="162"/>
        <v>4.959485612423072E-12</v>
      </c>
      <c r="R181" s="62">
        <f t="shared" si="109"/>
        <v>291.90952289568969</v>
      </c>
      <c r="S181" s="62">
        <f ca="1">AVERAGE(OFFSET($R$3,0,0,'Données projet'!$E$9+1,1))-AVERAGE(OFFSET($H$3,0,0,'Données projet'!$E$9+1,1))</f>
        <v>341.05096821796769</v>
      </c>
      <c r="T181" s="62">
        <f t="shared" si="142"/>
        <v>400.72519822215168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projet'!$B$9,Paramètres!$A$1:$I$88,7,0))</f>
        <v>0</v>
      </c>
      <c r="X181" s="17">
        <f>IF(ISNA(VLOOKUP(A181,'Données projet'!$A$35:$I$55,6,0)),0%,VLOOKUP(A181,'Données projet'!$A$35:$I$55,6,0)*VLOOKUP('Données projet'!$B$9,Paramètres!$A$1:$I$88,7,0))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projet'!$B$9,Paramètres!$A$1:$I$88,3,0)*0.475*44/12</f>
        <v>23.154307633335808</v>
      </c>
      <c r="AA181" s="23">
        <f>EXP(-LN(2)/25)*AA180+(1-EXP(-LN(2)/25))/(LN(2)/25)*Calculateur!V181*Calculateur!X181*VLOOKUP('Données projet'!$B$9,Paramètres!$A$1:$I$88,3,0)*0.475*44/12</f>
        <v>5.0284503050511038</v>
      </c>
      <c r="AB181" s="23">
        <f>EXP(-LN(2)/2)*AB180+(1-EXP(-LN(2)/2))/(LN(2)/2)*V181*Y181*VLOOKUP('Données projet'!$B$9,Paramètres!$A$1:$I$88,3,0)*0.475*44/12</f>
        <v>0</v>
      </c>
      <c r="AC181" s="24">
        <f t="shared" si="163"/>
        <v>28.182757938386914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69.611688062459478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5.6843418860808015E-14</v>
      </c>
      <c r="AJ181" s="14">
        <f>AI181*VLOOKUP('Données projet'!$B$10,Paramètres!$A$1:$I$88,3,0)*VLOOKUP('Données projet'!$B$10,Paramètres!$A$1:$I$88,5,0)</f>
        <v>3.3992364478763198E-14</v>
      </c>
      <c r="AK181" s="14">
        <f t="shared" si="164"/>
        <v>5.790027782444094E-13</v>
      </c>
      <c r="AL181" s="22">
        <f t="shared" si="165"/>
        <v>1.0676332069095257E-12</v>
      </c>
      <c r="AM181" s="62">
        <f t="shared" si="113"/>
        <v>291.90952289568583</v>
      </c>
      <c r="AN181" s="62">
        <f ca="1">AVERAGE(OFFSET($AM$3,0,0,'Données projet'!$E$10+1,1))-AVERAGE(OFFSET($H$3,0,0,'Données projet'!$E$10+1,1))</f>
        <v>231.96474801342879</v>
      </c>
      <c r="AO181" s="62">
        <f t="shared" si="144"/>
        <v>237.75726086383668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projet'!$B$10,Paramètres!$A$1:$I$88,7,0))</f>
        <v>0</v>
      </c>
      <c r="AS181" s="17">
        <f>IF(ISNA(VLOOKUP(A181,'Données projet'!$A$61:$I$81,6,0)),0%,VLOOKUP(A181,'Données projet'!$A$61:$I$81,6,0)*VLOOKUP('Données projet'!$B$10,Paramètres!$A$1:$I$88,7,0))</f>
        <v>0</v>
      </c>
      <c r="AT181" s="17">
        <f>IF(ISNA(VLOOKUP(A181,'Données projet'!$A$61:$I$81,7,0)),0%,VLOOKUP(A181,'Données projet'!$A$61:$I$81,7,0))</f>
        <v>0</v>
      </c>
      <c r="AU181" s="23">
        <f>EXP(-LN(2)/35)*AU180+(1-EXP(-LN(2)/35))/(LN(2)/35)*AQ181*AR181*VLOOKUP('Données projet'!$B$10,Paramètres!$A$1:$I$88,3,0)*0.475*44/12</f>
        <v>9.1308903609200147</v>
      </c>
      <c r="AV181" s="23">
        <f>EXP(-LN(2)/25)*AV180+(1-EXP(-LN(2)/25))/(LN(2)/25)*Calculateur!AQ181*Calculateur!AS181*VLOOKUP('Données projet'!$B$10,Paramètres!$A$1:$I$88,3,0)*0.475*44/12</f>
        <v>2.1233874267172288</v>
      </c>
      <c r="AW181" s="23">
        <f>EXP(-LN(2)/2)*AW180+(1-EXP(-LN(2)/2))/(LN(2)/2)*AQ181*AT181*VLOOKUP('Données projet'!$B$10,Paramètres!$A$1:$I$88,3,0)*0.475*44/12</f>
        <v>0</v>
      </c>
      <c r="AX181" s="23">
        <f t="shared" si="166"/>
        <v>11.254277787637243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69.611688062459478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6.8212102632969618E-13</v>
      </c>
      <c r="BE181" s="14">
        <f>BD181*VLOOKUP('Données projet'!$B$11,Paramètres!$A$1:$I$88,3,0)*VLOOKUP('Données projet'!$B$11,Paramètres!$A$1:$I$88,5,0)</f>
        <v>3.1923264032229784E-13</v>
      </c>
      <c r="BF181" s="14">
        <f t="shared" si="167"/>
        <v>4.1896839804541558E-12</v>
      </c>
      <c r="BG181" s="22">
        <f t="shared" si="168"/>
        <v>7.8530297811856558E-12</v>
      </c>
      <c r="BH181" s="62">
        <f t="shared" si="116"/>
        <v>291.90952289569259</v>
      </c>
      <c r="BI181" s="62">
        <f ca="1">AVERAGE(OFFSET($BH$3,0,0,'Données projet'!$E$11+1,1))-AVERAGE(OFFSET($H$3,0,0,'Données projet'!$E$11+1,1))</f>
        <v>364.96458059055169</v>
      </c>
      <c r="BJ181" s="62">
        <f t="shared" si="146"/>
        <v>246.27159120786257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projet'!$B$11,Paramètres!$A$1:$I$88,7,0))</f>
        <v>0</v>
      </c>
      <c r="BN181" s="17">
        <f>IF(ISNA(VLOOKUP(A181,'Données projet'!$A$87:$I$107,6,0)),0%,VLOOKUP(A181,'Données projet'!$A$87:$I$107,6,0)*VLOOKUP('Données projet'!$B$11,Paramètres!$A$1:$I$88,7,0))</f>
        <v>0</v>
      </c>
      <c r="BO181" s="17">
        <f>IF(ISNA(VLOOKUP(A181,'Données projet'!$A$87:$I$107,7,0)),0%,VLOOKUP(A181,'Données projet'!$A$87:$I$107,7,0))</f>
        <v>0</v>
      </c>
      <c r="BP181" s="23">
        <f>EXP(-LN(2)/35)*BP180+(1-EXP(-LN(2)/35))/(LN(2)/35)*BL181*BM181*VLOOKUP('Données projet'!$B$11,Paramètres!$A$1:$I$88,3,0)*0.475*44/12</f>
        <v>50.795602147127525</v>
      </c>
      <c r="BQ181" s="23">
        <f>EXP(-LN(2)/25)*BQ180+(1-EXP(-LN(2)/25))/(LN(2)/25)*Calculateur!BL181*Calculateur!BN181*VLOOKUP('Données projet'!$B$11,Paramètres!$A$1:$I$88,3,0)*0.475*44/12</f>
        <v>11.594436250363451</v>
      </c>
      <c r="BR181" s="23">
        <f>EXP(-LN(2)/2)*BR180+(1-EXP(-LN(2)/2))/(LN(2)/2)*BL181*BO181*VLOOKUP('Données projet'!$B$11,Paramètres!$A$1:$I$88,3,0)*0.475*44/12</f>
        <v>0</v>
      </c>
      <c r="BS181" s="24">
        <f t="shared" si="169"/>
        <v>62.390038397490976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69.611688062459478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-1.1368683772161603E-13</v>
      </c>
      <c r="BZ181" s="14">
        <f>BY181*VLOOKUP('Données projet'!$B$12,Paramètres!$A$1:$I$88,3,0)*VLOOKUP('Données projet'!$B$12,Paramètres!$A$1:$I$88,5,0)</f>
        <v>-1.1527845344971866E-13</v>
      </c>
      <c r="CA181" s="14" t="e">
        <f t="shared" si="170"/>
        <v>#NUM!</v>
      </c>
      <c r="CB181" s="22" t="e">
        <f t="shared" si="171"/>
        <v>#NUM!</v>
      </c>
      <c r="CC181" s="62" t="e">
        <f t="shared" si="119"/>
        <v>#NUM!</v>
      </c>
      <c r="CD181" s="62">
        <f ca="1">AVERAGE(OFFSET($CC$3,0,0,'Données projet'!$E$12+1,1))-AVERAGE(OFFSET($H$3,0,0,'Données projet'!$E$12+1,1))</f>
        <v>310.53598044763282</v>
      </c>
      <c r="CE181" s="62">
        <f t="shared" si="148"/>
        <v>322.01096634040596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projet'!$B$12,Paramètres!$A$1:$I$88,7,0))</f>
        <v>0</v>
      </c>
      <c r="CI181" s="17">
        <f>IF(ISNA(VLOOKUP(A181,'Données projet'!$A$113:$I$133,6,0)),0%,VLOOKUP(A181,'Données projet'!$A$113:$I$133,6,0)*VLOOKUP('Données projet'!$B$12,Paramètres!$A$1:$I$88,7,0))</f>
        <v>0</v>
      </c>
      <c r="CJ181" s="17">
        <f>IF(ISNA(VLOOKUP(A181,'Données projet'!$A$113:$I$133,7,0)),0%,VLOOKUP(A181,'Données projet'!$A$113:$I$133,7,0))</f>
        <v>0</v>
      </c>
      <c r="CK181" s="23">
        <f>EXP(-LN(2)/35)*CK180+(1-EXP(-LN(2)/35))/(LN(2)/35)*CG181*CH181*VLOOKUP('Données projet'!$B$12,Paramètres!$A$1:$I$88,3,0)*0.475*44/12</f>
        <v>6.9862424830832808</v>
      </c>
      <c r="CL181" s="23">
        <f>EXP(-LN(2)/25)*CL180+(1-EXP(-LN(2)/25))/(LN(2)/25)*Calculateur!CG181*Calculateur!CI181*VLOOKUP('Données projet'!$B$12,Paramètres!$A$1:$I$88,3,0)*0.475*44/12</f>
        <v>0</v>
      </c>
      <c r="CM181" s="23">
        <f>EXP(-LN(2)/2)*CM180+(1-EXP(-LN(2)/2))/(LN(2)/2)*CG181*CJ181*VLOOKUP('Données projet'!$B$12,Paramètres!$A$1:$I$88,3,0)*0.475*44/12</f>
        <v>0</v>
      </c>
      <c r="CN181" s="24">
        <f t="shared" si="172"/>
        <v>6.9862424830832808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69.611688062459478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projet'!$B$13,Paramètres!$A$1:$I$88,3,0)*VLOOKUP('Données projet'!$B$13,Paramètres!$A$1:$I$88,5,0)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projet'!$B$13,Paramètres!$A$1:$I$88,7,0))</f>
        <v>0</v>
      </c>
      <c r="DD181" s="17">
        <f>IF(ISNA(VLOOKUP(A181,'Données projet'!$A$139:$I$159,6,0)),0%,VLOOKUP(A181,'Données projet'!$A$139:$I$159,6,0)*VLOOKUP('Données projet'!$B$13,Paramètres!$A$1:$I$88,7,0))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projet'!$B$13,Paramètres!$A$1:$I$88,3,0)*0.475*44/12</f>
        <v>#N/A</v>
      </c>
      <c r="DG181" s="23" t="e">
        <f>EXP(-LN(2)/25)*DG180+(1-EXP(-LN(2)/25))/(LN(2)/25)*Calculateur!DB181*Calculateur!DD181*VLOOKUP('Données projet'!$B$13,Paramètres!$A$1:$I$88,3,0)*0.475*44/12</f>
        <v>#N/A</v>
      </c>
      <c r="DH181" s="23" t="e">
        <f>EXP(-LN(2)/2)*DH180+(1-EXP(-LN(2)/2))/(LN(2)/2)*DB181*DE181*VLOOKUP('Données projet'!$B$13,Paramètres!$A$1:$I$88,3,0)*0.475*44/12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69.611688062459478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projet'!$B$14,Paramètres!$A$1:$I$88,3,0)*VLOOKUP('Données projet'!$B$14,Paramètres!$A$1:$I$88,5,0)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projet'!$B$14,Paramètres!$A$1:$I$88,7,0))</f>
        <v>0</v>
      </c>
      <c r="DY181" s="17">
        <f>IF(ISNA(VLOOKUP(A181,'Données projet'!$A$165:$I$185,6,0)),0%,VLOOKUP(A181,'Données projet'!$A$165:$I$185,6,0)*VLOOKUP('Données projet'!$B$14,Paramètres!$A$1:$I$88,7,0))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projet'!$B$14,Paramètres!$A$1:$I$88,3,0)*0.475*44/12</f>
        <v>#N/A</v>
      </c>
      <c r="EB181" s="23" t="e">
        <f>EXP(-LN(2)/25)*EB180+(1-EXP(-LN(2)/25))/(LN(2)/25)*Calculateur!DW181*Calculateur!DY181*VLOOKUP('Données projet'!$B$14,Paramètres!$A$1:$I$88,3,0)*0.475*44/12</f>
        <v>#N/A</v>
      </c>
      <c r="EC181" s="23" t="e">
        <f>EXP(-LN(2)/2)*EC180+(1-EXP(-LN(2)/2))/(LN(2)/2)*DW181*DZ181*VLOOKUP('Données projet'!$B$14,Paramètres!$A$1:$I$88,3,0)*0.475*44/12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69.611688062459478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projet'!$B$15,Paramètres!$A$1:$I$88,3,0)*VLOOKUP('Données projet'!$B$15,Paramètres!$A$1:$I$88,5,0)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projet'!$B$15,Paramètres!$A$1:$I$88,7,0))</f>
        <v>0</v>
      </c>
      <c r="ET181" s="17">
        <f>IF(ISNA(VLOOKUP(A181,'Données projet'!$A$191:$I$211,6,0)),0%,VLOOKUP(A181,'Données projet'!$A$191:$I$211,6,0)*VLOOKUP('Données projet'!$B$15,Paramètres!$A$1:$I$88,7,0))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projet'!$B$15,Paramètres!$A$1:$I$88,3,0)*0.475*44/12</f>
        <v>#N/A</v>
      </c>
      <c r="EW181" s="23" t="e">
        <f>EXP(-LN(2)/25)*EW180+(1-EXP(-LN(2)/25))/(LN(2)/25)*Calculateur!ER181*Calculateur!ET181*VLOOKUP('Données projet'!$B$15,Paramètres!$A$1:$I$88,3,0)*0.475*44/12</f>
        <v>#N/A</v>
      </c>
      <c r="EX181" s="23" t="e">
        <f>EXP(-LN(2)/2)*EX180+(1-EXP(-LN(2)/2))/(LN(2)/2)*ER181*EU181*VLOOKUP('Données projet'!$B$15,Paramètres!$A$1:$I$88,3,0)*0.475*44/12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69.611688062459478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projet'!$B$16,Paramètres!$A$1:$I$88,3,0)*VLOOKUP('Données projet'!$B$16,Paramètres!$A$1:$I$88,5,0)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projet'!$B$16,Paramètres!$A$1:$I$88,7,0))</f>
        <v>0</v>
      </c>
      <c r="FO181" s="17">
        <f>IF(ISNA(VLOOKUP(A181,'Données projet'!$A$217:$I$237,6,0)),0%,VLOOKUP(A181,'Données projet'!$A$217:$I$237,6,0)*VLOOKUP('Données projet'!$B$16,Paramètres!$A$1:$I$88,7,0))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projet'!$B$16,Paramètres!$A$1:$I$88,3,0)*0.475*44/12</f>
        <v>#N/A</v>
      </c>
      <c r="FR181" s="23" t="e">
        <f>EXP(-LN(2)/25)*FR180+(1-EXP(-LN(2)/25))/(LN(2)/25)*Calculateur!FM181*Calculateur!FO181*VLOOKUP('Données projet'!$B$16,Paramètres!$A$1:$I$88,3,0)*0.475*44/12</f>
        <v>#N/A</v>
      </c>
      <c r="FS181" s="23" t="e">
        <f>EXP(-LN(2)/2)*FS180+(1-EXP(-LN(2)/2))/(LN(2)/2)*FM181*FP181*VLOOKUP('Données projet'!$B$16,Paramètres!$A$1:$I$88,3,0)*0.475*44/12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69.611688062459478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projet'!$B$17,Paramètres!$A$1:$I$88,3,0)*VLOOKUP('Données projet'!$B$17,Paramètres!$A$1:$I$88,5,0)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projet'!$B$17,Paramètres!$A$1:$I$88,7,0))</f>
        <v>0</v>
      </c>
      <c r="GJ181" s="17">
        <f>IF(ISNA(VLOOKUP(A181,'Données projet'!$A$243:$I$263,6,0)),0%,VLOOKUP(A181,'Données projet'!$A$243:$I$263,6,0)*VLOOKUP('Données projet'!$B$17,Paramètres!$A$1:$I$88,7,0))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projet'!$B$17,Paramètres!$A$1:$I$88,3,0)*0.475*44/12</f>
        <v>#N/A</v>
      </c>
      <c r="GM181" s="23" t="e">
        <f>EXP(-LN(2)/25)*GM180+(1-EXP(-LN(2)/25))/(LN(2)/25)*Calculateur!GH181*Calculateur!GJ181*VLOOKUP('Données projet'!$B$17,Paramètres!$A$1:$I$88,3,0)*0.475*44/12</f>
        <v>#N/A</v>
      </c>
      <c r="GN181" s="23" t="e">
        <f>EXP(-LN(2)/2)*GN180+(1-EXP(-LN(2)/2))/(LN(2)/2)*GH181*GK181*VLOOKUP('Données projet'!$B$17,Paramètres!$A$1:$I$88,3,0)*0.475*44/12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69.611688062459478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projet'!$B$18,Paramètres!$A$1:$I$88,3,0)*VLOOKUP('Données projet'!$B$18,Paramètres!$A$1:$I$88,5,0)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projet'!$B$18,Paramètres!$A$1:$I$88,7,0))</f>
        <v>0</v>
      </c>
      <c r="HE181" s="17">
        <f>IF(ISNA(VLOOKUP(A181,'Données projet'!$A$269:$I$289,6,0)),0%,VLOOKUP(A181,'Données projet'!$A$269:$I$289,6,0)*VLOOKUP('Données projet'!$B$18,Paramètres!$A$1:$I$88,7,0))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projet'!$B$18,Paramètres!$A$1:$I$88,3,0)*0.475*44/12</f>
        <v>#N/A</v>
      </c>
      <c r="HH181" s="23" t="e">
        <f>EXP(-LN(2)/25)*HH180+(1-EXP(-LN(2)/25))/(LN(2)/25)*Calculateur!HC181*Calculateur!HE181*VLOOKUP('Données projet'!$B$18,Paramètres!$A$1:$I$88,3,0)*0.475*44/12</f>
        <v>#N/A</v>
      </c>
      <c r="HI181" s="23" t="e">
        <f>EXP(-LN(2)/2)*HI180+(1-EXP(-LN(2)/2))/(LN(2)/2)*HC181*HF181*VLOOKUP('Données projet'!$B$18,Paramètres!$A$1:$I$88,3,0)*0.475*44/12</f>
        <v>#N/A</v>
      </c>
      <c r="HJ181" s="24" t="e">
        <f t="shared" si="190"/>
        <v>#N/A</v>
      </c>
    </row>
    <row r="182" spans="1:218" x14ac:dyDescent="0.35">
      <c r="A182" s="11">
        <f t="shared" si="161"/>
        <v>179</v>
      </c>
      <c r="B182" s="77">
        <f>'Scénario référence'!$B$16*5+'Scénario référence'!$B$17*0+'Scénario référence'!$B$18*5</f>
        <v>1.75</v>
      </c>
      <c r="C182" s="20">
        <f>Calculateur!C181+'Scénario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82" s="12">
        <f t="shared" si="140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6.416666666666667</v>
      </c>
      <c r="H182" s="70">
        <f t="shared" si="110"/>
        <v>231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69.618424406440369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3.4106051316484809E-13</v>
      </c>
      <c r="O182" s="14">
        <f>N182*VLOOKUP('Données projet'!$B$9,Paramètres!$A$1:$I$88,3,0)*VLOOKUP('Données projet'!$B$9,Paramètres!$A$1:$I$88,5,0)</f>
        <v>1.9065282685915009E-13</v>
      </c>
      <c r="P182" s="14">
        <f t="shared" si="141"/>
        <v>2.6568987209435707E-12</v>
      </c>
      <c r="Q182" s="22">
        <f t="shared" si="162"/>
        <v>4.959485612423072E-12</v>
      </c>
      <c r="R182" s="62">
        <f t="shared" si="109"/>
        <v>291.93422282361962</v>
      </c>
      <c r="S182" s="62">
        <f ca="1">AVERAGE(OFFSET($R$3,0,0,'Données projet'!$E$9+1,1))-AVERAGE(OFFSET($H$3,0,0,'Données projet'!$E$9+1,1))</f>
        <v>341.05096821796769</v>
      </c>
      <c r="T182" s="62">
        <f t="shared" si="142"/>
        <v>400.72519822215168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projet'!$B$9,Paramètres!$A$1:$I$88,7,0))</f>
        <v>0</v>
      </c>
      <c r="X182" s="17">
        <f>IF(ISNA(VLOOKUP(A182,'Données projet'!$A$35:$I$55,6,0)),0%,VLOOKUP(A182,'Données projet'!$A$35:$I$55,6,0)*VLOOKUP('Données projet'!$B$9,Paramètres!$A$1:$I$88,7,0))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projet'!$B$9,Paramètres!$A$1:$I$88,3,0)*0.475*44/12</f>
        <v>22.700265783379244</v>
      </c>
      <c r="AA182" s="23">
        <f>EXP(-LN(2)/25)*AA181+(1-EXP(-LN(2)/25))/(LN(2)/25)*Calculateur!V182*Calculateur!X182*VLOOKUP('Données projet'!$B$9,Paramètres!$A$1:$I$88,3,0)*0.475*44/12</f>
        <v>4.8909470670247721</v>
      </c>
      <c r="AB182" s="23">
        <f>EXP(-LN(2)/2)*AB181+(1-EXP(-LN(2)/2))/(LN(2)/2)*V182*Y182*VLOOKUP('Données projet'!$B$9,Paramètres!$A$1:$I$88,3,0)*0.475*44/12</f>
        <v>0</v>
      </c>
      <c r="AC182" s="24">
        <f t="shared" si="163"/>
        <v>27.591212850404016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69.618424406440369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5.6843418860808015E-14</v>
      </c>
      <c r="AJ182" s="14">
        <f>AI182*VLOOKUP('Données projet'!$B$10,Paramètres!$A$1:$I$88,3,0)*VLOOKUP('Données projet'!$B$10,Paramètres!$A$1:$I$88,5,0)</f>
        <v>3.3992364478763198E-14</v>
      </c>
      <c r="AK182" s="14">
        <f t="shared" si="164"/>
        <v>5.790027782444094E-13</v>
      </c>
      <c r="AL182" s="22">
        <f t="shared" si="165"/>
        <v>1.0676332069095257E-12</v>
      </c>
      <c r="AM182" s="62">
        <f t="shared" si="113"/>
        <v>291.93422282361576</v>
      </c>
      <c r="AN182" s="62">
        <f ca="1">AVERAGE(OFFSET($AM$3,0,0,'Données projet'!$E$10+1,1))-AVERAGE(OFFSET($H$3,0,0,'Données projet'!$E$10+1,1))</f>
        <v>231.96474801342879</v>
      </c>
      <c r="AO182" s="62">
        <f t="shared" si="144"/>
        <v>237.75726086383668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projet'!$B$10,Paramètres!$A$1:$I$88,7,0))</f>
        <v>0</v>
      </c>
      <c r="AS182" s="17">
        <f>IF(ISNA(VLOOKUP(A182,'Données projet'!$A$61:$I$81,6,0)),0%,VLOOKUP(A182,'Données projet'!$A$61:$I$81,6,0)*VLOOKUP('Données projet'!$B$10,Paramètres!$A$1:$I$88,7,0))</f>
        <v>0</v>
      </c>
      <c r="AT182" s="17">
        <f>IF(ISNA(VLOOKUP(A182,'Données projet'!$A$61:$I$81,7,0)),0%,VLOOKUP(A182,'Données projet'!$A$61:$I$81,7,0))</f>
        <v>0</v>
      </c>
      <c r="AU182" s="23">
        <f>EXP(-LN(2)/35)*AU181+(1-EXP(-LN(2)/35))/(LN(2)/35)*AQ182*AR182*VLOOKUP('Données projet'!$B$10,Paramètres!$A$1:$I$88,3,0)*0.475*44/12</f>
        <v>8.9518391702355711</v>
      </c>
      <c r="AV182" s="23">
        <f>EXP(-LN(2)/25)*AV181+(1-EXP(-LN(2)/25))/(LN(2)/25)*Calculateur!AQ182*Calculateur!AS182*VLOOKUP('Données projet'!$B$10,Paramètres!$A$1:$I$88,3,0)*0.475*44/12</f>
        <v>2.0653232858695545</v>
      </c>
      <c r="AW182" s="23">
        <f>EXP(-LN(2)/2)*AW181+(1-EXP(-LN(2)/2))/(LN(2)/2)*AQ182*AT182*VLOOKUP('Données projet'!$B$10,Paramètres!$A$1:$I$88,3,0)*0.475*44/12</f>
        <v>0</v>
      </c>
      <c r="AX182" s="23">
        <f t="shared" si="166"/>
        <v>11.017162456105126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69.618424406440369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6.8212102632969618E-13</v>
      </c>
      <c r="BE182" s="14">
        <f>BD182*VLOOKUP('Données projet'!$B$11,Paramètres!$A$1:$I$88,3,0)*VLOOKUP('Données projet'!$B$11,Paramètres!$A$1:$I$88,5,0)</f>
        <v>3.1923264032229784E-13</v>
      </c>
      <c r="BF182" s="14">
        <f t="shared" si="167"/>
        <v>4.1896839804541558E-12</v>
      </c>
      <c r="BG182" s="22">
        <f t="shared" si="168"/>
        <v>7.8530297811856558E-12</v>
      </c>
      <c r="BH182" s="62">
        <f t="shared" si="116"/>
        <v>291.93422282362252</v>
      </c>
      <c r="BI182" s="62">
        <f ca="1">AVERAGE(OFFSET($BH$3,0,0,'Données projet'!$E$11+1,1))-AVERAGE(OFFSET($H$3,0,0,'Données projet'!$E$11+1,1))</f>
        <v>364.96458059055169</v>
      </c>
      <c r="BJ182" s="62">
        <f t="shared" si="146"/>
        <v>246.27159120786257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projet'!$B$11,Paramètres!$A$1:$I$88,7,0))</f>
        <v>0</v>
      </c>
      <c r="BN182" s="17">
        <f>IF(ISNA(VLOOKUP(A182,'Données projet'!$A$87:$I$107,6,0)),0%,VLOOKUP(A182,'Données projet'!$A$87:$I$107,6,0)*VLOOKUP('Données projet'!$B$11,Paramètres!$A$1:$I$88,7,0))</f>
        <v>0</v>
      </c>
      <c r="BO182" s="17">
        <f>IF(ISNA(VLOOKUP(A182,'Données projet'!$A$87:$I$107,7,0)),0%,VLOOKUP(A182,'Données projet'!$A$87:$I$107,7,0))</f>
        <v>0</v>
      </c>
      <c r="BP182" s="23">
        <f>EXP(-LN(2)/35)*BP181+(1-EXP(-LN(2)/35))/(LN(2)/35)*BL182*BM182*VLOOKUP('Données projet'!$B$11,Paramètres!$A$1:$I$88,3,0)*0.475*44/12</f>
        <v>49.799531371280423</v>
      </c>
      <c r="BQ182" s="23">
        <f>EXP(-LN(2)/25)*BQ181+(1-EXP(-LN(2)/25))/(LN(2)/25)*Calculateur!BL182*Calculateur!BN182*VLOOKUP('Données projet'!$B$11,Paramètres!$A$1:$I$88,3,0)*0.475*44/12</f>
        <v>11.277385781372359</v>
      </c>
      <c r="BR182" s="23">
        <f>EXP(-LN(2)/2)*BR181+(1-EXP(-LN(2)/2))/(LN(2)/2)*BL182*BO182*VLOOKUP('Données projet'!$B$11,Paramètres!$A$1:$I$88,3,0)*0.475*44/12</f>
        <v>0</v>
      </c>
      <c r="BS182" s="24">
        <f t="shared" si="169"/>
        <v>61.076917152652783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69.618424406440369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-1.1368683772161603E-13</v>
      </c>
      <c r="BZ182" s="14">
        <f>BY182*VLOOKUP('Données projet'!$B$12,Paramètres!$A$1:$I$88,3,0)*VLOOKUP('Données projet'!$B$12,Paramètres!$A$1:$I$88,5,0)</f>
        <v>-1.1527845344971866E-13</v>
      </c>
      <c r="CA182" s="14" t="e">
        <f t="shared" si="170"/>
        <v>#NUM!</v>
      </c>
      <c r="CB182" s="22" t="e">
        <f t="shared" si="171"/>
        <v>#NUM!</v>
      </c>
      <c r="CC182" s="62" t="e">
        <f t="shared" si="119"/>
        <v>#NUM!</v>
      </c>
      <c r="CD182" s="62">
        <f ca="1">AVERAGE(OFFSET($CC$3,0,0,'Données projet'!$E$12+1,1))-AVERAGE(OFFSET($H$3,0,0,'Données projet'!$E$12+1,1))</f>
        <v>310.53598044763282</v>
      </c>
      <c r="CE182" s="62">
        <f t="shared" si="148"/>
        <v>322.01096634040596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projet'!$B$12,Paramètres!$A$1:$I$88,7,0))</f>
        <v>0</v>
      </c>
      <c r="CI182" s="17">
        <f>IF(ISNA(VLOOKUP(A182,'Données projet'!$A$113:$I$133,6,0)),0%,VLOOKUP(A182,'Données projet'!$A$113:$I$133,6,0)*VLOOKUP('Données projet'!$B$12,Paramètres!$A$1:$I$88,7,0))</f>
        <v>0</v>
      </c>
      <c r="CJ182" s="17">
        <f>IF(ISNA(VLOOKUP(A182,'Données projet'!$A$113:$I$133,7,0)),0%,VLOOKUP(A182,'Données projet'!$A$113:$I$133,7,0))</f>
        <v>0</v>
      </c>
      <c r="CK182" s="23">
        <f>EXP(-LN(2)/35)*CK181+(1-EXP(-LN(2)/35))/(LN(2)/35)*CG182*CH182*VLOOKUP('Données projet'!$B$12,Paramètres!$A$1:$I$88,3,0)*0.475*44/12</f>
        <v>6.8492465291771749</v>
      </c>
      <c r="CL182" s="23">
        <f>EXP(-LN(2)/25)*CL181+(1-EXP(-LN(2)/25))/(LN(2)/25)*Calculateur!CG182*Calculateur!CI182*VLOOKUP('Données projet'!$B$12,Paramètres!$A$1:$I$88,3,0)*0.475*44/12</f>
        <v>0</v>
      </c>
      <c r="CM182" s="23">
        <f>EXP(-LN(2)/2)*CM181+(1-EXP(-LN(2)/2))/(LN(2)/2)*CG182*CJ182*VLOOKUP('Données projet'!$B$12,Paramètres!$A$1:$I$88,3,0)*0.475*44/12</f>
        <v>0</v>
      </c>
      <c r="CN182" s="24">
        <f t="shared" si="172"/>
        <v>6.8492465291771749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69.618424406440369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projet'!$B$13,Paramètres!$A$1:$I$88,3,0)*VLOOKUP('Données projet'!$B$13,Paramètres!$A$1:$I$88,5,0)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projet'!$B$13,Paramètres!$A$1:$I$88,7,0))</f>
        <v>0</v>
      </c>
      <c r="DD182" s="17">
        <f>IF(ISNA(VLOOKUP(A182,'Données projet'!$A$139:$I$159,6,0)),0%,VLOOKUP(A182,'Données projet'!$A$139:$I$159,6,0)*VLOOKUP('Données projet'!$B$13,Paramètres!$A$1:$I$88,7,0))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projet'!$B$13,Paramètres!$A$1:$I$88,3,0)*0.475*44/12</f>
        <v>#N/A</v>
      </c>
      <c r="DG182" s="23" t="e">
        <f>EXP(-LN(2)/25)*DG181+(1-EXP(-LN(2)/25))/(LN(2)/25)*Calculateur!DB182*Calculateur!DD182*VLOOKUP('Données projet'!$B$13,Paramètres!$A$1:$I$88,3,0)*0.475*44/12</f>
        <v>#N/A</v>
      </c>
      <c r="DH182" s="23" t="e">
        <f>EXP(-LN(2)/2)*DH181+(1-EXP(-LN(2)/2))/(LN(2)/2)*DB182*DE182*VLOOKUP('Données projet'!$B$13,Paramètres!$A$1:$I$88,3,0)*0.475*44/12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69.618424406440369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projet'!$B$14,Paramètres!$A$1:$I$88,3,0)*VLOOKUP('Données projet'!$B$14,Paramètres!$A$1:$I$88,5,0)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projet'!$B$14,Paramètres!$A$1:$I$88,7,0))</f>
        <v>0</v>
      </c>
      <c r="DY182" s="17">
        <f>IF(ISNA(VLOOKUP(A182,'Données projet'!$A$165:$I$185,6,0)),0%,VLOOKUP(A182,'Données projet'!$A$165:$I$185,6,0)*VLOOKUP('Données projet'!$B$14,Paramètres!$A$1:$I$88,7,0))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projet'!$B$14,Paramètres!$A$1:$I$88,3,0)*0.475*44/12</f>
        <v>#N/A</v>
      </c>
      <c r="EB182" s="23" t="e">
        <f>EXP(-LN(2)/25)*EB181+(1-EXP(-LN(2)/25))/(LN(2)/25)*Calculateur!DW182*Calculateur!DY182*VLOOKUP('Données projet'!$B$14,Paramètres!$A$1:$I$88,3,0)*0.475*44/12</f>
        <v>#N/A</v>
      </c>
      <c r="EC182" s="23" t="e">
        <f>EXP(-LN(2)/2)*EC181+(1-EXP(-LN(2)/2))/(LN(2)/2)*DW182*DZ182*VLOOKUP('Données projet'!$B$14,Paramètres!$A$1:$I$88,3,0)*0.475*44/12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69.618424406440369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projet'!$B$15,Paramètres!$A$1:$I$88,3,0)*VLOOKUP('Données projet'!$B$15,Paramètres!$A$1:$I$88,5,0)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projet'!$B$15,Paramètres!$A$1:$I$88,7,0))</f>
        <v>0</v>
      </c>
      <c r="ET182" s="17">
        <f>IF(ISNA(VLOOKUP(A182,'Données projet'!$A$191:$I$211,6,0)),0%,VLOOKUP(A182,'Données projet'!$A$191:$I$211,6,0)*VLOOKUP('Données projet'!$B$15,Paramètres!$A$1:$I$88,7,0))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projet'!$B$15,Paramètres!$A$1:$I$88,3,0)*0.475*44/12</f>
        <v>#N/A</v>
      </c>
      <c r="EW182" s="23" t="e">
        <f>EXP(-LN(2)/25)*EW181+(1-EXP(-LN(2)/25))/(LN(2)/25)*Calculateur!ER182*Calculateur!ET182*VLOOKUP('Données projet'!$B$15,Paramètres!$A$1:$I$88,3,0)*0.475*44/12</f>
        <v>#N/A</v>
      </c>
      <c r="EX182" s="23" t="e">
        <f>EXP(-LN(2)/2)*EX181+(1-EXP(-LN(2)/2))/(LN(2)/2)*ER182*EU182*VLOOKUP('Données projet'!$B$15,Paramètres!$A$1:$I$88,3,0)*0.475*44/12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69.618424406440369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projet'!$B$16,Paramètres!$A$1:$I$88,3,0)*VLOOKUP('Données projet'!$B$16,Paramètres!$A$1:$I$88,5,0)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projet'!$B$16,Paramètres!$A$1:$I$88,7,0))</f>
        <v>0</v>
      </c>
      <c r="FO182" s="17">
        <f>IF(ISNA(VLOOKUP(A182,'Données projet'!$A$217:$I$237,6,0)),0%,VLOOKUP(A182,'Données projet'!$A$217:$I$237,6,0)*VLOOKUP('Données projet'!$B$16,Paramètres!$A$1:$I$88,7,0))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projet'!$B$16,Paramètres!$A$1:$I$88,3,0)*0.475*44/12</f>
        <v>#N/A</v>
      </c>
      <c r="FR182" s="23" t="e">
        <f>EXP(-LN(2)/25)*FR181+(1-EXP(-LN(2)/25))/(LN(2)/25)*Calculateur!FM182*Calculateur!FO182*VLOOKUP('Données projet'!$B$16,Paramètres!$A$1:$I$88,3,0)*0.475*44/12</f>
        <v>#N/A</v>
      </c>
      <c r="FS182" s="23" t="e">
        <f>EXP(-LN(2)/2)*FS181+(1-EXP(-LN(2)/2))/(LN(2)/2)*FM182*FP182*VLOOKUP('Données projet'!$B$16,Paramètres!$A$1:$I$88,3,0)*0.475*44/12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69.618424406440369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projet'!$B$17,Paramètres!$A$1:$I$88,3,0)*VLOOKUP('Données projet'!$B$17,Paramètres!$A$1:$I$88,5,0)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projet'!$B$17,Paramètres!$A$1:$I$88,7,0))</f>
        <v>0</v>
      </c>
      <c r="GJ182" s="17">
        <f>IF(ISNA(VLOOKUP(A182,'Données projet'!$A$243:$I$263,6,0)),0%,VLOOKUP(A182,'Données projet'!$A$243:$I$263,6,0)*VLOOKUP('Données projet'!$B$17,Paramètres!$A$1:$I$88,7,0))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projet'!$B$17,Paramètres!$A$1:$I$88,3,0)*0.475*44/12</f>
        <v>#N/A</v>
      </c>
      <c r="GM182" s="23" t="e">
        <f>EXP(-LN(2)/25)*GM181+(1-EXP(-LN(2)/25))/(LN(2)/25)*Calculateur!GH182*Calculateur!GJ182*VLOOKUP('Données projet'!$B$17,Paramètres!$A$1:$I$88,3,0)*0.475*44/12</f>
        <v>#N/A</v>
      </c>
      <c r="GN182" s="23" t="e">
        <f>EXP(-LN(2)/2)*GN181+(1-EXP(-LN(2)/2))/(LN(2)/2)*GH182*GK182*VLOOKUP('Données projet'!$B$17,Paramètres!$A$1:$I$88,3,0)*0.475*44/12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69.618424406440369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projet'!$B$18,Paramètres!$A$1:$I$88,3,0)*VLOOKUP('Données projet'!$B$18,Paramètres!$A$1:$I$88,5,0)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projet'!$B$18,Paramètres!$A$1:$I$88,7,0))</f>
        <v>0</v>
      </c>
      <c r="HE182" s="17">
        <f>IF(ISNA(VLOOKUP(A182,'Données projet'!$A$269:$I$289,6,0)),0%,VLOOKUP(A182,'Données projet'!$A$269:$I$289,6,0)*VLOOKUP('Données projet'!$B$18,Paramètres!$A$1:$I$88,7,0))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projet'!$B$18,Paramètres!$A$1:$I$88,3,0)*0.475*44/12</f>
        <v>#N/A</v>
      </c>
      <c r="HH182" s="23" t="e">
        <f>EXP(-LN(2)/25)*HH181+(1-EXP(-LN(2)/25))/(LN(2)/25)*Calculateur!HC182*Calculateur!HE182*VLOOKUP('Données projet'!$B$18,Paramètres!$A$1:$I$88,3,0)*0.475*44/12</f>
        <v>#N/A</v>
      </c>
      <c r="HI182" s="23" t="e">
        <f>EXP(-LN(2)/2)*HI181+(1-EXP(-LN(2)/2))/(LN(2)/2)*HC182*HF182*VLOOKUP('Données projet'!$B$18,Paramètres!$A$1:$I$88,3,0)*0.475*44/12</f>
        <v>#N/A</v>
      </c>
      <c r="HJ182" s="24" t="e">
        <f t="shared" si="190"/>
        <v>#N/A</v>
      </c>
    </row>
    <row r="183" spans="1:218" x14ac:dyDescent="0.35">
      <c r="A183" s="11">
        <f t="shared" si="161"/>
        <v>180</v>
      </c>
      <c r="B183" s="77">
        <f>'Scénario référence'!$B$16*5+'Scénario référence'!$B$17*0+'Scénario référence'!$B$18*5</f>
        <v>1.75</v>
      </c>
      <c r="C183" s="20">
        <f>Calculateur!C182+'Scénario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83" s="12">
        <f t="shared" si="140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6.416666666666667</v>
      </c>
      <c r="H183" s="70">
        <f t="shared" si="110"/>
        <v>231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69.6250438899134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3.4106051316484809E-13</v>
      </c>
      <c r="O183" s="14">
        <f>N183*VLOOKUP('Données projet'!$B$9,Paramètres!$A$1:$I$88,3,0)*VLOOKUP('Données projet'!$B$9,Paramètres!$A$1:$I$88,5,0)</f>
        <v>1.9065282685915009E-13</v>
      </c>
      <c r="P183" s="14">
        <f t="shared" si="141"/>
        <v>2.6568987209435707E-12</v>
      </c>
      <c r="Q183" s="22">
        <f t="shared" si="162"/>
        <v>4.959485612423072E-12</v>
      </c>
      <c r="R183" s="62">
        <f t="shared" si="109"/>
        <v>291.95849426302073</v>
      </c>
      <c r="S183" s="62">
        <f ca="1">AVERAGE(OFFSET($R$3,0,0,'Données projet'!$E$9+1,1))-AVERAGE(OFFSET($H$3,0,0,'Données projet'!$E$9+1,1))</f>
        <v>341.05096821796769</v>
      </c>
      <c r="T183" s="62">
        <f t="shared" si="142"/>
        <v>400.72519822215168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projet'!$B$9,Paramètres!$A$1:$I$88,7,0))</f>
        <v>0</v>
      </c>
      <c r="X183" s="17">
        <f>IF(ISNA(VLOOKUP(A183,'Données projet'!$A$35:$I$55,6,0)),0%,VLOOKUP(A183,'Données projet'!$A$35:$I$55,6,0)*VLOOKUP('Données projet'!$B$9,Paramètres!$A$1:$I$88,7,0))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projet'!$B$9,Paramètres!$A$1:$I$88,3,0)*0.475*44/12</f>
        <v>22.255127417162146</v>
      </c>
      <c r="AA183" s="23">
        <f>EXP(-LN(2)/25)*AA182+(1-EXP(-LN(2)/25))/(LN(2)/25)*Calculateur!V183*Calculateur!X183*VLOOKUP('Données projet'!$B$9,Paramètres!$A$1:$I$88,3,0)*0.475*44/12</f>
        <v>4.7572038622732515</v>
      </c>
      <c r="AB183" s="23">
        <f>EXP(-LN(2)/2)*AB182+(1-EXP(-LN(2)/2))/(LN(2)/2)*V183*Y183*VLOOKUP('Données projet'!$B$9,Paramètres!$A$1:$I$88,3,0)*0.475*44/12</f>
        <v>0</v>
      </c>
      <c r="AC183" s="24">
        <f t="shared" si="163"/>
        <v>27.012331279435397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69.6250438899134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5.6843418860808015E-14</v>
      </c>
      <c r="AJ183" s="14">
        <f>AI183*VLOOKUP('Données projet'!$B$10,Paramètres!$A$1:$I$88,3,0)*VLOOKUP('Données projet'!$B$10,Paramètres!$A$1:$I$88,5,0)</f>
        <v>3.3992364478763198E-14</v>
      </c>
      <c r="AK183" s="14">
        <f t="shared" si="164"/>
        <v>5.790027782444094E-13</v>
      </c>
      <c r="AL183" s="22">
        <f t="shared" si="165"/>
        <v>1.0676332069095257E-12</v>
      </c>
      <c r="AM183" s="62">
        <f t="shared" si="113"/>
        <v>291.95849426301686</v>
      </c>
      <c r="AN183" s="62">
        <f ca="1">AVERAGE(OFFSET($AM$3,0,0,'Données projet'!$E$10+1,1))-AVERAGE(OFFSET($H$3,0,0,'Données projet'!$E$10+1,1))</f>
        <v>231.96474801342879</v>
      </c>
      <c r="AO183" s="62">
        <f t="shared" si="144"/>
        <v>237.75726086383668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projet'!$B$10,Paramètres!$A$1:$I$88,7,0))</f>
        <v>0</v>
      </c>
      <c r="AS183" s="17">
        <f>IF(ISNA(VLOOKUP(A183,'Données projet'!$A$61:$I$81,6,0)),0%,VLOOKUP(A183,'Données projet'!$A$61:$I$81,6,0)*VLOOKUP('Données projet'!$B$10,Paramètres!$A$1:$I$88,7,0))</f>
        <v>0</v>
      </c>
      <c r="AT183" s="17">
        <f>IF(ISNA(VLOOKUP(A183,'Données projet'!$A$61:$I$81,7,0)),0%,VLOOKUP(A183,'Données projet'!$A$61:$I$81,7,0))</f>
        <v>0</v>
      </c>
      <c r="AU183" s="23">
        <f>EXP(-LN(2)/35)*AU182+(1-EXP(-LN(2)/35))/(LN(2)/35)*AQ183*AR183*VLOOKUP('Données projet'!$B$10,Paramètres!$A$1:$I$88,3,0)*0.475*44/12</f>
        <v>8.7762990641900078</v>
      </c>
      <c r="AV183" s="23">
        <f>EXP(-LN(2)/25)*AV182+(1-EXP(-LN(2)/25))/(LN(2)/25)*Calculateur!AQ183*Calculateur!AS183*VLOOKUP('Données projet'!$B$10,Paramètres!$A$1:$I$88,3,0)*0.475*44/12</f>
        <v>2.0088469120068204</v>
      </c>
      <c r="AW183" s="23">
        <f>EXP(-LN(2)/2)*AW182+(1-EXP(-LN(2)/2))/(LN(2)/2)*AQ183*AT183*VLOOKUP('Données projet'!$B$10,Paramètres!$A$1:$I$88,3,0)*0.475*44/12</f>
        <v>0</v>
      </c>
      <c r="AX183" s="23">
        <f t="shared" si="166"/>
        <v>10.785145976196828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69.6250438899134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6.8212102632969618E-13</v>
      </c>
      <c r="BE183" s="14">
        <f>BD183*VLOOKUP('Données projet'!$B$11,Paramètres!$A$1:$I$88,3,0)*VLOOKUP('Données projet'!$B$11,Paramètres!$A$1:$I$88,5,0)</f>
        <v>3.1923264032229784E-13</v>
      </c>
      <c r="BF183" s="14">
        <f t="shared" si="167"/>
        <v>4.1896839804541558E-12</v>
      </c>
      <c r="BG183" s="22">
        <f t="shared" si="168"/>
        <v>7.8530297811856558E-12</v>
      </c>
      <c r="BH183" s="62">
        <f t="shared" si="116"/>
        <v>291.95849426302362</v>
      </c>
      <c r="BI183" s="62">
        <f ca="1">AVERAGE(OFFSET($BH$3,0,0,'Données projet'!$E$11+1,1))-AVERAGE(OFFSET($H$3,0,0,'Données projet'!$E$11+1,1))</f>
        <v>364.96458059055169</v>
      </c>
      <c r="BJ183" s="62">
        <f t="shared" si="146"/>
        <v>246.27159120786257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projet'!$B$11,Paramètres!$A$1:$I$88,7,0))</f>
        <v>0</v>
      </c>
      <c r="BN183" s="17">
        <f>IF(ISNA(VLOOKUP(A183,'Données projet'!$A$87:$I$107,6,0)),0%,VLOOKUP(A183,'Données projet'!$A$87:$I$107,6,0)*VLOOKUP('Données projet'!$B$11,Paramètres!$A$1:$I$88,7,0))</f>
        <v>0</v>
      </c>
      <c r="BO183" s="17">
        <f>IF(ISNA(VLOOKUP(A183,'Données projet'!$A$87:$I$107,7,0)),0%,VLOOKUP(A183,'Données projet'!$A$87:$I$107,7,0))</f>
        <v>0</v>
      </c>
      <c r="BP183" s="23">
        <f>EXP(-LN(2)/35)*BP182+(1-EXP(-LN(2)/35))/(LN(2)/35)*BL183*BM183*VLOOKUP('Données projet'!$B$11,Paramètres!$A$1:$I$88,3,0)*0.475*44/12</f>
        <v>48.8229929358045</v>
      </c>
      <c r="BQ183" s="23">
        <f>EXP(-LN(2)/25)*BQ182+(1-EXP(-LN(2)/25))/(LN(2)/25)*Calculateur!BL183*Calculateur!BN183*VLOOKUP('Données projet'!$B$11,Paramètres!$A$1:$I$88,3,0)*0.475*44/12</f>
        <v>10.969005074128789</v>
      </c>
      <c r="BR183" s="23">
        <f>EXP(-LN(2)/2)*BR182+(1-EXP(-LN(2)/2))/(LN(2)/2)*BL183*BO183*VLOOKUP('Données projet'!$B$11,Paramètres!$A$1:$I$88,3,0)*0.475*44/12</f>
        <v>0</v>
      </c>
      <c r="BS183" s="24">
        <f t="shared" si="169"/>
        <v>59.791998009933288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69.6250438899134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-1.1368683772161603E-13</v>
      </c>
      <c r="BZ183" s="14">
        <f>BY183*VLOOKUP('Données projet'!$B$12,Paramètres!$A$1:$I$88,3,0)*VLOOKUP('Données projet'!$B$12,Paramètres!$A$1:$I$88,5,0)</f>
        <v>-1.1527845344971866E-13</v>
      </c>
      <c r="CA183" s="14" t="e">
        <f t="shared" si="170"/>
        <v>#NUM!</v>
      </c>
      <c r="CB183" s="22" t="e">
        <f t="shared" si="171"/>
        <v>#NUM!</v>
      </c>
      <c r="CC183" s="62" t="e">
        <f t="shared" si="119"/>
        <v>#NUM!</v>
      </c>
      <c r="CD183" s="62">
        <f ca="1">AVERAGE(OFFSET($CC$3,0,0,'Données projet'!$E$12+1,1))-AVERAGE(OFFSET($H$3,0,0,'Données projet'!$E$12+1,1))</f>
        <v>310.53598044763282</v>
      </c>
      <c r="CE183" s="62">
        <f t="shared" si="148"/>
        <v>322.01096634040596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projet'!$B$12,Paramètres!$A$1:$I$88,7,0))</f>
        <v>0</v>
      </c>
      <c r="CI183" s="17">
        <f>IF(ISNA(VLOOKUP(A183,'Données projet'!$A$113:$I$133,6,0)),0%,VLOOKUP(A183,'Données projet'!$A$113:$I$133,6,0)*VLOOKUP('Données projet'!$B$12,Paramètres!$A$1:$I$88,7,0))</f>
        <v>0</v>
      </c>
      <c r="CJ183" s="17">
        <f>IF(ISNA(VLOOKUP(A183,'Données projet'!$A$113:$I$133,7,0)),0%,VLOOKUP(A183,'Données projet'!$A$113:$I$133,7,0))</f>
        <v>0</v>
      </c>
      <c r="CK183" s="23">
        <f>EXP(-LN(2)/35)*CK182+(1-EXP(-LN(2)/35))/(LN(2)/35)*CG183*CH183*VLOOKUP('Données projet'!$B$12,Paramètres!$A$1:$I$88,3,0)*0.475*44/12</f>
        <v>6.7149369823678864</v>
      </c>
      <c r="CL183" s="23">
        <f>EXP(-LN(2)/25)*CL182+(1-EXP(-LN(2)/25))/(LN(2)/25)*Calculateur!CG183*Calculateur!CI183*VLOOKUP('Données projet'!$B$12,Paramètres!$A$1:$I$88,3,0)*0.475*44/12</f>
        <v>0</v>
      </c>
      <c r="CM183" s="23">
        <f>EXP(-LN(2)/2)*CM182+(1-EXP(-LN(2)/2))/(LN(2)/2)*CG183*CJ183*VLOOKUP('Données projet'!$B$12,Paramètres!$A$1:$I$88,3,0)*0.475*44/12</f>
        <v>0</v>
      </c>
      <c r="CN183" s="24">
        <f t="shared" si="172"/>
        <v>6.7149369823678864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69.6250438899134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projet'!$B$13,Paramètres!$A$1:$I$88,3,0)*VLOOKUP('Données projet'!$B$13,Paramètres!$A$1:$I$88,5,0)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projet'!$B$13,Paramètres!$A$1:$I$88,7,0))</f>
        <v>0</v>
      </c>
      <c r="DD183" s="17">
        <f>IF(ISNA(VLOOKUP(A183,'Données projet'!$A$139:$I$159,6,0)),0%,VLOOKUP(A183,'Données projet'!$A$139:$I$159,6,0)*VLOOKUP('Données projet'!$B$13,Paramètres!$A$1:$I$88,7,0))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projet'!$B$13,Paramètres!$A$1:$I$88,3,0)*0.475*44/12</f>
        <v>#N/A</v>
      </c>
      <c r="DG183" s="23" t="e">
        <f>EXP(-LN(2)/25)*DG182+(1-EXP(-LN(2)/25))/(LN(2)/25)*Calculateur!DB183*Calculateur!DD183*VLOOKUP('Données projet'!$B$13,Paramètres!$A$1:$I$88,3,0)*0.475*44/12</f>
        <v>#N/A</v>
      </c>
      <c r="DH183" s="23" t="e">
        <f>EXP(-LN(2)/2)*DH182+(1-EXP(-LN(2)/2))/(LN(2)/2)*DB183*DE183*VLOOKUP('Données projet'!$B$13,Paramètres!$A$1:$I$88,3,0)*0.475*44/12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69.6250438899134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projet'!$B$14,Paramètres!$A$1:$I$88,3,0)*VLOOKUP('Données projet'!$B$14,Paramètres!$A$1:$I$88,5,0)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projet'!$B$14,Paramètres!$A$1:$I$88,7,0))</f>
        <v>0</v>
      </c>
      <c r="DY183" s="17">
        <f>IF(ISNA(VLOOKUP(A183,'Données projet'!$A$165:$I$185,6,0)),0%,VLOOKUP(A183,'Données projet'!$A$165:$I$185,6,0)*VLOOKUP('Données projet'!$B$14,Paramètres!$A$1:$I$88,7,0))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projet'!$B$14,Paramètres!$A$1:$I$88,3,0)*0.475*44/12</f>
        <v>#N/A</v>
      </c>
      <c r="EB183" s="23" t="e">
        <f>EXP(-LN(2)/25)*EB182+(1-EXP(-LN(2)/25))/(LN(2)/25)*Calculateur!DW183*Calculateur!DY183*VLOOKUP('Données projet'!$B$14,Paramètres!$A$1:$I$88,3,0)*0.475*44/12</f>
        <v>#N/A</v>
      </c>
      <c r="EC183" s="23" t="e">
        <f>EXP(-LN(2)/2)*EC182+(1-EXP(-LN(2)/2))/(LN(2)/2)*DW183*DZ183*VLOOKUP('Données projet'!$B$14,Paramètres!$A$1:$I$88,3,0)*0.475*44/12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69.6250438899134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projet'!$B$15,Paramètres!$A$1:$I$88,3,0)*VLOOKUP('Données projet'!$B$15,Paramètres!$A$1:$I$88,5,0)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projet'!$B$15,Paramètres!$A$1:$I$88,7,0))</f>
        <v>0</v>
      </c>
      <c r="ET183" s="17">
        <f>IF(ISNA(VLOOKUP(A183,'Données projet'!$A$191:$I$211,6,0)),0%,VLOOKUP(A183,'Données projet'!$A$191:$I$211,6,0)*VLOOKUP('Données projet'!$B$15,Paramètres!$A$1:$I$88,7,0))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projet'!$B$15,Paramètres!$A$1:$I$88,3,0)*0.475*44/12</f>
        <v>#N/A</v>
      </c>
      <c r="EW183" s="23" t="e">
        <f>EXP(-LN(2)/25)*EW182+(1-EXP(-LN(2)/25))/(LN(2)/25)*Calculateur!ER183*Calculateur!ET183*VLOOKUP('Données projet'!$B$15,Paramètres!$A$1:$I$88,3,0)*0.475*44/12</f>
        <v>#N/A</v>
      </c>
      <c r="EX183" s="23" t="e">
        <f>EXP(-LN(2)/2)*EX182+(1-EXP(-LN(2)/2))/(LN(2)/2)*ER183*EU183*VLOOKUP('Données projet'!$B$15,Paramètres!$A$1:$I$88,3,0)*0.475*44/12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69.6250438899134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projet'!$B$16,Paramètres!$A$1:$I$88,3,0)*VLOOKUP('Données projet'!$B$16,Paramètres!$A$1:$I$88,5,0)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projet'!$B$16,Paramètres!$A$1:$I$88,7,0))</f>
        <v>0</v>
      </c>
      <c r="FO183" s="17">
        <f>IF(ISNA(VLOOKUP(A183,'Données projet'!$A$217:$I$237,6,0)),0%,VLOOKUP(A183,'Données projet'!$A$217:$I$237,6,0)*VLOOKUP('Données projet'!$B$16,Paramètres!$A$1:$I$88,7,0))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projet'!$B$16,Paramètres!$A$1:$I$88,3,0)*0.475*44/12</f>
        <v>#N/A</v>
      </c>
      <c r="FR183" s="23" t="e">
        <f>EXP(-LN(2)/25)*FR182+(1-EXP(-LN(2)/25))/(LN(2)/25)*Calculateur!FM183*Calculateur!FO183*VLOOKUP('Données projet'!$B$16,Paramètres!$A$1:$I$88,3,0)*0.475*44/12</f>
        <v>#N/A</v>
      </c>
      <c r="FS183" s="23" t="e">
        <f>EXP(-LN(2)/2)*FS182+(1-EXP(-LN(2)/2))/(LN(2)/2)*FM183*FP183*VLOOKUP('Données projet'!$B$16,Paramètres!$A$1:$I$88,3,0)*0.475*44/12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69.6250438899134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projet'!$B$17,Paramètres!$A$1:$I$88,3,0)*VLOOKUP('Données projet'!$B$17,Paramètres!$A$1:$I$88,5,0)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projet'!$B$17,Paramètres!$A$1:$I$88,7,0))</f>
        <v>0</v>
      </c>
      <c r="GJ183" s="17">
        <f>IF(ISNA(VLOOKUP(A183,'Données projet'!$A$243:$I$263,6,0)),0%,VLOOKUP(A183,'Données projet'!$A$243:$I$263,6,0)*VLOOKUP('Données projet'!$B$17,Paramètres!$A$1:$I$88,7,0))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projet'!$B$17,Paramètres!$A$1:$I$88,3,0)*0.475*44/12</f>
        <v>#N/A</v>
      </c>
      <c r="GM183" s="23" t="e">
        <f>EXP(-LN(2)/25)*GM182+(1-EXP(-LN(2)/25))/(LN(2)/25)*Calculateur!GH183*Calculateur!GJ183*VLOOKUP('Données projet'!$B$17,Paramètres!$A$1:$I$88,3,0)*0.475*44/12</f>
        <v>#N/A</v>
      </c>
      <c r="GN183" s="23" t="e">
        <f>EXP(-LN(2)/2)*GN182+(1-EXP(-LN(2)/2))/(LN(2)/2)*GH183*GK183*VLOOKUP('Données projet'!$B$17,Paramètres!$A$1:$I$88,3,0)*0.475*44/12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69.6250438899134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projet'!$B$18,Paramètres!$A$1:$I$88,3,0)*VLOOKUP('Données projet'!$B$18,Paramètres!$A$1:$I$88,5,0)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projet'!$B$18,Paramètres!$A$1:$I$88,7,0))</f>
        <v>0</v>
      </c>
      <c r="HE183" s="17">
        <f>IF(ISNA(VLOOKUP(A183,'Données projet'!$A$269:$I$289,6,0)),0%,VLOOKUP(A183,'Données projet'!$A$269:$I$289,6,0)*VLOOKUP('Données projet'!$B$18,Paramètres!$A$1:$I$88,7,0))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projet'!$B$18,Paramètres!$A$1:$I$88,3,0)*0.475*44/12</f>
        <v>#N/A</v>
      </c>
      <c r="HH183" s="23" t="e">
        <f>EXP(-LN(2)/25)*HH182+(1-EXP(-LN(2)/25))/(LN(2)/25)*Calculateur!HC183*Calculateur!HE183*VLOOKUP('Données projet'!$B$18,Paramètres!$A$1:$I$88,3,0)*0.475*44/12</f>
        <v>#N/A</v>
      </c>
      <c r="HI183" s="23" t="e">
        <f>EXP(-LN(2)/2)*HI182+(1-EXP(-LN(2)/2))/(LN(2)/2)*HC183*HF183*VLOOKUP('Données projet'!$B$18,Paramètres!$A$1:$I$88,3,0)*0.475*44/12</f>
        <v>#N/A</v>
      </c>
      <c r="HJ183" s="24" t="e">
        <f t="shared" si="190"/>
        <v>#N/A</v>
      </c>
    </row>
    <row r="184" spans="1:218" x14ac:dyDescent="0.35">
      <c r="A184" s="11">
        <f t="shared" si="161"/>
        <v>181</v>
      </c>
      <c r="B184" s="77">
        <f>'Scénario référence'!$B$16*5+'Scénario référence'!$B$17*0+'Scénario référence'!$B$18*5</f>
        <v>1.75</v>
      </c>
      <c r="C184" s="20">
        <f>Calculateur!C183+'Scénario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84" s="12">
        <f t="shared" si="140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6.416666666666667</v>
      </c>
      <c r="H184" s="70">
        <f t="shared" si="110"/>
        <v>231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69.631548540147122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3.4106051316484809E-13</v>
      </c>
      <c r="O184" s="14">
        <f>N184*VLOOKUP('Données projet'!$B$9,Paramètres!$A$1:$I$88,3,0)*VLOOKUP('Données projet'!$B$9,Paramètres!$A$1:$I$88,5,0)</f>
        <v>1.9065282685915009E-13</v>
      </c>
      <c r="P184" s="14">
        <f t="shared" si="141"/>
        <v>2.6568987209435707E-12</v>
      </c>
      <c r="Q184" s="22">
        <f t="shared" si="162"/>
        <v>4.959485612423072E-12</v>
      </c>
      <c r="R184" s="62">
        <f t="shared" si="109"/>
        <v>291.98234464721105</v>
      </c>
      <c r="S184" s="62">
        <f ca="1">AVERAGE(OFFSET($R$3,0,0,'Données projet'!$E$9+1,1))-AVERAGE(OFFSET($H$3,0,0,'Données projet'!$E$9+1,1))</f>
        <v>341.05096821796769</v>
      </c>
      <c r="T184" s="62">
        <f t="shared" si="142"/>
        <v>400.72519822215168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projet'!$B$9,Paramètres!$A$1:$I$88,7,0))</f>
        <v>0</v>
      </c>
      <c r="X184" s="17">
        <f>IF(ISNA(VLOOKUP(A184,'Données projet'!$A$35:$I$55,6,0)),0%,VLOOKUP(A184,'Données projet'!$A$35:$I$55,6,0)*VLOOKUP('Données projet'!$B$9,Paramètres!$A$1:$I$88,7,0))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projet'!$B$9,Paramètres!$A$1:$I$88,3,0)*0.475*44/12</f>
        <v>21.818717942798973</v>
      </c>
      <c r="AA184" s="23">
        <f>EXP(-LN(2)/25)*AA183+(1-EXP(-LN(2)/25))/(LN(2)/25)*Calculateur!V184*Calculateur!X184*VLOOKUP('Données projet'!$B$9,Paramètres!$A$1:$I$88,3,0)*0.475*44/12</f>
        <v>4.6271178724889115</v>
      </c>
      <c r="AB184" s="23">
        <f>EXP(-LN(2)/2)*AB183+(1-EXP(-LN(2)/2))/(LN(2)/2)*V184*Y184*VLOOKUP('Données projet'!$B$9,Paramètres!$A$1:$I$88,3,0)*0.475*44/12</f>
        <v>0</v>
      </c>
      <c r="AC184" s="24">
        <f t="shared" si="163"/>
        <v>26.445835815287886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69.631548540147122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5.6843418860808015E-14</v>
      </c>
      <c r="AJ184" s="14">
        <f>AI184*VLOOKUP('Données projet'!$B$10,Paramètres!$A$1:$I$88,3,0)*VLOOKUP('Données projet'!$B$10,Paramètres!$A$1:$I$88,5,0)</f>
        <v>3.3992364478763198E-14</v>
      </c>
      <c r="AK184" s="14">
        <f t="shared" si="164"/>
        <v>5.790027782444094E-13</v>
      </c>
      <c r="AL184" s="22">
        <f t="shared" si="165"/>
        <v>1.0676332069095257E-12</v>
      </c>
      <c r="AM184" s="62">
        <f t="shared" si="113"/>
        <v>291.98234464720719</v>
      </c>
      <c r="AN184" s="62">
        <f ca="1">AVERAGE(OFFSET($AM$3,0,0,'Données projet'!$E$10+1,1))-AVERAGE(OFFSET($H$3,0,0,'Données projet'!$E$10+1,1))</f>
        <v>231.96474801342879</v>
      </c>
      <c r="AO184" s="62">
        <f t="shared" si="144"/>
        <v>237.75726086383668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projet'!$B$10,Paramètres!$A$1:$I$88,7,0))</f>
        <v>0</v>
      </c>
      <c r="AS184" s="17">
        <f>IF(ISNA(VLOOKUP(A184,'Données projet'!$A$61:$I$81,6,0)),0%,VLOOKUP(A184,'Données projet'!$A$61:$I$81,6,0)*VLOOKUP('Données projet'!$B$10,Paramètres!$A$1:$I$88,7,0))</f>
        <v>0</v>
      </c>
      <c r="AT184" s="17">
        <f>IF(ISNA(VLOOKUP(A184,'Données projet'!$A$61:$I$81,7,0)),0%,VLOOKUP(A184,'Données projet'!$A$61:$I$81,7,0))</f>
        <v>0</v>
      </c>
      <c r="AU184" s="23">
        <f>EXP(-LN(2)/35)*AU183+(1-EXP(-LN(2)/35))/(LN(2)/35)*AQ184*AR184*VLOOKUP('Données projet'!$B$10,Paramètres!$A$1:$I$88,3,0)*0.475*44/12</f>
        <v>8.6042011925551041</v>
      </c>
      <c r="AV184" s="23">
        <f>EXP(-LN(2)/25)*AV183+(1-EXP(-LN(2)/25))/(LN(2)/25)*Calculateur!AQ184*Calculateur!AS184*VLOOKUP('Données projet'!$B$10,Paramètres!$A$1:$I$88,3,0)*0.475*44/12</f>
        <v>1.953914887557326</v>
      </c>
      <c r="AW184" s="23">
        <f>EXP(-LN(2)/2)*AW183+(1-EXP(-LN(2)/2))/(LN(2)/2)*AQ184*AT184*VLOOKUP('Données projet'!$B$10,Paramètres!$A$1:$I$88,3,0)*0.475*44/12</f>
        <v>0</v>
      </c>
      <c r="AX184" s="23">
        <f t="shared" si="166"/>
        <v>10.558116080112431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69.631548540147122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6.8212102632969618E-13</v>
      </c>
      <c r="BE184" s="14">
        <f>BD184*VLOOKUP('Données projet'!$B$11,Paramètres!$A$1:$I$88,3,0)*VLOOKUP('Données projet'!$B$11,Paramètres!$A$1:$I$88,5,0)</f>
        <v>3.1923264032229784E-13</v>
      </c>
      <c r="BF184" s="14">
        <f t="shared" si="167"/>
        <v>4.1896839804541558E-12</v>
      </c>
      <c r="BG184" s="22">
        <f t="shared" si="168"/>
        <v>7.8530297811856558E-12</v>
      </c>
      <c r="BH184" s="62">
        <f t="shared" si="116"/>
        <v>291.98234464721395</v>
      </c>
      <c r="BI184" s="62">
        <f ca="1">AVERAGE(OFFSET($BH$3,0,0,'Données projet'!$E$11+1,1))-AVERAGE(OFFSET($H$3,0,0,'Données projet'!$E$11+1,1))</f>
        <v>364.96458059055169</v>
      </c>
      <c r="BJ184" s="62">
        <f t="shared" si="146"/>
        <v>246.27159120786257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projet'!$B$11,Paramètres!$A$1:$I$88,7,0))</f>
        <v>0</v>
      </c>
      <c r="BN184" s="17">
        <f>IF(ISNA(VLOOKUP(A184,'Données projet'!$A$87:$I$107,6,0)),0%,VLOOKUP(A184,'Données projet'!$A$87:$I$107,6,0)*VLOOKUP('Données projet'!$B$11,Paramètres!$A$1:$I$88,7,0))</f>
        <v>0</v>
      </c>
      <c r="BO184" s="17">
        <f>IF(ISNA(VLOOKUP(A184,'Données projet'!$A$87:$I$107,7,0)),0%,VLOOKUP(A184,'Données projet'!$A$87:$I$107,7,0))</f>
        <v>0</v>
      </c>
      <c r="BP184" s="23">
        <f>EXP(-LN(2)/35)*BP183+(1-EXP(-LN(2)/35))/(LN(2)/35)*BL184*BM184*VLOOKUP('Données projet'!$B$11,Paramètres!$A$1:$I$88,3,0)*0.475*44/12</f>
        <v>47.865603823418624</v>
      </c>
      <c r="BQ184" s="23">
        <f>EXP(-LN(2)/25)*BQ183+(1-EXP(-LN(2)/25))/(LN(2)/25)*Calculateur!BL184*Calculateur!BN184*VLOOKUP('Données projet'!$B$11,Paramètres!$A$1:$I$88,3,0)*0.475*44/12</f>
        <v>10.669057053541831</v>
      </c>
      <c r="BR184" s="23">
        <f>EXP(-LN(2)/2)*BR183+(1-EXP(-LN(2)/2))/(LN(2)/2)*BL184*BO184*VLOOKUP('Données projet'!$B$11,Paramètres!$A$1:$I$88,3,0)*0.475*44/12</f>
        <v>0</v>
      </c>
      <c r="BS184" s="24">
        <f t="shared" si="169"/>
        <v>58.534660876960459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69.631548540147122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-1.1368683772161603E-13</v>
      </c>
      <c r="BZ184" s="14">
        <f>BY184*VLOOKUP('Données projet'!$B$12,Paramètres!$A$1:$I$88,3,0)*VLOOKUP('Données projet'!$B$12,Paramètres!$A$1:$I$88,5,0)</f>
        <v>-1.1527845344971866E-13</v>
      </c>
      <c r="CA184" s="14" t="e">
        <f t="shared" si="170"/>
        <v>#NUM!</v>
      </c>
      <c r="CB184" s="22" t="e">
        <f t="shared" si="171"/>
        <v>#NUM!</v>
      </c>
      <c r="CC184" s="62" t="e">
        <f t="shared" si="119"/>
        <v>#NUM!</v>
      </c>
      <c r="CD184" s="62">
        <f ca="1">AVERAGE(OFFSET($CC$3,0,0,'Données projet'!$E$12+1,1))-AVERAGE(OFFSET($H$3,0,0,'Données projet'!$E$12+1,1))</f>
        <v>310.53598044763282</v>
      </c>
      <c r="CE184" s="62">
        <f t="shared" si="148"/>
        <v>322.01096634040596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projet'!$B$12,Paramètres!$A$1:$I$88,7,0))</f>
        <v>0</v>
      </c>
      <c r="CI184" s="17">
        <f>IF(ISNA(VLOOKUP(A184,'Données projet'!$A$113:$I$133,6,0)),0%,VLOOKUP(A184,'Données projet'!$A$113:$I$133,6,0)*VLOOKUP('Données projet'!$B$12,Paramètres!$A$1:$I$88,7,0))</f>
        <v>0</v>
      </c>
      <c r="CJ184" s="17">
        <f>IF(ISNA(VLOOKUP(A184,'Données projet'!$A$113:$I$133,7,0)),0%,VLOOKUP(A184,'Données projet'!$A$113:$I$133,7,0))</f>
        <v>0</v>
      </c>
      <c r="CK184" s="23">
        <f>EXP(-LN(2)/35)*CK183+(1-EXP(-LN(2)/35))/(LN(2)/35)*CG184*CH184*VLOOKUP('Données projet'!$B$12,Paramètres!$A$1:$I$88,3,0)*0.475*44/12</f>
        <v>6.5832611638507936</v>
      </c>
      <c r="CL184" s="23">
        <f>EXP(-LN(2)/25)*CL183+(1-EXP(-LN(2)/25))/(LN(2)/25)*Calculateur!CG184*Calculateur!CI184*VLOOKUP('Données projet'!$B$12,Paramètres!$A$1:$I$88,3,0)*0.475*44/12</f>
        <v>0</v>
      </c>
      <c r="CM184" s="23">
        <f>EXP(-LN(2)/2)*CM183+(1-EXP(-LN(2)/2))/(LN(2)/2)*CG184*CJ184*VLOOKUP('Données projet'!$B$12,Paramètres!$A$1:$I$88,3,0)*0.475*44/12</f>
        <v>0</v>
      </c>
      <c r="CN184" s="24">
        <f t="shared" si="172"/>
        <v>6.5832611638507936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69.631548540147122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projet'!$B$13,Paramètres!$A$1:$I$88,3,0)*VLOOKUP('Données projet'!$B$13,Paramètres!$A$1:$I$88,5,0)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projet'!$B$13,Paramètres!$A$1:$I$88,7,0))</f>
        <v>0</v>
      </c>
      <c r="DD184" s="17">
        <f>IF(ISNA(VLOOKUP(A184,'Données projet'!$A$139:$I$159,6,0)),0%,VLOOKUP(A184,'Données projet'!$A$139:$I$159,6,0)*VLOOKUP('Données projet'!$B$13,Paramètres!$A$1:$I$88,7,0))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projet'!$B$13,Paramètres!$A$1:$I$88,3,0)*0.475*44/12</f>
        <v>#N/A</v>
      </c>
      <c r="DG184" s="23" t="e">
        <f>EXP(-LN(2)/25)*DG183+(1-EXP(-LN(2)/25))/(LN(2)/25)*Calculateur!DB184*Calculateur!DD184*VLOOKUP('Données projet'!$B$13,Paramètres!$A$1:$I$88,3,0)*0.475*44/12</f>
        <v>#N/A</v>
      </c>
      <c r="DH184" s="23" t="e">
        <f>EXP(-LN(2)/2)*DH183+(1-EXP(-LN(2)/2))/(LN(2)/2)*DB184*DE184*VLOOKUP('Données projet'!$B$13,Paramètres!$A$1:$I$88,3,0)*0.475*44/12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69.631548540147122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projet'!$B$14,Paramètres!$A$1:$I$88,3,0)*VLOOKUP('Données projet'!$B$14,Paramètres!$A$1:$I$88,5,0)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projet'!$B$14,Paramètres!$A$1:$I$88,7,0))</f>
        <v>0</v>
      </c>
      <c r="DY184" s="17">
        <f>IF(ISNA(VLOOKUP(A184,'Données projet'!$A$165:$I$185,6,0)),0%,VLOOKUP(A184,'Données projet'!$A$165:$I$185,6,0)*VLOOKUP('Données projet'!$B$14,Paramètres!$A$1:$I$88,7,0))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projet'!$B$14,Paramètres!$A$1:$I$88,3,0)*0.475*44/12</f>
        <v>#N/A</v>
      </c>
      <c r="EB184" s="23" t="e">
        <f>EXP(-LN(2)/25)*EB183+(1-EXP(-LN(2)/25))/(LN(2)/25)*Calculateur!DW184*Calculateur!DY184*VLOOKUP('Données projet'!$B$14,Paramètres!$A$1:$I$88,3,0)*0.475*44/12</f>
        <v>#N/A</v>
      </c>
      <c r="EC184" s="23" t="e">
        <f>EXP(-LN(2)/2)*EC183+(1-EXP(-LN(2)/2))/(LN(2)/2)*DW184*DZ184*VLOOKUP('Données projet'!$B$14,Paramètres!$A$1:$I$88,3,0)*0.475*44/12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69.631548540147122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projet'!$B$15,Paramètres!$A$1:$I$88,3,0)*VLOOKUP('Données projet'!$B$15,Paramètres!$A$1:$I$88,5,0)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projet'!$B$15,Paramètres!$A$1:$I$88,7,0))</f>
        <v>0</v>
      </c>
      <c r="ET184" s="17">
        <f>IF(ISNA(VLOOKUP(A184,'Données projet'!$A$191:$I$211,6,0)),0%,VLOOKUP(A184,'Données projet'!$A$191:$I$211,6,0)*VLOOKUP('Données projet'!$B$15,Paramètres!$A$1:$I$88,7,0))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projet'!$B$15,Paramètres!$A$1:$I$88,3,0)*0.475*44/12</f>
        <v>#N/A</v>
      </c>
      <c r="EW184" s="23" t="e">
        <f>EXP(-LN(2)/25)*EW183+(1-EXP(-LN(2)/25))/(LN(2)/25)*Calculateur!ER184*Calculateur!ET184*VLOOKUP('Données projet'!$B$15,Paramètres!$A$1:$I$88,3,0)*0.475*44/12</f>
        <v>#N/A</v>
      </c>
      <c r="EX184" s="23" t="e">
        <f>EXP(-LN(2)/2)*EX183+(1-EXP(-LN(2)/2))/(LN(2)/2)*ER184*EU184*VLOOKUP('Données projet'!$B$15,Paramètres!$A$1:$I$88,3,0)*0.475*44/12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69.631548540147122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projet'!$B$16,Paramètres!$A$1:$I$88,3,0)*VLOOKUP('Données projet'!$B$16,Paramètres!$A$1:$I$88,5,0)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projet'!$B$16,Paramètres!$A$1:$I$88,7,0))</f>
        <v>0</v>
      </c>
      <c r="FO184" s="17">
        <f>IF(ISNA(VLOOKUP(A184,'Données projet'!$A$217:$I$237,6,0)),0%,VLOOKUP(A184,'Données projet'!$A$217:$I$237,6,0)*VLOOKUP('Données projet'!$B$16,Paramètres!$A$1:$I$88,7,0))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projet'!$B$16,Paramètres!$A$1:$I$88,3,0)*0.475*44/12</f>
        <v>#N/A</v>
      </c>
      <c r="FR184" s="23" t="e">
        <f>EXP(-LN(2)/25)*FR183+(1-EXP(-LN(2)/25))/(LN(2)/25)*Calculateur!FM184*Calculateur!FO184*VLOOKUP('Données projet'!$B$16,Paramètres!$A$1:$I$88,3,0)*0.475*44/12</f>
        <v>#N/A</v>
      </c>
      <c r="FS184" s="23" t="e">
        <f>EXP(-LN(2)/2)*FS183+(1-EXP(-LN(2)/2))/(LN(2)/2)*FM184*FP184*VLOOKUP('Données projet'!$B$16,Paramètres!$A$1:$I$88,3,0)*0.475*44/12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69.631548540147122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projet'!$B$17,Paramètres!$A$1:$I$88,3,0)*VLOOKUP('Données projet'!$B$17,Paramètres!$A$1:$I$88,5,0)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projet'!$B$17,Paramètres!$A$1:$I$88,7,0))</f>
        <v>0</v>
      </c>
      <c r="GJ184" s="17">
        <f>IF(ISNA(VLOOKUP(A184,'Données projet'!$A$243:$I$263,6,0)),0%,VLOOKUP(A184,'Données projet'!$A$243:$I$263,6,0)*VLOOKUP('Données projet'!$B$17,Paramètres!$A$1:$I$88,7,0))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projet'!$B$17,Paramètres!$A$1:$I$88,3,0)*0.475*44/12</f>
        <v>#N/A</v>
      </c>
      <c r="GM184" s="23" t="e">
        <f>EXP(-LN(2)/25)*GM183+(1-EXP(-LN(2)/25))/(LN(2)/25)*Calculateur!GH184*Calculateur!GJ184*VLOOKUP('Données projet'!$B$17,Paramètres!$A$1:$I$88,3,0)*0.475*44/12</f>
        <v>#N/A</v>
      </c>
      <c r="GN184" s="23" t="e">
        <f>EXP(-LN(2)/2)*GN183+(1-EXP(-LN(2)/2))/(LN(2)/2)*GH184*GK184*VLOOKUP('Données projet'!$B$17,Paramètres!$A$1:$I$88,3,0)*0.475*44/12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69.631548540147122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projet'!$B$18,Paramètres!$A$1:$I$88,3,0)*VLOOKUP('Données projet'!$B$18,Paramètres!$A$1:$I$88,5,0)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projet'!$B$18,Paramètres!$A$1:$I$88,7,0))</f>
        <v>0</v>
      </c>
      <c r="HE184" s="17">
        <f>IF(ISNA(VLOOKUP(A184,'Données projet'!$A$269:$I$289,6,0)),0%,VLOOKUP(A184,'Données projet'!$A$269:$I$289,6,0)*VLOOKUP('Données projet'!$B$18,Paramètres!$A$1:$I$88,7,0))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projet'!$B$18,Paramètres!$A$1:$I$88,3,0)*0.475*44/12</f>
        <v>#N/A</v>
      </c>
      <c r="HH184" s="23" t="e">
        <f>EXP(-LN(2)/25)*HH183+(1-EXP(-LN(2)/25))/(LN(2)/25)*Calculateur!HC184*Calculateur!HE184*VLOOKUP('Données projet'!$B$18,Paramètres!$A$1:$I$88,3,0)*0.475*44/12</f>
        <v>#N/A</v>
      </c>
      <c r="HI184" s="23" t="e">
        <f>EXP(-LN(2)/2)*HI183+(1-EXP(-LN(2)/2))/(LN(2)/2)*HC184*HF184*VLOOKUP('Données projet'!$B$18,Paramètres!$A$1:$I$88,3,0)*0.475*44/12</f>
        <v>#N/A</v>
      </c>
      <c r="HJ184" s="24" t="e">
        <f t="shared" si="190"/>
        <v>#N/A</v>
      </c>
    </row>
    <row r="185" spans="1:218" x14ac:dyDescent="0.35">
      <c r="A185" s="11">
        <f t="shared" si="161"/>
        <v>182</v>
      </c>
      <c r="B185" s="77">
        <f>'Scénario référence'!$B$16*5+'Scénario référence'!$B$17*0+'Scénario référence'!$B$18*5</f>
        <v>1.75</v>
      </c>
      <c r="C185" s="20">
        <f>Calculateur!C184+'Scénario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85" s="12">
        <f t="shared" si="140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6.416666666666667</v>
      </c>
      <c r="H185" s="70">
        <f t="shared" si="110"/>
        <v>231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69.637940349241518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3.4106051316484809E-13</v>
      </c>
      <c r="O185" s="14">
        <f>N185*VLOOKUP('Données projet'!$B$9,Paramètres!$A$1:$I$88,3,0)*VLOOKUP('Données projet'!$B$9,Paramètres!$A$1:$I$88,5,0)</f>
        <v>1.9065282685915009E-13</v>
      </c>
      <c r="P185" s="14">
        <f t="shared" si="141"/>
        <v>2.6568987209435707E-12</v>
      </c>
      <c r="Q185" s="22">
        <f t="shared" si="162"/>
        <v>4.959485612423072E-12</v>
      </c>
      <c r="R185" s="62">
        <f t="shared" si="109"/>
        <v>292.00578128055719</v>
      </c>
      <c r="S185" s="62">
        <f ca="1">AVERAGE(OFFSET($R$3,0,0,'Données projet'!$E$9+1,1))-AVERAGE(OFFSET($H$3,0,0,'Données projet'!$E$9+1,1))</f>
        <v>341.05096821796769</v>
      </c>
      <c r="T185" s="62">
        <f t="shared" si="142"/>
        <v>400.72519822215168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projet'!$B$9,Paramètres!$A$1:$I$88,7,0))</f>
        <v>0</v>
      </c>
      <c r="X185" s="17">
        <f>IF(ISNA(VLOOKUP(A185,'Données projet'!$A$35:$I$55,6,0)),0%,VLOOKUP(A185,'Données projet'!$A$35:$I$55,6,0)*VLOOKUP('Données projet'!$B$9,Paramètres!$A$1:$I$88,7,0))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projet'!$B$9,Paramètres!$A$1:$I$88,3,0)*0.475*44/12</f>
        <v>21.390866192044562</v>
      </c>
      <c r="AA185" s="23">
        <f>EXP(-LN(2)/25)*AA184+(1-EXP(-LN(2)/25))/(LN(2)/25)*Calculateur!V185*Calculateur!X185*VLOOKUP('Données projet'!$B$9,Paramètres!$A$1:$I$88,3,0)*0.475*44/12</f>
        <v>4.500589090936149</v>
      </c>
      <c r="AB185" s="23">
        <f>EXP(-LN(2)/2)*AB184+(1-EXP(-LN(2)/2))/(LN(2)/2)*V185*Y185*VLOOKUP('Données projet'!$B$9,Paramètres!$A$1:$I$88,3,0)*0.475*44/12</f>
        <v>0</v>
      </c>
      <c r="AC185" s="24">
        <f t="shared" si="163"/>
        <v>25.891455282980711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69.637940349241518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5.6843418860808015E-14</v>
      </c>
      <c r="AJ185" s="14">
        <f>AI185*VLOOKUP('Données projet'!$B$10,Paramètres!$A$1:$I$88,3,0)*VLOOKUP('Données projet'!$B$10,Paramètres!$A$1:$I$88,5,0)</f>
        <v>3.3992364478763198E-14</v>
      </c>
      <c r="AK185" s="14">
        <f t="shared" si="164"/>
        <v>5.790027782444094E-13</v>
      </c>
      <c r="AL185" s="22">
        <f t="shared" si="165"/>
        <v>1.0676332069095257E-12</v>
      </c>
      <c r="AM185" s="62">
        <f t="shared" si="113"/>
        <v>292.00578128055332</v>
      </c>
      <c r="AN185" s="62">
        <f ca="1">AVERAGE(OFFSET($AM$3,0,0,'Données projet'!$E$10+1,1))-AVERAGE(OFFSET($H$3,0,0,'Données projet'!$E$10+1,1))</f>
        <v>231.96474801342879</v>
      </c>
      <c r="AO185" s="62">
        <f t="shared" si="144"/>
        <v>237.75726086383668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projet'!$B$10,Paramètres!$A$1:$I$88,7,0))</f>
        <v>0</v>
      </c>
      <c r="AS185" s="17">
        <f>IF(ISNA(VLOOKUP(A185,'Données projet'!$A$61:$I$81,6,0)),0%,VLOOKUP(A185,'Données projet'!$A$61:$I$81,6,0)*VLOOKUP('Données projet'!$B$10,Paramètres!$A$1:$I$88,7,0))</f>
        <v>0</v>
      </c>
      <c r="AT185" s="17">
        <f>IF(ISNA(VLOOKUP(A185,'Données projet'!$A$61:$I$81,7,0)),0%,VLOOKUP(A185,'Données projet'!$A$61:$I$81,7,0))</f>
        <v>0</v>
      </c>
      <c r="AU185" s="23">
        <f>EXP(-LN(2)/35)*AU184+(1-EXP(-LN(2)/35))/(LN(2)/35)*AQ185*AR185*VLOOKUP('Données projet'!$B$10,Paramètres!$A$1:$I$88,3,0)*0.475*44/12</f>
        <v>8.4354780552136237</v>
      </c>
      <c r="AV185" s="23">
        <f>EXP(-LN(2)/25)*AV184+(1-EXP(-LN(2)/25))/(LN(2)/25)*Calculateur!AQ185*Calculateur!AS185*VLOOKUP('Données projet'!$B$10,Paramètres!$A$1:$I$88,3,0)*0.475*44/12</f>
        <v>1.9004849822051528</v>
      </c>
      <c r="AW185" s="23">
        <f>EXP(-LN(2)/2)*AW184+(1-EXP(-LN(2)/2))/(LN(2)/2)*AQ185*AT185*VLOOKUP('Données projet'!$B$10,Paramètres!$A$1:$I$88,3,0)*0.475*44/12</f>
        <v>0</v>
      </c>
      <c r="AX185" s="23">
        <f t="shared" si="166"/>
        <v>10.335963037418777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69.637940349241518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6.8212102632969618E-13</v>
      </c>
      <c r="BE185" s="14">
        <f>BD185*VLOOKUP('Données projet'!$B$11,Paramètres!$A$1:$I$88,3,0)*VLOOKUP('Données projet'!$B$11,Paramètres!$A$1:$I$88,5,0)</f>
        <v>3.1923264032229784E-13</v>
      </c>
      <c r="BF185" s="14">
        <f t="shared" si="167"/>
        <v>4.1896839804541558E-12</v>
      </c>
      <c r="BG185" s="22">
        <f t="shared" si="168"/>
        <v>7.8530297811856558E-12</v>
      </c>
      <c r="BH185" s="62">
        <f t="shared" si="116"/>
        <v>292.00578128056009</v>
      </c>
      <c r="BI185" s="62">
        <f ca="1">AVERAGE(OFFSET($BH$3,0,0,'Données projet'!$E$11+1,1))-AVERAGE(OFFSET($H$3,0,0,'Données projet'!$E$11+1,1))</f>
        <v>364.96458059055169</v>
      </c>
      <c r="BJ185" s="62">
        <f t="shared" si="146"/>
        <v>246.27159120786257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projet'!$B$11,Paramètres!$A$1:$I$88,7,0))</f>
        <v>0</v>
      </c>
      <c r="BN185" s="17">
        <f>IF(ISNA(VLOOKUP(A185,'Données projet'!$A$87:$I$107,6,0)),0%,VLOOKUP(A185,'Données projet'!$A$87:$I$107,6,0)*VLOOKUP('Données projet'!$B$11,Paramètres!$A$1:$I$88,7,0))</f>
        <v>0</v>
      </c>
      <c r="BO185" s="17">
        <f>IF(ISNA(VLOOKUP(A185,'Données projet'!$A$87:$I$107,7,0)),0%,VLOOKUP(A185,'Données projet'!$A$87:$I$107,7,0))</f>
        <v>0</v>
      </c>
      <c r="BP185" s="23">
        <f>EXP(-LN(2)/35)*BP184+(1-EXP(-LN(2)/35))/(LN(2)/35)*BL185*BM185*VLOOKUP('Données projet'!$B$11,Paramètres!$A$1:$I$88,3,0)*0.475*44/12</f>
        <v>46.926988527576938</v>
      </c>
      <c r="BQ185" s="23">
        <f>EXP(-LN(2)/25)*BQ184+(1-EXP(-LN(2)/25))/(LN(2)/25)*Calculateur!BL185*Calculateur!BN185*VLOOKUP('Données projet'!$B$11,Paramètres!$A$1:$I$88,3,0)*0.475*44/12</f>
        <v>10.377311127351403</v>
      </c>
      <c r="BR185" s="23">
        <f>EXP(-LN(2)/2)*BR184+(1-EXP(-LN(2)/2))/(LN(2)/2)*BL185*BO185*VLOOKUP('Données projet'!$B$11,Paramètres!$A$1:$I$88,3,0)*0.475*44/12</f>
        <v>0</v>
      </c>
      <c r="BS185" s="24">
        <f t="shared" si="169"/>
        <v>57.304299654928343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69.637940349241518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-1.1368683772161603E-13</v>
      </c>
      <c r="BZ185" s="14">
        <f>BY185*VLOOKUP('Données projet'!$B$12,Paramètres!$A$1:$I$88,3,0)*VLOOKUP('Données projet'!$B$12,Paramètres!$A$1:$I$88,5,0)</f>
        <v>-1.1527845344971866E-13</v>
      </c>
      <c r="CA185" s="14" t="e">
        <f t="shared" si="170"/>
        <v>#NUM!</v>
      </c>
      <c r="CB185" s="22" t="e">
        <f t="shared" si="171"/>
        <v>#NUM!</v>
      </c>
      <c r="CC185" s="62" t="e">
        <f t="shared" si="119"/>
        <v>#NUM!</v>
      </c>
      <c r="CD185" s="62">
        <f ca="1">AVERAGE(OFFSET($CC$3,0,0,'Données projet'!$E$12+1,1))-AVERAGE(OFFSET($H$3,0,0,'Données projet'!$E$12+1,1))</f>
        <v>310.53598044763282</v>
      </c>
      <c r="CE185" s="62">
        <f t="shared" si="148"/>
        <v>322.01096634040596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projet'!$B$12,Paramètres!$A$1:$I$88,7,0))</f>
        <v>0</v>
      </c>
      <c r="CI185" s="17">
        <f>IF(ISNA(VLOOKUP(A185,'Données projet'!$A$113:$I$133,6,0)),0%,VLOOKUP(A185,'Données projet'!$A$113:$I$133,6,0)*VLOOKUP('Données projet'!$B$12,Paramètres!$A$1:$I$88,7,0))</f>
        <v>0</v>
      </c>
      <c r="CJ185" s="17">
        <f>IF(ISNA(VLOOKUP(A185,'Données projet'!$A$113:$I$133,7,0)),0%,VLOOKUP(A185,'Données projet'!$A$113:$I$133,7,0))</f>
        <v>0</v>
      </c>
      <c r="CK185" s="23">
        <f>EXP(-LN(2)/35)*CK184+(1-EXP(-LN(2)/35))/(LN(2)/35)*CG185*CH185*VLOOKUP('Données projet'!$B$12,Paramètres!$A$1:$I$88,3,0)*0.475*44/12</f>
        <v>6.4541674278205026</v>
      </c>
      <c r="CL185" s="23">
        <f>EXP(-LN(2)/25)*CL184+(1-EXP(-LN(2)/25))/(LN(2)/25)*Calculateur!CG185*Calculateur!CI185*VLOOKUP('Données projet'!$B$12,Paramètres!$A$1:$I$88,3,0)*0.475*44/12</f>
        <v>0</v>
      </c>
      <c r="CM185" s="23">
        <f>EXP(-LN(2)/2)*CM184+(1-EXP(-LN(2)/2))/(LN(2)/2)*CG185*CJ185*VLOOKUP('Données projet'!$B$12,Paramètres!$A$1:$I$88,3,0)*0.475*44/12</f>
        <v>0</v>
      </c>
      <c r="CN185" s="24">
        <f t="shared" si="172"/>
        <v>6.4541674278205026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69.637940349241518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projet'!$B$13,Paramètres!$A$1:$I$88,3,0)*VLOOKUP('Données projet'!$B$13,Paramètres!$A$1:$I$88,5,0)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projet'!$B$13,Paramètres!$A$1:$I$88,7,0))</f>
        <v>0</v>
      </c>
      <c r="DD185" s="17">
        <f>IF(ISNA(VLOOKUP(A185,'Données projet'!$A$139:$I$159,6,0)),0%,VLOOKUP(A185,'Données projet'!$A$139:$I$159,6,0)*VLOOKUP('Données projet'!$B$13,Paramètres!$A$1:$I$88,7,0))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projet'!$B$13,Paramètres!$A$1:$I$88,3,0)*0.475*44/12</f>
        <v>#N/A</v>
      </c>
      <c r="DG185" s="23" t="e">
        <f>EXP(-LN(2)/25)*DG184+(1-EXP(-LN(2)/25))/(LN(2)/25)*Calculateur!DB185*Calculateur!DD185*VLOOKUP('Données projet'!$B$13,Paramètres!$A$1:$I$88,3,0)*0.475*44/12</f>
        <v>#N/A</v>
      </c>
      <c r="DH185" s="23" t="e">
        <f>EXP(-LN(2)/2)*DH184+(1-EXP(-LN(2)/2))/(LN(2)/2)*DB185*DE185*VLOOKUP('Données projet'!$B$13,Paramètres!$A$1:$I$88,3,0)*0.475*44/12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69.637940349241518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projet'!$B$14,Paramètres!$A$1:$I$88,3,0)*VLOOKUP('Données projet'!$B$14,Paramètres!$A$1:$I$88,5,0)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projet'!$B$14,Paramètres!$A$1:$I$88,7,0))</f>
        <v>0</v>
      </c>
      <c r="DY185" s="17">
        <f>IF(ISNA(VLOOKUP(A185,'Données projet'!$A$165:$I$185,6,0)),0%,VLOOKUP(A185,'Données projet'!$A$165:$I$185,6,0)*VLOOKUP('Données projet'!$B$14,Paramètres!$A$1:$I$88,7,0))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projet'!$B$14,Paramètres!$A$1:$I$88,3,0)*0.475*44/12</f>
        <v>#N/A</v>
      </c>
      <c r="EB185" s="23" t="e">
        <f>EXP(-LN(2)/25)*EB184+(1-EXP(-LN(2)/25))/(LN(2)/25)*Calculateur!DW185*Calculateur!DY185*VLOOKUP('Données projet'!$B$14,Paramètres!$A$1:$I$88,3,0)*0.475*44/12</f>
        <v>#N/A</v>
      </c>
      <c r="EC185" s="23" t="e">
        <f>EXP(-LN(2)/2)*EC184+(1-EXP(-LN(2)/2))/(LN(2)/2)*DW185*DZ185*VLOOKUP('Données projet'!$B$14,Paramètres!$A$1:$I$88,3,0)*0.475*44/12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69.637940349241518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projet'!$B$15,Paramètres!$A$1:$I$88,3,0)*VLOOKUP('Données projet'!$B$15,Paramètres!$A$1:$I$88,5,0)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projet'!$B$15,Paramètres!$A$1:$I$88,7,0))</f>
        <v>0</v>
      </c>
      <c r="ET185" s="17">
        <f>IF(ISNA(VLOOKUP(A185,'Données projet'!$A$191:$I$211,6,0)),0%,VLOOKUP(A185,'Données projet'!$A$191:$I$211,6,0)*VLOOKUP('Données projet'!$B$15,Paramètres!$A$1:$I$88,7,0))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projet'!$B$15,Paramètres!$A$1:$I$88,3,0)*0.475*44/12</f>
        <v>#N/A</v>
      </c>
      <c r="EW185" s="23" t="e">
        <f>EXP(-LN(2)/25)*EW184+(1-EXP(-LN(2)/25))/(LN(2)/25)*Calculateur!ER185*Calculateur!ET185*VLOOKUP('Données projet'!$B$15,Paramètres!$A$1:$I$88,3,0)*0.475*44/12</f>
        <v>#N/A</v>
      </c>
      <c r="EX185" s="23" t="e">
        <f>EXP(-LN(2)/2)*EX184+(1-EXP(-LN(2)/2))/(LN(2)/2)*ER185*EU185*VLOOKUP('Données projet'!$B$15,Paramètres!$A$1:$I$88,3,0)*0.475*44/12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69.637940349241518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projet'!$B$16,Paramètres!$A$1:$I$88,3,0)*VLOOKUP('Données projet'!$B$16,Paramètres!$A$1:$I$88,5,0)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projet'!$B$16,Paramètres!$A$1:$I$88,7,0))</f>
        <v>0</v>
      </c>
      <c r="FO185" s="17">
        <f>IF(ISNA(VLOOKUP(A185,'Données projet'!$A$217:$I$237,6,0)),0%,VLOOKUP(A185,'Données projet'!$A$217:$I$237,6,0)*VLOOKUP('Données projet'!$B$16,Paramètres!$A$1:$I$88,7,0))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projet'!$B$16,Paramètres!$A$1:$I$88,3,0)*0.475*44/12</f>
        <v>#N/A</v>
      </c>
      <c r="FR185" s="23" t="e">
        <f>EXP(-LN(2)/25)*FR184+(1-EXP(-LN(2)/25))/(LN(2)/25)*Calculateur!FM185*Calculateur!FO185*VLOOKUP('Données projet'!$B$16,Paramètres!$A$1:$I$88,3,0)*0.475*44/12</f>
        <v>#N/A</v>
      </c>
      <c r="FS185" s="23" t="e">
        <f>EXP(-LN(2)/2)*FS184+(1-EXP(-LN(2)/2))/(LN(2)/2)*FM185*FP185*VLOOKUP('Données projet'!$B$16,Paramètres!$A$1:$I$88,3,0)*0.475*44/12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69.637940349241518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projet'!$B$17,Paramètres!$A$1:$I$88,3,0)*VLOOKUP('Données projet'!$B$17,Paramètres!$A$1:$I$88,5,0)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projet'!$B$17,Paramètres!$A$1:$I$88,7,0))</f>
        <v>0</v>
      </c>
      <c r="GJ185" s="17">
        <f>IF(ISNA(VLOOKUP(A185,'Données projet'!$A$243:$I$263,6,0)),0%,VLOOKUP(A185,'Données projet'!$A$243:$I$263,6,0)*VLOOKUP('Données projet'!$B$17,Paramètres!$A$1:$I$88,7,0))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projet'!$B$17,Paramètres!$A$1:$I$88,3,0)*0.475*44/12</f>
        <v>#N/A</v>
      </c>
      <c r="GM185" s="23" t="e">
        <f>EXP(-LN(2)/25)*GM184+(1-EXP(-LN(2)/25))/(LN(2)/25)*Calculateur!GH185*Calculateur!GJ185*VLOOKUP('Données projet'!$B$17,Paramètres!$A$1:$I$88,3,0)*0.475*44/12</f>
        <v>#N/A</v>
      </c>
      <c r="GN185" s="23" t="e">
        <f>EXP(-LN(2)/2)*GN184+(1-EXP(-LN(2)/2))/(LN(2)/2)*GH185*GK185*VLOOKUP('Données projet'!$B$17,Paramètres!$A$1:$I$88,3,0)*0.475*44/12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69.637940349241518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projet'!$B$18,Paramètres!$A$1:$I$88,3,0)*VLOOKUP('Données projet'!$B$18,Paramètres!$A$1:$I$88,5,0)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projet'!$B$18,Paramètres!$A$1:$I$88,7,0))</f>
        <v>0</v>
      </c>
      <c r="HE185" s="17">
        <f>IF(ISNA(VLOOKUP(A185,'Données projet'!$A$269:$I$289,6,0)),0%,VLOOKUP(A185,'Données projet'!$A$269:$I$289,6,0)*VLOOKUP('Données projet'!$B$18,Paramètres!$A$1:$I$88,7,0))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projet'!$B$18,Paramètres!$A$1:$I$88,3,0)*0.475*44/12</f>
        <v>#N/A</v>
      </c>
      <c r="HH185" s="23" t="e">
        <f>EXP(-LN(2)/25)*HH184+(1-EXP(-LN(2)/25))/(LN(2)/25)*Calculateur!HC185*Calculateur!HE185*VLOOKUP('Données projet'!$B$18,Paramètres!$A$1:$I$88,3,0)*0.475*44/12</f>
        <v>#N/A</v>
      </c>
      <c r="HI185" s="23" t="e">
        <f>EXP(-LN(2)/2)*HI184+(1-EXP(-LN(2)/2))/(LN(2)/2)*HC185*HF185*VLOOKUP('Données projet'!$B$18,Paramètres!$A$1:$I$88,3,0)*0.475*44/12</f>
        <v>#N/A</v>
      </c>
      <c r="HJ185" s="24" t="e">
        <f t="shared" si="190"/>
        <v>#N/A</v>
      </c>
    </row>
    <row r="186" spans="1:218" x14ac:dyDescent="0.35">
      <c r="A186" s="11">
        <f t="shared" si="161"/>
        <v>183</v>
      </c>
      <c r="B186" s="77">
        <f>'Scénario référence'!$B$16*5+'Scénario référence'!$B$17*0+'Scénario référence'!$B$18*5</f>
        <v>1.75</v>
      </c>
      <c r="C186" s="20">
        <f>Calculateur!C185+'Scénario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86" s="12">
        <f t="shared" si="140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6.416666666666667</v>
      </c>
      <c r="H186" s="70">
        <f t="shared" si="110"/>
        <v>231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69.644221274738058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3.4106051316484809E-13</v>
      </c>
      <c r="O186" s="14">
        <f>N186*VLOOKUP('Données projet'!$B$9,Paramètres!$A$1:$I$88,3,0)*VLOOKUP('Données projet'!$B$9,Paramètres!$A$1:$I$88,5,0)</f>
        <v>1.9065282685915009E-13</v>
      </c>
      <c r="P186" s="14">
        <f t="shared" si="141"/>
        <v>2.6568987209435707E-12</v>
      </c>
      <c r="Q186" s="22">
        <f t="shared" si="162"/>
        <v>4.959485612423072E-12</v>
      </c>
      <c r="R186" s="62">
        <f t="shared" si="109"/>
        <v>292.02881134071117</v>
      </c>
      <c r="S186" s="62">
        <f ca="1">AVERAGE(OFFSET($R$3,0,0,'Données projet'!$E$9+1,1))-AVERAGE(OFFSET($H$3,0,0,'Données projet'!$E$9+1,1))</f>
        <v>341.05096821796769</v>
      </c>
      <c r="T186" s="62">
        <f t="shared" si="142"/>
        <v>400.72519822215168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projet'!$B$9,Paramètres!$A$1:$I$88,7,0))</f>
        <v>0</v>
      </c>
      <c r="X186" s="17">
        <f>IF(ISNA(VLOOKUP(A186,'Données projet'!$A$35:$I$55,6,0)),0%,VLOOKUP(A186,'Données projet'!$A$35:$I$55,6,0)*VLOOKUP('Données projet'!$B$9,Paramètres!$A$1:$I$88,7,0))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projet'!$B$9,Paramètres!$A$1:$I$88,3,0)*0.475*44/12</f>
        <v>20.971404353158647</v>
      </c>
      <c r="AA186" s="23">
        <f>EXP(-LN(2)/25)*AA185+(1-EXP(-LN(2)/25))/(LN(2)/25)*Calculateur!V186*Calculateur!X186*VLOOKUP('Données projet'!$B$9,Paramètres!$A$1:$I$88,3,0)*0.475*44/12</f>
        <v>4.3775202455688058</v>
      </c>
      <c r="AB186" s="23">
        <f>EXP(-LN(2)/2)*AB185+(1-EXP(-LN(2)/2))/(LN(2)/2)*V186*Y186*VLOOKUP('Données projet'!$B$9,Paramètres!$A$1:$I$88,3,0)*0.475*44/12</f>
        <v>0</v>
      </c>
      <c r="AC186" s="24">
        <f t="shared" si="163"/>
        <v>25.348924598727454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69.644221274738058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5.6843418860808015E-14</v>
      </c>
      <c r="AJ186" s="14">
        <f>AI186*VLOOKUP('Données projet'!$B$10,Paramètres!$A$1:$I$88,3,0)*VLOOKUP('Données projet'!$B$10,Paramètres!$A$1:$I$88,5,0)</f>
        <v>3.3992364478763198E-14</v>
      </c>
      <c r="AK186" s="14">
        <f t="shared" si="164"/>
        <v>5.790027782444094E-13</v>
      </c>
      <c r="AL186" s="22">
        <f t="shared" si="165"/>
        <v>1.0676332069095257E-12</v>
      </c>
      <c r="AM186" s="62">
        <f t="shared" si="113"/>
        <v>292.02881134070731</v>
      </c>
      <c r="AN186" s="62">
        <f ca="1">AVERAGE(OFFSET($AM$3,0,0,'Données projet'!$E$10+1,1))-AVERAGE(OFFSET($H$3,0,0,'Données projet'!$E$10+1,1))</f>
        <v>231.96474801342879</v>
      </c>
      <c r="AO186" s="62">
        <f t="shared" si="144"/>
        <v>237.75726086383668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projet'!$B$10,Paramètres!$A$1:$I$88,7,0))</f>
        <v>0</v>
      </c>
      <c r="AS186" s="17">
        <f>IF(ISNA(VLOOKUP(A186,'Données projet'!$A$61:$I$81,6,0)),0%,VLOOKUP(A186,'Données projet'!$A$61:$I$81,6,0)*VLOOKUP('Données projet'!$B$10,Paramètres!$A$1:$I$88,7,0))</f>
        <v>0</v>
      </c>
      <c r="AT186" s="17">
        <f>IF(ISNA(VLOOKUP(A186,'Données projet'!$A$61:$I$81,7,0)),0%,VLOOKUP(A186,'Données projet'!$A$61:$I$81,7,0))</f>
        <v>0</v>
      </c>
      <c r="AU186" s="23">
        <f>EXP(-LN(2)/35)*AU185+(1-EXP(-LN(2)/35))/(LN(2)/35)*AQ186*AR186*VLOOKUP('Données projet'!$B$10,Paramètres!$A$1:$I$88,3,0)*0.475*44/12</f>
        <v>8.2700634756844593</v>
      </c>
      <c r="AV186" s="23">
        <f>EXP(-LN(2)/25)*AV185+(1-EXP(-LN(2)/25))/(LN(2)/25)*Calculateur!AQ186*Calculateur!AS186*VLOOKUP('Données projet'!$B$10,Paramètres!$A$1:$I$88,3,0)*0.475*44/12</f>
        <v>1.8485161204245912</v>
      </c>
      <c r="AW186" s="23">
        <f>EXP(-LN(2)/2)*AW185+(1-EXP(-LN(2)/2))/(LN(2)/2)*AQ186*AT186*VLOOKUP('Données projet'!$B$10,Paramètres!$A$1:$I$88,3,0)*0.475*44/12</f>
        <v>0</v>
      </c>
      <c r="AX186" s="23">
        <f t="shared" si="166"/>
        <v>10.118579596109051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69.644221274738058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6.8212102632969618E-13</v>
      </c>
      <c r="BE186" s="14">
        <f>BD186*VLOOKUP('Données projet'!$B$11,Paramètres!$A$1:$I$88,3,0)*VLOOKUP('Données projet'!$B$11,Paramètres!$A$1:$I$88,5,0)</f>
        <v>3.1923264032229784E-13</v>
      </c>
      <c r="BF186" s="14">
        <f t="shared" si="167"/>
        <v>4.1896839804541558E-12</v>
      </c>
      <c r="BG186" s="22">
        <f t="shared" si="168"/>
        <v>7.8530297811856558E-12</v>
      </c>
      <c r="BH186" s="62">
        <f t="shared" si="116"/>
        <v>292.02881134071407</v>
      </c>
      <c r="BI186" s="62">
        <f ca="1">AVERAGE(OFFSET($BH$3,0,0,'Données projet'!$E$11+1,1))-AVERAGE(OFFSET($H$3,0,0,'Données projet'!$E$11+1,1))</f>
        <v>364.96458059055169</v>
      </c>
      <c r="BJ186" s="62">
        <f t="shared" si="146"/>
        <v>246.27159120786257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projet'!$B$11,Paramètres!$A$1:$I$88,7,0))</f>
        <v>0</v>
      </c>
      <c r="BN186" s="17">
        <f>IF(ISNA(VLOOKUP(A186,'Données projet'!$A$87:$I$107,6,0)),0%,VLOOKUP(A186,'Données projet'!$A$87:$I$107,6,0)*VLOOKUP('Données projet'!$B$11,Paramètres!$A$1:$I$88,7,0))</f>
        <v>0</v>
      </c>
      <c r="BO186" s="17">
        <f>IF(ISNA(VLOOKUP(A186,'Données projet'!$A$87:$I$107,7,0)),0%,VLOOKUP(A186,'Données projet'!$A$87:$I$107,7,0))</f>
        <v>0</v>
      </c>
      <c r="BP186" s="23">
        <f>EXP(-LN(2)/35)*BP185+(1-EXP(-LN(2)/35))/(LN(2)/35)*BL186*BM186*VLOOKUP('Données projet'!$B$11,Paramètres!$A$1:$I$88,3,0)*0.475*44/12</f>
        <v>46.006778905187907</v>
      </c>
      <c r="BQ186" s="23">
        <f>EXP(-LN(2)/25)*BQ185+(1-EXP(-LN(2)/25))/(LN(2)/25)*Calculateur!BL186*Calculateur!BN186*VLOOKUP('Données projet'!$B$11,Paramètres!$A$1:$I$88,3,0)*0.475*44/12</f>
        <v>10.093543008854905</v>
      </c>
      <c r="BR186" s="23">
        <f>EXP(-LN(2)/2)*BR185+(1-EXP(-LN(2)/2))/(LN(2)/2)*BL186*BO186*VLOOKUP('Données projet'!$B$11,Paramètres!$A$1:$I$88,3,0)*0.475*44/12</f>
        <v>0</v>
      </c>
      <c r="BS186" s="24">
        <f t="shared" si="169"/>
        <v>56.100321914042809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69.644221274738058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-1.1368683772161603E-13</v>
      </c>
      <c r="BZ186" s="14">
        <f>BY186*VLOOKUP('Données projet'!$B$12,Paramètres!$A$1:$I$88,3,0)*VLOOKUP('Données projet'!$B$12,Paramètres!$A$1:$I$88,5,0)</f>
        <v>-1.1527845344971866E-13</v>
      </c>
      <c r="CA186" s="14" t="e">
        <f t="shared" si="170"/>
        <v>#NUM!</v>
      </c>
      <c r="CB186" s="22" t="e">
        <f t="shared" si="171"/>
        <v>#NUM!</v>
      </c>
      <c r="CC186" s="62" t="e">
        <f t="shared" si="119"/>
        <v>#NUM!</v>
      </c>
      <c r="CD186" s="62">
        <f ca="1">AVERAGE(OFFSET($CC$3,0,0,'Données projet'!$E$12+1,1))-AVERAGE(OFFSET($H$3,0,0,'Données projet'!$E$12+1,1))</f>
        <v>310.53598044763282</v>
      </c>
      <c r="CE186" s="62">
        <f t="shared" si="148"/>
        <v>322.01096634040596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projet'!$B$12,Paramètres!$A$1:$I$88,7,0))</f>
        <v>0</v>
      </c>
      <c r="CI186" s="17">
        <f>IF(ISNA(VLOOKUP(A186,'Données projet'!$A$113:$I$133,6,0)),0%,VLOOKUP(A186,'Données projet'!$A$113:$I$133,6,0)*VLOOKUP('Données projet'!$B$12,Paramètres!$A$1:$I$88,7,0))</f>
        <v>0</v>
      </c>
      <c r="CJ186" s="17">
        <f>IF(ISNA(VLOOKUP(A186,'Données projet'!$A$113:$I$133,7,0)),0%,VLOOKUP(A186,'Données projet'!$A$113:$I$133,7,0))</f>
        <v>0</v>
      </c>
      <c r="CK186" s="23">
        <f>EXP(-LN(2)/35)*CK185+(1-EXP(-LN(2)/35))/(LN(2)/35)*CG186*CH186*VLOOKUP('Données projet'!$B$12,Paramètres!$A$1:$I$88,3,0)*0.475*44/12</f>
        <v>6.3276051412143612</v>
      </c>
      <c r="CL186" s="23">
        <f>EXP(-LN(2)/25)*CL185+(1-EXP(-LN(2)/25))/(LN(2)/25)*Calculateur!CG186*Calculateur!CI186*VLOOKUP('Données projet'!$B$12,Paramètres!$A$1:$I$88,3,0)*0.475*44/12</f>
        <v>0</v>
      </c>
      <c r="CM186" s="23">
        <f>EXP(-LN(2)/2)*CM185+(1-EXP(-LN(2)/2))/(LN(2)/2)*CG186*CJ186*VLOOKUP('Données projet'!$B$12,Paramètres!$A$1:$I$88,3,0)*0.475*44/12</f>
        <v>0</v>
      </c>
      <c r="CN186" s="24">
        <f t="shared" si="172"/>
        <v>6.3276051412143612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69.644221274738058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projet'!$B$13,Paramètres!$A$1:$I$88,3,0)*VLOOKUP('Données projet'!$B$13,Paramètres!$A$1:$I$88,5,0)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projet'!$B$13,Paramètres!$A$1:$I$88,7,0))</f>
        <v>0</v>
      </c>
      <c r="DD186" s="17">
        <f>IF(ISNA(VLOOKUP(A186,'Données projet'!$A$139:$I$159,6,0)),0%,VLOOKUP(A186,'Données projet'!$A$139:$I$159,6,0)*VLOOKUP('Données projet'!$B$13,Paramètres!$A$1:$I$88,7,0))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projet'!$B$13,Paramètres!$A$1:$I$88,3,0)*0.475*44/12</f>
        <v>#N/A</v>
      </c>
      <c r="DG186" s="23" t="e">
        <f>EXP(-LN(2)/25)*DG185+(1-EXP(-LN(2)/25))/(LN(2)/25)*Calculateur!DB186*Calculateur!DD186*VLOOKUP('Données projet'!$B$13,Paramètres!$A$1:$I$88,3,0)*0.475*44/12</f>
        <v>#N/A</v>
      </c>
      <c r="DH186" s="23" t="e">
        <f>EXP(-LN(2)/2)*DH185+(1-EXP(-LN(2)/2))/(LN(2)/2)*DB186*DE186*VLOOKUP('Données projet'!$B$13,Paramètres!$A$1:$I$88,3,0)*0.475*44/12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69.644221274738058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projet'!$B$14,Paramètres!$A$1:$I$88,3,0)*VLOOKUP('Données projet'!$B$14,Paramètres!$A$1:$I$88,5,0)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projet'!$B$14,Paramètres!$A$1:$I$88,7,0))</f>
        <v>0</v>
      </c>
      <c r="DY186" s="17">
        <f>IF(ISNA(VLOOKUP(A186,'Données projet'!$A$165:$I$185,6,0)),0%,VLOOKUP(A186,'Données projet'!$A$165:$I$185,6,0)*VLOOKUP('Données projet'!$B$14,Paramètres!$A$1:$I$88,7,0))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projet'!$B$14,Paramètres!$A$1:$I$88,3,0)*0.475*44/12</f>
        <v>#N/A</v>
      </c>
      <c r="EB186" s="23" t="e">
        <f>EXP(-LN(2)/25)*EB185+(1-EXP(-LN(2)/25))/(LN(2)/25)*Calculateur!DW186*Calculateur!DY186*VLOOKUP('Données projet'!$B$14,Paramètres!$A$1:$I$88,3,0)*0.475*44/12</f>
        <v>#N/A</v>
      </c>
      <c r="EC186" s="23" t="e">
        <f>EXP(-LN(2)/2)*EC185+(1-EXP(-LN(2)/2))/(LN(2)/2)*DW186*DZ186*VLOOKUP('Données projet'!$B$14,Paramètres!$A$1:$I$88,3,0)*0.475*44/12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69.644221274738058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projet'!$B$15,Paramètres!$A$1:$I$88,3,0)*VLOOKUP('Données projet'!$B$15,Paramètres!$A$1:$I$88,5,0)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projet'!$B$15,Paramètres!$A$1:$I$88,7,0))</f>
        <v>0</v>
      </c>
      <c r="ET186" s="17">
        <f>IF(ISNA(VLOOKUP(A186,'Données projet'!$A$191:$I$211,6,0)),0%,VLOOKUP(A186,'Données projet'!$A$191:$I$211,6,0)*VLOOKUP('Données projet'!$B$15,Paramètres!$A$1:$I$88,7,0))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projet'!$B$15,Paramètres!$A$1:$I$88,3,0)*0.475*44/12</f>
        <v>#N/A</v>
      </c>
      <c r="EW186" s="23" t="e">
        <f>EXP(-LN(2)/25)*EW185+(1-EXP(-LN(2)/25))/(LN(2)/25)*Calculateur!ER186*Calculateur!ET186*VLOOKUP('Données projet'!$B$15,Paramètres!$A$1:$I$88,3,0)*0.475*44/12</f>
        <v>#N/A</v>
      </c>
      <c r="EX186" s="23" t="e">
        <f>EXP(-LN(2)/2)*EX185+(1-EXP(-LN(2)/2))/(LN(2)/2)*ER186*EU186*VLOOKUP('Données projet'!$B$15,Paramètres!$A$1:$I$88,3,0)*0.475*44/12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69.644221274738058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projet'!$B$16,Paramètres!$A$1:$I$88,3,0)*VLOOKUP('Données projet'!$B$16,Paramètres!$A$1:$I$88,5,0)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projet'!$B$16,Paramètres!$A$1:$I$88,7,0))</f>
        <v>0</v>
      </c>
      <c r="FO186" s="17">
        <f>IF(ISNA(VLOOKUP(A186,'Données projet'!$A$217:$I$237,6,0)),0%,VLOOKUP(A186,'Données projet'!$A$217:$I$237,6,0)*VLOOKUP('Données projet'!$B$16,Paramètres!$A$1:$I$88,7,0))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projet'!$B$16,Paramètres!$A$1:$I$88,3,0)*0.475*44/12</f>
        <v>#N/A</v>
      </c>
      <c r="FR186" s="23" t="e">
        <f>EXP(-LN(2)/25)*FR185+(1-EXP(-LN(2)/25))/(LN(2)/25)*Calculateur!FM186*Calculateur!FO186*VLOOKUP('Données projet'!$B$16,Paramètres!$A$1:$I$88,3,0)*0.475*44/12</f>
        <v>#N/A</v>
      </c>
      <c r="FS186" s="23" t="e">
        <f>EXP(-LN(2)/2)*FS185+(1-EXP(-LN(2)/2))/(LN(2)/2)*FM186*FP186*VLOOKUP('Données projet'!$B$16,Paramètres!$A$1:$I$88,3,0)*0.475*44/12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69.644221274738058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projet'!$B$17,Paramètres!$A$1:$I$88,3,0)*VLOOKUP('Données projet'!$B$17,Paramètres!$A$1:$I$88,5,0)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projet'!$B$17,Paramètres!$A$1:$I$88,7,0))</f>
        <v>0</v>
      </c>
      <c r="GJ186" s="17">
        <f>IF(ISNA(VLOOKUP(A186,'Données projet'!$A$243:$I$263,6,0)),0%,VLOOKUP(A186,'Données projet'!$A$243:$I$263,6,0)*VLOOKUP('Données projet'!$B$17,Paramètres!$A$1:$I$88,7,0))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projet'!$B$17,Paramètres!$A$1:$I$88,3,0)*0.475*44/12</f>
        <v>#N/A</v>
      </c>
      <c r="GM186" s="23" t="e">
        <f>EXP(-LN(2)/25)*GM185+(1-EXP(-LN(2)/25))/(LN(2)/25)*Calculateur!GH186*Calculateur!GJ186*VLOOKUP('Données projet'!$B$17,Paramètres!$A$1:$I$88,3,0)*0.475*44/12</f>
        <v>#N/A</v>
      </c>
      <c r="GN186" s="23" t="e">
        <f>EXP(-LN(2)/2)*GN185+(1-EXP(-LN(2)/2))/(LN(2)/2)*GH186*GK186*VLOOKUP('Données projet'!$B$17,Paramètres!$A$1:$I$88,3,0)*0.475*44/12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69.644221274738058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projet'!$B$18,Paramètres!$A$1:$I$88,3,0)*VLOOKUP('Données projet'!$B$18,Paramètres!$A$1:$I$88,5,0)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projet'!$B$18,Paramètres!$A$1:$I$88,7,0))</f>
        <v>0</v>
      </c>
      <c r="HE186" s="17">
        <f>IF(ISNA(VLOOKUP(A186,'Données projet'!$A$269:$I$289,6,0)),0%,VLOOKUP(A186,'Données projet'!$A$269:$I$289,6,0)*VLOOKUP('Données projet'!$B$18,Paramètres!$A$1:$I$88,7,0))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projet'!$B$18,Paramètres!$A$1:$I$88,3,0)*0.475*44/12</f>
        <v>#N/A</v>
      </c>
      <c r="HH186" s="23" t="e">
        <f>EXP(-LN(2)/25)*HH185+(1-EXP(-LN(2)/25))/(LN(2)/25)*Calculateur!HC186*Calculateur!HE186*VLOOKUP('Données projet'!$B$18,Paramètres!$A$1:$I$88,3,0)*0.475*44/12</f>
        <v>#N/A</v>
      </c>
      <c r="HI186" s="23" t="e">
        <f>EXP(-LN(2)/2)*HI185+(1-EXP(-LN(2)/2))/(LN(2)/2)*HC186*HF186*VLOOKUP('Données projet'!$B$18,Paramètres!$A$1:$I$88,3,0)*0.475*44/12</f>
        <v>#N/A</v>
      </c>
      <c r="HJ186" s="24" t="e">
        <f t="shared" si="190"/>
        <v>#N/A</v>
      </c>
    </row>
    <row r="187" spans="1:218" x14ac:dyDescent="0.35">
      <c r="A187" s="11">
        <f t="shared" si="161"/>
        <v>184</v>
      </c>
      <c r="B187" s="77">
        <f>'Scénario référence'!$B$16*5+'Scénario référence'!$B$17*0+'Scénario référence'!$B$18*5</f>
        <v>1.75</v>
      </c>
      <c r="C187" s="20">
        <f>Calculateur!C186+'Scénario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87" s="12">
        <f t="shared" si="140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6.416666666666667</v>
      </c>
      <c r="H187" s="70">
        <f t="shared" si="110"/>
        <v>231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69.650393240219273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3.4106051316484809E-13</v>
      </c>
      <c r="O187" s="14">
        <f>N187*VLOOKUP('Données projet'!$B$9,Paramètres!$A$1:$I$88,3,0)*VLOOKUP('Données projet'!$B$9,Paramètres!$A$1:$I$88,5,0)</f>
        <v>1.9065282685915009E-13</v>
      </c>
      <c r="P187" s="14">
        <f t="shared" si="141"/>
        <v>2.6568987209435707E-12</v>
      </c>
      <c r="Q187" s="22">
        <f t="shared" si="162"/>
        <v>4.959485612423072E-12</v>
      </c>
      <c r="R187" s="62">
        <f t="shared" si="109"/>
        <v>292.05144188080897</v>
      </c>
      <c r="S187" s="62">
        <f ca="1">AVERAGE(OFFSET($R$3,0,0,'Données projet'!$E$9+1,1))-AVERAGE(OFFSET($H$3,0,0,'Données projet'!$E$9+1,1))</f>
        <v>341.05096821796769</v>
      </c>
      <c r="T187" s="62">
        <f t="shared" si="142"/>
        <v>400.72519822215168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projet'!$B$9,Paramètres!$A$1:$I$88,7,0))</f>
        <v>0</v>
      </c>
      <c r="X187" s="17">
        <f>IF(ISNA(VLOOKUP(A187,'Données projet'!$A$35:$I$55,6,0)),0%,VLOOKUP(A187,'Données projet'!$A$35:$I$55,6,0)*VLOOKUP('Données projet'!$B$9,Paramètres!$A$1:$I$88,7,0))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projet'!$B$9,Paramètres!$A$1:$I$88,3,0)*0.475*44/12</f>
        <v>20.560167905086825</v>
      </c>
      <c r="AA187" s="23">
        <f>EXP(-LN(2)/25)*AA186+(1-EXP(-LN(2)/25))/(LN(2)/25)*Calculateur!V187*Calculateur!X187*VLOOKUP('Données projet'!$B$9,Paramètres!$A$1:$I$88,3,0)*0.475*44/12</f>
        <v>4.2578167242499418</v>
      </c>
      <c r="AB187" s="23">
        <f>EXP(-LN(2)/2)*AB186+(1-EXP(-LN(2)/2))/(LN(2)/2)*V187*Y187*VLOOKUP('Données projet'!$B$9,Paramètres!$A$1:$I$88,3,0)*0.475*44/12</f>
        <v>0</v>
      </c>
      <c r="AC187" s="24">
        <f t="shared" si="163"/>
        <v>24.817984629336767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69.650393240219273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5.6843418860808015E-14</v>
      </c>
      <c r="AJ187" s="14">
        <f>AI187*VLOOKUP('Données projet'!$B$10,Paramètres!$A$1:$I$88,3,0)*VLOOKUP('Données projet'!$B$10,Paramètres!$A$1:$I$88,5,0)</f>
        <v>3.3992364478763198E-14</v>
      </c>
      <c r="AK187" s="14">
        <f t="shared" si="164"/>
        <v>5.790027782444094E-13</v>
      </c>
      <c r="AL187" s="22">
        <f t="shared" si="165"/>
        <v>1.0676332069095257E-12</v>
      </c>
      <c r="AM187" s="62">
        <f t="shared" si="113"/>
        <v>292.0514418808051</v>
      </c>
      <c r="AN187" s="62">
        <f ca="1">AVERAGE(OFFSET($AM$3,0,0,'Données projet'!$E$10+1,1))-AVERAGE(OFFSET($H$3,0,0,'Données projet'!$E$10+1,1))</f>
        <v>231.96474801342879</v>
      </c>
      <c r="AO187" s="62">
        <f t="shared" si="144"/>
        <v>237.75726086383668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projet'!$B$10,Paramètres!$A$1:$I$88,7,0))</f>
        <v>0</v>
      </c>
      <c r="AS187" s="17">
        <f>IF(ISNA(VLOOKUP(A187,'Données projet'!$A$61:$I$81,6,0)),0%,VLOOKUP(A187,'Données projet'!$A$61:$I$81,6,0)*VLOOKUP('Données projet'!$B$10,Paramètres!$A$1:$I$88,7,0))</f>
        <v>0</v>
      </c>
      <c r="AT187" s="17">
        <f>IF(ISNA(VLOOKUP(A187,'Données projet'!$A$61:$I$81,7,0)),0%,VLOOKUP(A187,'Données projet'!$A$61:$I$81,7,0))</f>
        <v>0</v>
      </c>
      <c r="AU187" s="23">
        <f>EXP(-LN(2)/35)*AU186+(1-EXP(-LN(2)/35))/(LN(2)/35)*AQ187*AR187*VLOOKUP('Données projet'!$B$10,Paramètres!$A$1:$I$88,3,0)*0.475*44/12</f>
        <v>8.1078925751669306</v>
      </c>
      <c r="AV187" s="23">
        <f>EXP(-LN(2)/25)*AV186+(1-EXP(-LN(2)/25))/(LN(2)/25)*Calculateur!AQ187*Calculateur!AS187*VLOOKUP('Données projet'!$B$10,Paramètres!$A$1:$I$88,3,0)*0.475*44/12</f>
        <v>1.7979683499023429</v>
      </c>
      <c r="AW187" s="23">
        <f>EXP(-LN(2)/2)*AW186+(1-EXP(-LN(2)/2))/(LN(2)/2)*AQ187*AT187*VLOOKUP('Données projet'!$B$10,Paramètres!$A$1:$I$88,3,0)*0.475*44/12</f>
        <v>0</v>
      </c>
      <c r="AX187" s="23">
        <f t="shared" si="166"/>
        <v>9.9058609250692733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69.650393240219273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6.8212102632969618E-13</v>
      </c>
      <c r="BE187" s="14">
        <f>BD187*VLOOKUP('Données projet'!$B$11,Paramètres!$A$1:$I$88,3,0)*VLOOKUP('Données projet'!$B$11,Paramètres!$A$1:$I$88,5,0)</f>
        <v>3.1923264032229784E-13</v>
      </c>
      <c r="BF187" s="14">
        <f t="shared" si="167"/>
        <v>4.1896839804541558E-12</v>
      </c>
      <c r="BG187" s="22">
        <f t="shared" si="168"/>
        <v>7.8530297811856558E-12</v>
      </c>
      <c r="BH187" s="62">
        <f t="shared" si="116"/>
        <v>292.05144188081186</v>
      </c>
      <c r="BI187" s="62">
        <f ca="1">AVERAGE(OFFSET($BH$3,0,0,'Données projet'!$E$11+1,1))-AVERAGE(OFFSET($H$3,0,0,'Données projet'!$E$11+1,1))</f>
        <v>364.96458059055169</v>
      </c>
      <c r="BJ187" s="62">
        <f t="shared" si="146"/>
        <v>246.27159120786257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projet'!$B$11,Paramètres!$A$1:$I$88,7,0))</f>
        <v>0</v>
      </c>
      <c r="BN187" s="17">
        <f>IF(ISNA(VLOOKUP(A187,'Données projet'!$A$87:$I$107,6,0)),0%,VLOOKUP(A187,'Données projet'!$A$87:$I$107,6,0)*VLOOKUP('Données projet'!$B$11,Paramètres!$A$1:$I$88,7,0))</f>
        <v>0</v>
      </c>
      <c r="BO187" s="17">
        <f>IF(ISNA(VLOOKUP(A187,'Données projet'!$A$87:$I$107,7,0)),0%,VLOOKUP(A187,'Données projet'!$A$87:$I$107,7,0))</f>
        <v>0</v>
      </c>
      <c r="BP187" s="23">
        <f>EXP(-LN(2)/35)*BP186+(1-EXP(-LN(2)/35))/(LN(2)/35)*BL187*BM187*VLOOKUP('Données projet'!$B$11,Paramètres!$A$1:$I$88,3,0)*0.475*44/12</f>
        <v>45.104614032221477</v>
      </c>
      <c r="BQ187" s="23">
        <f>EXP(-LN(2)/25)*BQ186+(1-EXP(-LN(2)/25))/(LN(2)/25)*Calculateur!BL187*Calculateur!BN187*VLOOKUP('Données projet'!$B$11,Paramètres!$A$1:$I$88,3,0)*0.475*44/12</f>
        <v>9.8175345444814095</v>
      </c>
      <c r="BR187" s="23">
        <f>EXP(-LN(2)/2)*BR186+(1-EXP(-LN(2)/2))/(LN(2)/2)*BL187*BO187*VLOOKUP('Données projet'!$B$11,Paramètres!$A$1:$I$88,3,0)*0.475*44/12</f>
        <v>0</v>
      </c>
      <c r="BS187" s="24">
        <f t="shared" si="169"/>
        <v>54.922148576702888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69.650393240219273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-1.1368683772161603E-13</v>
      </c>
      <c r="BZ187" s="14">
        <f>BY187*VLOOKUP('Données projet'!$B$12,Paramètres!$A$1:$I$88,3,0)*VLOOKUP('Données projet'!$B$12,Paramètres!$A$1:$I$88,5,0)</f>
        <v>-1.1527845344971866E-13</v>
      </c>
      <c r="CA187" s="14" t="e">
        <f t="shared" si="170"/>
        <v>#NUM!</v>
      </c>
      <c r="CB187" s="22" t="e">
        <f t="shared" si="171"/>
        <v>#NUM!</v>
      </c>
      <c r="CC187" s="62" t="e">
        <f t="shared" si="119"/>
        <v>#NUM!</v>
      </c>
      <c r="CD187" s="62">
        <f ca="1">AVERAGE(OFFSET($CC$3,0,0,'Données projet'!$E$12+1,1))-AVERAGE(OFFSET($H$3,0,0,'Données projet'!$E$12+1,1))</f>
        <v>310.53598044763282</v>
      </c>
      <c r="CE187" s="62">
        <f t="shared" si="148"/>
        <v>322.01096634040596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projet'!$B$12,Paramètres!$A$1:$I$88,7,0))</f>
        <v>0</v>
      </c>
      <c r="CI187" s="17">
        <f>IF(ISNA(VLOOKUP(A187,'Données projet'!$A$113:$I$133,6,0)),0%,VLOOKUP(A187,'Données projet'!$A$113:$I$133,6,0)*VLOOKUP('Données projet'!$B$12,Paramètres!$A$1:$I$88,7,0))</f>
        <v>0</v>
      </c>
      <c r="CJ187" s="17">
        <f>IF(ISNA(VLOOKUP(A187,'Données projet'!$A$113:$I$133,7,0)),0%,VLOOKUP(A187,'Données projet'!$A$113:$I$133,7,0))</f>
        <v>0</v>
      </c>
      <c r="CK187" s="23">
        <f>EXP(-LN(2)/35)*CK186+(1-EXP(-LN(2)/35))/(LN(2)/35)*CG187*CH187*VLOOKUP('Données projet'!$B$12,Paramètres!$A$1:$I$88,3,0)*0.475*44/12</f>
        <v>6.2035246638531936</v>
      </c>
      <c r="CL187" s="23">
        <f>EXP(-LN(2)/25)*CL186+(1-EXP(-LN(2)/25))/(LN(2)/25)*Calculateur!CG187*Calculateur!CI187*VLOOKUP('Données projet'!$B$12,Paramètres!$A$1:$I$88,3,0)*0.475*44/12</f>
        <v>0</v>
      </c>
      <c r="CM187" s="23">
        <f>EXP(-LN(2)/2)*CM186+(1-EXP(-LN(2)/2))/(LN(2)/2)*CG187*CJ187*VLOOKUP('Données projet'!$B$12,Paramètres!$A$1:$I$88,3,0)*0.475*44/12</f>
        <v>0</v>
      </c>
      <c r="CN187" s="24">
        <f t="shared" si="172"/>
        <v>6.2035246638531936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69.650393240219273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projet'!$B$13,Paramètres!$A$1:$I$88,3,0)*VLOOKUP('Données projet'!$B$13,Paramètres!$A$1:$I$88,5,0)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projet'!$B$13,Paramètres!$A$1:$I$88,7,0))</f>
        <v>0</v>
      </c>
      <c r="DD187" s="17">
        <f>IF(ISNA(VLOOKUP(A187,'Données projet'!$A$139:$I$159,6,0)),0%,VLOOKUP(A187,'Données projet'!$A$139:$I$159,6,0)*VLOOKUP('Données projet'!$B$13,Paramètres!$A$1:$I$88,7,0))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projet'!$B$13,Paramètres!$A$1:$I$88,3,0)*0.475*44/12</f>
        <v>#N/A</v>
      </c>
      <c r="DG187" s="23" t="e">
        <f>EXP(-LN(2)/25)*DG186+(1-EXP(-LN(2)/25))/(LN(2)/25)*Calculateur!DB187*Calculateur!DD187*VLOOKUP('Données projet'!$B$13,Paramètres!$A$1:$I$88,3,0)*0.475*44/12</f>
        <v>#N/A</v>
      </c>
      <c r="DH187" s="23" t="e">
        <f>EXP(-LN(2)/2)*DH186+(1-EXP(-LN(2)/2))/(LN(2)/2)*DB187*DE187*VLOOKUP('Données projet'!$B$13,Paramètres!$A$1:$I$88,3,0)*0.475*44/12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69.650393240219273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projet'!$B$14,Paramètres!$A$1:$I$88,3,0)*VLOOKUP('Données projet'!$B$14,Paramètres!$A$1:$I$88,5,0)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projet'!$B$14,Paramètres!$A$1:$I$88,7,0))</f>
        <v>0</v>
      </c>
      <c r="DY187" s="17">
        <f>IF(ISNA(VLOOKUP(A187,'Données projet'!$A$165:$I$185,6,0)),0%,VLOOKUP(A187,'Données projet'!$A$165:$I$185,6,0)*VLOOKUP('Données projet'!$B$14,Paramètres!$A$1:$I$88,7,0))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projet'!$B$14,Paramètres!$A$1:$I$88,3,0)*0.475*44/12</f>
        <v>#N/A</v>
      </c>
      <c r="EB187" s="23" t="e">
        <f>EXP(-LN(2)/25)*EB186+(1-EXP(-LN(2)/25))/(LN(2)/25)*Calculateur!DW187*Calculateur!DY187*VLOOKUP('Données projet'!$B$14,Paramètres!$A$1:$I$88,3,0)*0.475*44/12</f>
        <v>#N/A</v>
      </c>
      <c r="EC187" s="23" t="e">
        <f>EXP(-LN(2)/2)*EC186+(1-EXP(-LN(2)/2))/(LN(2)/2)*DW187*DZ187*VLOOKUP('Données projet'!$B$14,Paramètres!$A$1:$I$88,3,0)*0.475*44/12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69.650393240219273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projet'!$B$15,Paramètres!$A$1:$I$88,3,0)*VLOOKUP('Données projet'!$B$15,Paramètres!$A$1:$I$88,5,0)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projet'!$B$15,Paramètres!$A$1:$I$88,7,0))</f>
        <v>0</v>
      </c>
      <c r="ET187" s="17">
        <f>IF(ISNA(VLOOKUP(A187,'Données projet'!$A$191:$I$211,6,0)),0%,VLOOKUP(A187,'Données projet'!$A$191:$I$211,6,0)*VLOOKUP('Données projet'!$B$15,Paramètres!$A$1:$I$88,7,0))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projet'!$B$15,Paramètres!$A$1:$I$88,3,0)*0.475*44/12</f>
        <v>#N/A</v>
      </c>
      <c r="EW187" s="23" t="e">
        <f>EXP(-LN(2)/25)*EW186+(1-EXP(-LN(2)/25))/(LN(2)/25)*Calculateur!ER187*Calculateur!ET187*VLOOKUP('Données projet'!$B$15,Paramètres!$A$1:$I$88,3,0)*0.475*44/12</f>
        <v>#N/A</v>
      </c>
      <c r="EX187" s="23" t="e">
        <f>EXP(-LN(2)/2)*EX186+(1-EXP(-LN(2)/2))/(LN(2)/2)*ER187*EU187*VLOOKUP('Données projet'!$B$15,Paramètres!$A$1:$I$88,3,0)*0.475*44/12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69.650393240219273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projet'!$B$16,Paramètres!$A$1:$I$88,3,0)*VLOOKUP('Données projet'!$B$16,Paramètres!$A$1:$I$88,5,0)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projet'!$B$16,Paramètres!$A$1:$I$88,7,0))</f>
        <v>0</v>
      </c>
      <c r="FO187" s="17">
        <f>IF(ISNA(VLOOKUP(A187,'Données projet'!$A$217:$I$237,6,0)),0%,VLOOKUP(A187,'Données projet'!$A$217:$I$237,6,0)*VLOOKUP('Données projet'!$B$16,Paramètres!$A$1:$I$88,7,0))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projet'!$B$16,Paramètres!$A$1:$I$88,3,0)*0.475*44/12</f>
        <v>#N/A</v>
      </c>
      <c r="FR187" s="23" t="e">
        <f>EXP(-LN(2)/25)*FR186+(1-EXP(-LN(2)/25))/(LN(2)/25)*Calculateur!FM187*Calculateur!FO187*VLOOKUP('Données projet'!$B$16,Paramètres!$A$1:$I$88,3,0)*0.475*44/12</f>
        <v>#N/A</v>
      </c>
      <c r="FS187" s="23" t="e">
        <f>EXP(-LN(2)/2)*FS186+(1-EXP(-LN(2)/2))/(LN(2)/2)*FM187*FP187*VLOOKUP('Données projet'!$B$16,Paramètres!$A$1:$I$88,3,0)*0.475*44/12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69.650393240219273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projet'!$B$17,Paramètres!$A$1:$I$88,3,0)*VLOOKUP('Données projet'!$B$17,Paramètres!$A$1:$I$88,5,0)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projet'!$B$17,Paramètres!$A$1:$I$88,7,0))</f>
        <v>0</v>
      </c>
      <c r="GJ187" s="17">
        <f>IF(ISNA(VLOOKUP(A187,'Données projet'!$A$243:$I$263,6,0)),0%,VLOOKUP(A187,'Données projet'!$A$243:$I$263,6,0)*VLOOKUP('Données projet'!$B$17,Paramètres!$A$1:$I$88,7,0))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projet'!$B$17,Paramètres!$A$1:$I$88,3,0)*0.475*44/12</f>
        <v>#N/A</v>
      </c>
      <c r="GM187" s="23" t="e">
        <f>EXP(-LN(2)/25)*GM186+(1-EXP(-LN(2)/25))/(LN(2)/25)*Calculateur!GH187*Calculateur!GJ187*VLOOKUP('Données projet'!$B$17,Paramètres!$A$1:$I$88,3,0)*0.475*44/12</f>
        <v>#N/A</v>
      </c>
      <c r="GN187" s="23" t="e">
        <f>EXP(-LN(2)/2)*GN186+(1-EXP(-LN(2)/2))/(LN(2)/2)*GH187*GK187*VLOOKUP('Données projet'!$B$17,Paramètres!$A$1:$I$88,3,0)*0.475*44/12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69.650393240219273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projet'!$B$18,Paramètres!$A$1:$I$88,3,0)*VLOOKUP('Données projet'!$B$18,Paramètres!$A$1:$I$88,5,0)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projet'!$B$18,Paramètres!$A$1:$I$88,7,0))</f>
        <v>0</v>
      </c>
      <c r="HE187" s="17">
        <f>IF(ISNA(VLOOKUP(A187,'Données projet'!$A$269:$I$289,6,0)),0%,VLOOKUP(A187,'Données projet'!$A$269:$I$289,6,0)*VLOOKUP('Données projet'!$B$18,Paramètres!$A$1:$I$88,7,0))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projet'!$B$18,Paramètres!$A$1:$I$88,3,0)*0.475*44/12</f>
        <v>#N/A</v>
      </c>
      <c r="HH187" s="23" t="e">
        <f>EXP(-LN(2)/25)*HH186+(1-EXP(-LN(2)/25))/(LN(2)/25)*Calculateur!HC187*Calculateur!HE187*VLOOKUP('Données projet'!$B$18,Paramètres!$A$1:$I$88,3,0)*0.475*44/12</f>
        <v>#N/A</v>
      </c>
      <c r="HI187" s="23" t="e">
        <f>EXP(-LN(2)/2)*HI186+(1-EXP(-LN(2)/2))/(LN(2)/2)*HC187*HF187*VLOOKUP('Données projet'!$B$18,Paramètres!$A$1:$I$88,3,0)*0.475*44/12</f>
        <v>#N/A</v>
      </c>
      <c r="HJ187" s="24" t="e">
        <f t="shared" si="190"/>
        <v>#N/A</v>
      </c>
    </row>
    <row r="188" spans="1:218" x14ac:dyDescent="0.35">
      <c r="A188" s="11">
        <f t="shared" si="161"/>
        <v>185</v>
      </c>
      <c r="B188" s="77">
        <f>'Scénario référence'!$B$16*5+'Scénario référence'!$B$17*0+'Scénario référence'!$B$18*5</f>
        <v>1.75</v>
      </c>
      <c r="C188" s="20">
        <f>Calculateur!C187+'Scénario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88" s="12">
        <f t="shared" si="140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6.416666666666667</v>
      </c>
      <c r="H188" s="70">
        <f t="shared" si="110"/>
        <v>231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69.65645813589785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3.4106051316484809E-13</v>
      </c>
      <c r="O188" s="14">
        <f>N188*VLOOKUP('Données projet'!$B$9,Paramètres!$A$1:$I$88,3,0)*VLOOKUP('Données projet'!$B$9,Paramètres!$A$1:$I$88,5,0)</f>
        <v>1.9065282685915009E-13</v>
      </c>
      <c r="P188" s="14">
        <f t="shared" si="141"/>
        <v>2.6568987209435707E-12</v>
      </c>
      <c r="Q188" s="22">
        <f t="shared" si="162"/>
        <v>4.959485612423072E-12</v>
      </c>
      <c r="R188" s="62">
        <f t="shared" si="109"/>
        <v>292.07367983163039</v>
      </c>
      <c r="S188" s="62">
        <f ca="1">AVERAGE(OFFSET($R$3,0,0,'Données projet'!$E$9+1,1))-AVERAGE(OFFSET($H$3,0,0,'Données projet'!$E$9+1,1))</f>
        <v>341.05096821796769</v>
      </c>
      <c r="T188" s="62">
        <f t="shared" si="142"/>
        <v>400.72519822215168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projet'!$B$9,Paramètres!$A$1:$I$88,7,0))</f>
        <v>0</v>
      </c>
      <c r="X188" s="17">
        <f>IF(ISNA(VLOOKUP(A188,'Données projet'!$A$35:$I$55,6,0)),0%,VLOOKUP(A188,'Données projet'!$A$35:$I$55,6,0)*VLOOKUP('Données projet'!$B$9,Paramètres!$A$1:$I$88,7,0))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projet'!$B$9,Paramètres!$A$1:$I$88,3,0)*0.475*44/12</f>
        <v>20.156995552932226</v>
      </c>
      <c r="AA188" s="23">
        <f>EXP(-LN(2)/25)*AA187+(1-EXP(-LN(2)/25))/(LN(2)/25)*Calculateur!V188*Calculateur!X188*VLOOKUP('Données projet'!$B$9,Paramètres!$A$1:$I$88,3,0)*0.475*44/12</f>
        <v>4.1413865020164771</v>
      </c>
      <c r="AB188" s="23">
        <f>EXP(-LN(2)/2)*AB187+(1-EXP(-LN(2)/2))/(LN(2)/2)*V188*Y188*VLOOKUP('Données projet'!$B$9,Paramètres!$A$1:$I$88,3,0)*0.475*44/12</f>
        <v>0</v>
      </c>
      <c r="AC188" s="24">
        <f t="shared" si="163"/>
        <v>24.298382054948704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69.65645813589785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5.6843418860808015E-14</v>
      </c>
      <c r="AJ188" s="14">
        <f>AI188*VLOOKUP('Données projet'!$B$10,Paramètres!$A$1:$I$88,3,0)*VLOOKUP('Données projet'!$B$10,Paramètres!$A$1:$I$88,5,0)</f>
        <v>3.3992364478763198E-14</v>
      </c>
      <c r="AK188" s="14">
        <f t="shared" si="164"/>
        <v>5.790027782444094E-13</v>
      </c>
      <c r="AL188" s="22">
        <f t="shared" si="165"/>
        <v>1.0676332069095257E-12</v>
      </c>
      <c r="AM188" s="62">
        <f t="shared" si="113"/>
        <v>292.07367983162652</v>
      </c>
      <c r="AN188" s="62">
        <f ca="1">AVERAGE(OFFSET($AM$3,0,0,'Données projet'!$E$10+1,1))-AVERAGE(OFFSET($H$3,0,0,'Données projet'!$E$10+1,1))</f>
        <v>231.96474801342879</v>
      </c>
      <c r="AO188" s="62">
        <f t="shared" si="144"/>
        <v>237.75726086383668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projet'!$B$10,Paramètres!$A$1:$I$88,7,0))</f>
        <v>0</v>
      </c>
      <c r="AS188" s="17">
        <f>IF(ISNA(VLOOKUP(A188,'Données projet'!$A$61:$I$81,6,0)),0%,VLOOKUP(A188,'Données projet'!$A$61:$I$81,6,0)*VLOOKUP('Données projet'!$B$10,Paramètres!$A$1:$I$88,7,0))</f>
        <v>0</v>
      </c>
      <c r="AT188" s="17">
        <f>IF(ISNA(VLOOKUP(A188,'Données projet'!$A$61:$I$81,7,0)),0%,VLOOKUP(A188,'Données projet'!$A$61:$I$81,7,0))</f>
        <v>0</v>
      </c>
      <c r="AU188" s="23">
        <f>EXP(-LN(2)/35)*AU187+(1-EXP(-LN(2)/35))/(LN(2)/35)*AQ188*AR188*VLOOKUP('Données projet'!$B$10,Paramètres!$A$1:$I$88,3,0)*0.475*44/12</f>
        <v>7.9489017470940677</v>
      </c>
      <c r="AV188" s="23">
        <f>EXP(-LN(2)/25)*AV187+(1-EXP(-LN(2)/25))/(LN(2)/25)*Calculateur!AQ188*Calculateur!AS188*VLOOKUP('Données projet'!$B$10,Paramètres!$A$1:$I$88,3,0)*0.475*44/12</f>
        <v>1.7488028108232172</v>
      </c>
      <c r="AW188" s="23">
        <f>EXP(-LN(2)/2)*AW187+(1-EXP(-LN(2)/2))/(LN(2)/2)*AQ188*AT188*VLOOKUP('Données projet'!$B$10,Paramètres!$A$1:$I$88,3,0)*0.475*44/12</f>
        <v>0</v>
      </c>
      <c r="AX188" s="23">
        <f t="shared" si="166"/>
        <v>9.6977045579172856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69.65645813589785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6.8212102632969618E-13</v>
      </c>
      <c r="BE188" s="14">
        <f>BD188*VLOOKUP('Données projet'!$B$11,Paramètres!$A$1:$I$88,3,0)*VLOOKUP('Données projet'!$B$11,Paramètres!$A$1:$I$88,5,0)</f>
        <v>3.1923264032229784E-13</v>
      </c>
      <c r="BF188" s="14">
        <f t="shared" si="167"/>
        <v>4.1896839804541558E-12</v>
      </c>
      <c r="BG188" s="22">
        <f t="shared" si="168"/>
        <v>7.8530297811856558E-12</v>
      </c>
      <c r="BH188" s="62">
        <f t="shared" si="116"/>
        <v>292.07367983163329</v>
      </c>
      <c r="BI188" s="62">
        <f ca="1">AVERAGE(OFFSET($BH$3,0,0,'Données projet'!$E$11+1,1))-AVERAGE(OFFSET($H$3,0,0,'Données projet'!$E$11+1,1))</f>
        <v>364.96458059055169</v>
      </c>
      <c r="BJ188" s="62">
        <f t="shared" si="146"/>
        <v>246.27159120786257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projet'!$B$11,Paramètres!$A$1:$I$88,7,0))</f>
        <v>0</v>
      </c>
      <c r="BN188" s="17">
        <f>IF(ISNA(VLOOKUP(A188,'Données projet'!$A$87:$I$107,6,0)),0%,VLOOKUP(A188,'Données projet'!$A$87:$I$107,6,0)*VLOOKUP('Données projet'!$B$11,Paramètres!$A$1:$I$88,7,0))</f>
        <v>0</v>
      </c>
      <c r="BO188" s="17">
        <f>IF(ISNA(VLOOKUP(A188,'Données projet'!$A$87:$I$107,7,0)),0%,VLOOKUP(A188,'Données projet'!$A$87:$I$107,7,0))</f>
        <v>0</v>
      </c>
      <c r="BP188" s="23">
        <f>EXP(-LN(2)/35)*BP187+(1-EXP(-LN(2)/35))/(LN(2)/35)*BL188*BM188*VLOOKUP('Données projet'!$B$11,Paramètres!$A$1:$I$88,3,0)*0.475*44/12</f>
        <v>44.220140062147678</v>
      </c>
      <c r="BQ188" s="23">
        <f>EXP(-LN(2)/25)*BQ187+(1-EXP(-LN(2)/25))/(LN(2)/25)*Calculateur!BL188*Calculateur!BN188*VLOOKUP('Données projet'!$B$11,Paramètres!$A$1:$I$88,3,0)*0.475*44/12</f>
        <v>9.5490735460808622</v>
      </c>
      <c r="BR188" s="23">
        <f>EXP(-LN(2)/2)*BR187+(1-EXP(-LN(2)/2))/(LN(2)/2)*BL188*BO188*VLOOKUP('Données projet'!$B$11,Paramètres!$A$1:$I$88,3,0)*0.475*44/12</f>
        <v>0</v>
      </c>
      <c r="BS188" s="24">
        <f t="shared" si="169"/>
        <v>53.76921360822854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69.65645813589785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-1.1368683772161603E-13</v>
      </c>
      <c r="BZ188" s="14">
        <f>BY188*VLOOKUP('Données projet'!$B$12,Paramètres!$A$1:$I$88,3,0)*VLOOKUP('Données projet'!$B$12,Paramètres!$A$1:$I$88,5,0)</f>
        <v>-1.1527845344971866E-13</v>
      </c>
      <c r="CA188" s="14" t="e">
        <f t="shared" si="170"/>
        <v>#NUM!</v>
      </c>
      <c r="CB188" s="22" t="e">
        <f t="shared" si="171"/>
        <v>#NUM!</v>
      </c>
      <c r="CC188" s="62" t="e">
        <f t="shared" si="119"/>
        <v>#NUM!</v>
      </c>
      <c r="CD188" s="62">
        <f ca="1">AVERAGE(OFFSET($CC$3,0,0,'Données projet'!$E$12+1,1))-AVERAGE(OFFSET($H$3,0,0,'Données projet'!$E$12+1,1))</f>
        <v>310.53598044763282</v>
      </c>
      <c r="CE188" s="62">
        <f t="shared" si="148"/>
        <v>322.01096634040596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projet'!$B$12,Paramètres!$A$1:$I$88,7,0))</f>
        <v>0</v>
      </c>
      <c r="CI188" s="17">
        <f>IF(ISNA(VLOOKUP(A188,'Données projet'!$A$113:$I$133,6,0)),0%,VLOOKUP(A188,'Données projet'!$A$113:$I$133,6,0)*VLOOKUP('Données projet'!$B$12,Paramètres!$A$1:$I$88,7,0))</f>
        <v>0</v>
      </c>
      <c r="CJ188" s="17">
        <f>IF(ISNA(VLOOKUP(A188,'Données projet'!$A$113:$I$133,7,0)),0%,VLOOKUP(A188,'Données projet'!$A$113:$I$133,7,0))</f>
        <v>0</v>
      </c>
      <c r="CK188" s="23">
        <f>EXP(-LN(2)/35)*CK187+(1-EXP(-LN(2)/35))/(LN(2)/35)*CG188*CH188*VLOOKUP('Données projet'!$B$12,Paramètres!$A$1:$I$88,3,0)*0.475*44/12</f>
        <v>6.0818773289714603</v>
      </c>
      <c r="CL188" s="23">
        <f>EXP(-LN(2)/25)*CL187+(1-EXP(-LN(2)/25))/(LN(2)/25)*Calculateur!CG188*Calculateur!CI188*VLOOKUP('Données projet'!$B$12,Paramètres!$A$1:$I$88,3,0)*0.475*44/12</f>
        <v>0</v>
      </c>
      <c r="CM188" s="23">
        <f>EXP(-LN(2)/2)*CM187+(1-EXP(-LN(2)/2))/(LN(2)/2)*CG188*CJ188*VLOOKUP('Données projet'!$B$12,Paramètres!$A$1:$I$88,3,0)*0.475*44/12</f>
        <v>0</v>
      </c>
      <c r="CN188" s="24">
        <f t="shared" si="172"/>
        <v>6.0818773289714603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69.65645813589785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projet'!$B$13,Paramètres!$A$1:$I$88,3,0)*VLOOKUP('Données projet'!$B$13,Paramètres!$A$1:$I$88,5,0)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projet'!$B$13,Paramètres!$A$1:$I$88,7,0))</f>
        <v>0</v>
      </c>
      <c r="DD188" s="17">
        <f>IF(ISNA(VLOOKUP(A188,'Données projet'!$A$139:$I$159,6,0)),0%,VLOOKUP(A188,'Données projet'!$A$139:$I$159,6,0)*VLOOKUP('Données projet'!$B$13,Paramètres!$A$1:$I$88,7,0))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projet'!$B$13,Paramètres!$A$1:$I$88,3,0)*0.475*44/12</f>
        <v>#N/A</v>
      </c>
      <c r="DG188" s="23" t="e">
        <f>EXP(-LN(2)/25)*DG187+(1-EXP(-LN(2)/25))/(LN(2)/25)*Calculateur!DB188*Calculateur!DD188*VLOOKUP('Données projet'!$B$13,Paramètres!$A$1:$I$88,3,0)*0.475*44/12</f>
        <v>#N/A</v>
      </c>
      <c r="DH188" s="23" t="e">
        <f>EXP(-LN(2)/2)*DH187+(1-EXP(-LN(2)/2))/(LN(2)/2)*DB188*DE188*VLOOKUP('Données projet'!$B$13,Paramètres!$A$1:$I$88,3,0)*0.475*44/12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69.65645813589785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projet'!$B$14,Paramètres!$A$1:$I$88,3,0)*VLOOKUP('Données projet'!$B$14,Paramètres!$A$1:$I$88,5,0)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projet'!$B$14,Paramètres!$A$1:$I$88,7,0))</f>
        <v>0</v>
      </c>
      <c r="DY188" s="17">
        <f>IF(ISNA(VLOOKUP(A188,'Données projet'!$A$165:$I$185,6,0)),0%,VLOOKUP(A188,'Données projet'!$A$165:$I$185,6,0)*VLOOKUP('Données projet'!$B$14,Paramètres!$A$1:$I$88,7,0))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projet'!$B$14,Paramètres!$A$1:$I$88,3,0)*0.475*44/12</f>
        <v>#N/A</v>
      </c>
      <c r="EB188" s="23" t="e">
        <f>EXP(-LN(2)/25)*EB187+(1-EXP(-LN(2)/25))/(LN(2)/25)*Calculateur!DW188*Calculateur!DY188*VLOOKUP('Données projet'!$B$14,Paramètres!$A$1:$I$88,3,0)*0.475*44/12</f>
        <v>#N/A</v>
      </c>
      <c r="EC188" s="23" t="e">
        <f>EXP(-LN(2)/2)*EC187+(1-EXP(-LN(2)/2))/(LN(2)/2)*DW188*DZ188*VLOOKUP('Données projet'!$B$14,Paramètres!$A$1:$I$88,3,0)*0.475*44/12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69.65645813589785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projet'!$B$15,Paramètres!$A$1:$I$88,3,0)*VLOOKUP('Données projet'!$B$15,Paramètres!$A$1:$I$88,5,0)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projet'!$B$15,Paramètres!$A$1:$I$88,7,0))</f>
        <v>0</v>
      </c>
      <c r="ET188" s="17">
        <f>IF(ISNA(VLOOKUP(A188,'Données projet'!$A$191:$I$211,6,0)),0%,VLOOKUP(A188,'Données projet'!$A$191:$I$211,6,0)*VLOOKUP('Données projet'!$B$15,Paramètres!$A$1:$I$88,7,0))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projet'!$B$15,Paramètres!$A$1:$I$88,3,0)*0.475*44/12</f>
        <v>#N/A</v>
      </c>
      <c r="EW188" s="23" t="e">
        <f>EXP(-LN(2)/25)*EW187+(1-EXP(-LN(2)/25))/(LN(2)/25)*Calculateur!ER188*Calculateur!ET188*VLOOKUP('Données projet'!$B$15,Paramètres!$A$1:$I$88,3,0)*0.475*44/12</f>
        <v>#N/A</v>
      </c>
      <c r="EX188" s="23" t="e">
        <f>EXP(-LN(2)/2)*EX187+(1-EXP(-LN(2)/2))/(LN(2)/2)*ER188*EU188*VLOOKUP('Données projet'!$B$15,Paramètres!$A$1:$I$88,3,0)*0.475*44/12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69.65645813589785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projet'!$B$16,Paramètres!$A$1:$I$88,3,0)*VLOOKUP('Données projet'!$B$16,Paramètres!$A$1:$I$88,5,0)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projet'!$B$16,Paramètres!$A$1:$I$88,7,0))</f>
        <v>0</v>
      </c>
      <c r="FO188" s="17">
        <f>IF(ISNA(VLOOKUP(A188,'Données projet'!$A$217:$I$237,6,0)),0%,VLOOKUP(A188,'Données projet'!$A$217:$I$237,6,0)*VLOOKUP('Données projet'!$B$16,Paramètres!$A$1:$I$88,7,0))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projet'!$B$16,Paramètres!$A$1:$I$88,3,0)*0.475*44/12</f>
        <v>#N/A</v>
      </c>
      <c r="FR188" s="23" t="e">
        <f>EXP(-LN(2)/25)*FR187+(1-EXP(-LN(2)/25))/(LN(2)/25)*Calculateur!FM188*Calculateur!FO188*VLOOKUP('Données projet'!$B$16,Paramètres!$A$1:$I$88,3,0)*0.475*44/12</f>
        <v>#N/A</v>
      </c>
      <c r="FS188" s="23" t="e">
        <f>EXP(-LN(2)/2)*FS187+(1-EXP(-LN(2)/2))/(LN(2)/2)*FM188*FP188*VLOOKUP('Données projet'!$B$16,Paramètres!$A$1:$I$88,3,0)*0.475*44/12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69.65645813589785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projet'!$B$17,Paramètres!$A$1:$I$88,3,0)*VLOOKUP('Données projet'!$B$17,Paramètres!$A$1:$I$88,5,0)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projet'!$B$17,Paramètres!$A$1:$I$88,7,0))</f>
        <v>0</v>
      </c>
      <c r="GJ188" s="17">
        <f>IF(ISNA(VLOOKUP(A188,'Données projet'!$A$243:$I$263,6,0)),0%,VLOOKUP(A188,'Données projet'!$A$243:$I$263,6,0)*VLOOKUP('Données projet'!$B$17,Paramètres!$A$1:$I$88,7,0))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projet'!$B$17,Paramètres!$A$1:$I$88,3,0)*0.475*44/12</f>
        <v>#N/A</v>
      </c>
      <c r="GM188" s="23" t="e">
        <f>EXP(-LN(2)/25)*GM187+(1-EXP(-LN(2)/25))/(LN(2)/25)*Calculateur!GH188*Calculateur!GJ188*VLOOKUP('Données projet'!$B$17,Paramètres!$A$1:$I$88,3,0)*0.475*44/12</f>
        <v>#N/A</v>
      </c>
      <c r="GN188" s="23" t="e">
        <f>EXP(-LN(2)/2)*GN187+(1-EXP(-LN(2)/2))/(LN(2)/2)*GH188*GK188*VLOOKUP('Données projet'!$B$17,Paramètres!$A$1:$I$88,3,0)*0.475*44/12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69.65645813589785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projet'!$B$18,Paramètres!$A$1:$I$88,3,0)*VLOOKUP('Données projet'!$B$18,Paramètres!$A$1:$I$88,5,0)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projet'!$B$18,Paramètres!$A$1:$I$88,7,0))</f>
        <v>0</v>
      </c>
      <c r="HE188" s="17">
        <f>IF(ISNA(VLOOKUP(A188,'Données projet'!$A$269:$I$289,6,0)),0%,VLOOKUP(A188,'Données projet'!$A$269:$I$289,6,0)*VLOOKUP('Données projet'!$B$18,Paramètres!$A$1:$I$88,7,0))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projet'!$B$18,Paramètres!$A$1:$I$88,3,0)*0.475*44/12</f>
        <v>#N/A</v>
      </c>
      <c r="HH188" s="23" t="e">
        <f>EXP(-LN(2)/25)*HH187+(1-EXP(-LN(2)/25))/(LN(2)/25)*Calculateur!HC188*Calculateur!HE188*VLOOKUP('Données projet'!$B$18,Paramètres!$A$1:$I$88,3,0)*0.475*44/12</f>
        <v>#N/A</v>
      </c>
      <c r="HI188" s="23" t="e">
        <f>EXP(-LN(2)/2)*HI187+(1-EXP(-LN(2)/2))/(LN(2)/2)*HC188*HF188*VLOOKUP('Données projet'!$B$18,Paramètres!$A$1:$I$88,3,0)*0.475*44/12</f>
        <v>#N/A</v>
      </c>
      <c r="HJ188" s="24" t="e">
        <f t="shared" si="190"/>
        <v>#N/A</v>
      </c>
    </row>
    <row r="189" spans="1:218" x14ac:dyDescent="0.35">
      <c r="A189" s="11">
        <f t="shared" si="161"/>
        <v>186</v>
      </c>
      <c r="B189" s="77">
        <f>'Scénario référence'!$B$16*5+'Scénario référence'!$B$17*0+'Scénario référence'!$B$18*5</f>
        <v>1.75</v>
      </c>
      <c r="C189" s="20">
        <f>Calculateur!C188+'Scénario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89" s="12">
        <f t="shared" si="140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6.416666666666667</v>
      </c>
      <c r="H189" s="70">
        <f t="shared" si="110"/>
        <v>231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69.662417819195483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3.4106051316484809E-13</v>
      </c>
      <c r="O189" s="14">
        <f>N189*VLOOKUP('Données projet'!$B$9,Paramètres!$A$1:$I$88,3,0)*VLOOKUP('Données projet'!$B$9,Paramètres!$A$1:$I$88,5,0)</f>
        <v>1.9065282685915009E-13</v>
      </c>
      <c r="P189" s="14">
        <f t="shared" si="141"/>
        <v>2.6568987209435707E-12</v>
      </c>
      <c r="Q189" s="22">
        <f t="shared" si="162"/>
        <v>4.959485612423072E-12</v>
      </c>
      <c r="R189" s="62">
        <f t="shared" si="109"/>
        <v>292.0955320037217</v>
      </c>
      <c r="S189" s="62">
        <f ca="1">AVERAGE(OFFSET($R$3,0,0,'Données projet'!$E$9+1,1))-AVERAGE(OFFSET($H$3,0,0,'Données projet'!$E$9+1,1))</f>
        <v>341.05096821796769</v>
      </c>
      <c r="T189" s="62">
        <f t="shared" si="142"/>
        <v>400.72519822215168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projet'!$B$9,Paramètres!$A$1:$I$88,7,0))</f>
        <v>0</v>
      </c>
      <c r="X189" s="17">
        <f>IF(ISNA(VLOOKUP(A189,'Données projet'!$A$35:$I$55,6,0)),0%,VLOOKUP(A189,'Données projet'!$A$35:$I$55,6,0)*VLOOKUP('Données projet'!$B$9,Paramètres!$A$1:$I$88,7,0))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projet'!$B$9,Paramètres!$A$1:$I$88,3,0)*0.475*44/12</f>
        <v>19.761729164692525</v>
      </c>
      <c r="AA189" s="23">
        <f>EXP(-LN(2)/25)*AA188+(1-EXP(-LN(2)/25))/(LN(2)/25)*Calculateur!V189*Calculateur!X189*VLOOKUP('Données projet'!$B$9,Paramètres!$A$1:$I$88,3,0)*0.475*44/12</f>
        <v>4.0281400703327854</v>
      </c>
      <c r="AB189" s="23">
        <f>EXP(-LN(2)/2)*AB188+(1-EXP(-LN(2)/2))/(LN(2)/2)*V189*Y189*VLOOKUP('Données projet'!$B$9,Paramètres!$A$1:$I$88,3,0)*0.475*44/12</f>
        <v>0</v>
      </c>
      <c r="AC189" s="24">
        <f t="shared" si="163"/>
        <v>23.789869235025311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69.662417819195483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5.6843418860808015E-14</v>
      </c>
      <c r="AJ189" s="14">
        <f>AI189*VLOOKUP('Données projet'!$B$10,Paramètres!$A$1:$I$88,3,0)*VLOOKUP('Données projet'!$B$10,Paramètres!$A$1:$I$88,5,0)</f>
        <v>3.3992364478763198E-14</v>
      </c>
      <c r="AK189" s="14">
        <f t="shared" si="164"/>
        <v>5.790027782444094E-13</v>
      </c>
      <c r="AL189" s="22">
        <f t="shared" si="165"/>
        <v>1.0676332069095257E-12</v>
      </c>
      <c r="AM189" s="62">
        <f t="shared" si="113"/>
        <v>292.09553200371784</v>
      </c>
      <c r="AN189" s="62">
        <f ca="1">AVERAGE(OFFSET($AM$3,0,0,'Données projet'!$E$10+1,1))-AVERAGE(OFFSET($H$3,0,0,'Données projet'!$E$10+1,1))</f>
        <v>231.96474801342879</v>
      </c>
      <c r="AO189" s="62">
        <f t="shared" si="144"/>
        <v>237.75726086383668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projet'!$B$10,Paramètres!$A$1:$I$88,7,0))</f>
        <v>0</v>
      </c>
      <c r="AS189" s="17">
        <f>IF(ISNA(VLOOKUP(A189,'Données projet'!$A$61:$I$81,6,0)),0%,VLOOKUP(A189,'Données projet'!$A$61:$I$81,6,0)*VLOOKUP('Données projet'!$B$10,Paramètres!$A$1:$I$88,7,0))</f>
        <v>0</v>
      </c>
      <c r="AT189" s="17">
        <f>IF(ISNA(VLOOKUP(A189,'Données projet'!$A$61:$I$81,7,0)),0%,VLOOKUP(A189,'Données projet'!$A$61:$I$81,7,0))</f>
        <v>0</v>
      </c>
      <c r="AU189" s="23">
        <f>EXP(-LN(2)/35)*AU188+(1-EXP(-LN(2)/35))/(LN(2)/35)*AQ189*AR189*VLOOKUP('Données projet'!$B$10,Paramètres!$A$1:$I$88,3,0)*0.475*44/12</f>
        <v>7.7930286321848836</v>
      </c>
      <c r="AV189" s="23">
        <f>EXP(-LN(2)/25)*AV188+(1-EXP(-LN(2)/25))/(LN(2)/25)*Calculateur!AQ189*Calculateur!AS189*VLOOKUP('Données projet'!$B$10,Paramètres!$A$1:$I$88,3,0)*0.475*44/12</f>
        <v>1.7009817059957135</v>
      </c>
      <c r="AW189" s="23">
        <f>EXP(-LN(2)/2)*AW188+(1-EXP(-LN(2)/2))/(LN(2)/2)*AQ189*AT189*VLOOKUP('Données projet'!$B$10,Paramètres!$A$1:$I$88,3,0)*0.475*44/12</f>
        <v>0</v>
      </c>
      <c r="AX189" s="23">
        <f t="shared" si="166"/>
        <v>9.4940103381805976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69.662417819195483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6.8212102632969618E-13</v>
      </c>
      <c r="BE189" s="14">
        <f>BD189*VLOOKUP('Données projet'!$B$11,Paramètres!$A$1:$I$88,3,0)*VLOOKUP('Données projet'!$B$11,Paramètres!$A$1:$I$88,5,0)</f>
        <v>3.1923264032229784E-13</v>
      </c>
      <c r="BF189" s="14">
        <f t="shared" si="167"/>
        <v>4.1896839804541558E-12</v>
      </c>
      <c r="BG189" s="22">
        <f t="shared" si="168"/>
        <v>7.8530297811856558E-12</v>
      </c>
      <c r="BH189" s="62">
        <f t="shared" si="116"/>
        <v>292.0955320037246</v>
      </c>
      <c r="BI189" s="62">
        <f ca="1">AVERAGE(OFFSET($BH$3,0,0,'Données projet'!$E$11+1,1))-AVERAGE(OFFSET($H$3,0,0,'Données projet'!$E$11+1,1))</f>
        <v>364.96458059055169</v>
      </c>
      <c r="BJ189" s="62">
        <f t="shared" si="146"/>
        <v>246.27159120786257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projet'!$B$11,Paramètres!$A$1:$I$88,7,0))</f>
        <v>0</v>
      </c>
      <c r="BN189" s="17">
        <f>IF(ISNA(VLOOKUP(A189,'Données projet'!$A$87:$I$107,6,0)),0%,VLOOKUP(A189,'Données projet'!$A$87:$I$107,6,0)*VLOOKUP('Données projet'!$B$11,Paramètres!$A$1:$I$88,7,0))</f>
        <v>0</v>
      </c>
      <c r="BO189" s="17">
        <f>IF(ISNA(VLOOKUP(A189,'Données projet'!$A$87:$I$107,7,0)),0%,VLOOKUP(A189,'Données projet'!$A$87:$I$107,7,0))</f>
        <v>0</v>
      </c>
      <c r="BP189" s="23">
        <f>EXP(-LN(2)/35)*BP188+(1-EXP(-LN(2)/35))/(LN(2)/35)*BL189*BM189*VLOOKUP('Données projet'!$B$11,Paramètres!$A$1:$I$88,3,0)*0.475*44/12</f>
        <v>43.353010087151176</v>
      </c>
      <c r="BQ189" s="23">
        <f>EXP(-LN(2)/25)*BQ188+(1-EXP(-LN(2)/25))/(LN(2)/25)*Calculateur!BL189*Calculateur!BN189*VLOOKUP('Données projet'!$B$11,Paramètres!$A$1:$I$88,3,0)*0.475*44/12</f>
        <v>9.2879536277993271</v>
      </c>
      <c r="BR189" s="23">
        <f>EXP(-LN(2)/2)*BR188+(1-EXP(-LN(2)/2))/(LN(2)/2)*BL189*BO189*VLOOKUP('Données projet'!$B$11,Paramètres!$A$1:$I$88,3,0)*0.475*44/12</f>
        <v>0</v>
      </c>
      <c r="BS189" s="24">
        <f t="shared" si="169"/>
        <v>52.640963714950502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69.662417819195483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-1.1368683772161603E-13</v>
      </c>
      <c r="BZ189" s="14">
        <f>BY189*VLOOKUP('Données projet'!$B$12,Paramètres!$A$1:$I$88,3,0)*VLOOKUP('Données projet'!$B$12,Paramètres!$A$1:$I$88,5,0)</f>
        <v>-1.1527845344971866E-13</v>
      </c>
      <c r="CA189" s="14" t="e">
        <f t="shared" si="170"/>
        <v>#NUM!</v>
      </c>
      <c r="CB189" s="22" t="e">
        <f t="shared" si="171"/>
        <v>#NUM!</v>
      </c>
      <c r="CC189" s="62" t="e">
        <f t="shared" si="119"/>
        <v>#NUM!</v>
      </c>
      <c r="CD189" s="62">
        <f ca="1">AVERAGE(OFFSET($CC$3,0,0,'Données projet'!$E$12+1,1))-AVERAGE(OFFSET($H$3,0,0,'Données projet'!$E$12+1,1))</f>
        <v>310.53598044763282</v>
      </c>
      <c r="CE189" s="62">
        <f t="shared" si="148"/>
        <v>322.01096634040596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projet'!$B$12,Paramètres!$A$1:$I$88,7,0))</f>
        <v>0</v>
      </c>
      <c r="CI189" s="17">
        <f>IF(ISNA(VLOOKUP(A189,'Données projet'!$A$113:$I$133,6,0)),0%,VLOOKUP(A189,'Données projet'!$A$113:$I$133,6,0)*VLOOKUP('Données projet'!$B$12,Paramètres!$A$1:$I$88,7,0))</f>
        <v>0</v>
      </c>
      <c r="CJ189" s="17">
        <f>IF(ISNA(VLOOKUP(A189,'Données projet'!$A$113:$I$133,7,0)),0%,VLOOKUP(A189,'Données projet'!$A$113:$I$133,7,0))</f>
        <v>0</v>
      </c>
      <c r="CK189" s="23">
        <f>EXP(-LN(2)/35)*CK188+(1-EXP(-LN(2)/35))/(LN(2)/35)*CG189*CH189*VLOOKUP('Données projet'!$B$12,Paramètres!$A$1:$I$88,3,0)*0.475*44/12</f>
        <v>5.9626154241292104</v>
      </c>
      <c r="CL189" s="23">
        <f>EXP(-LN(2)/25)*CL188+(1-EXP(-LN(2)/25))/(LN(2)/25)*Calculateur!CG189*Calculateur!CI189*VLOOKUP('Données projet'!$B$12,Paramètres!$A$1:$I$88,3,0)*0.475*44/12</f>
        <v>0</v>
      </c>
      <c r="CM189" s="23">
        <f>EXP(-LN(2)/2)*CM188+(1-EXP(-LN(2)/2))/(LN(2)/2)*CG189*CJ189*VLOOKUP('Données projet'!$B$12,Paramètres!$A$1:$I$88,3,0)*0.475*44/12</f>
        <v>0</v>
      </c>
      <c r="CN189" s="24">
        <f t="shared" si="172"/>
        <v>5.9626154241292104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69.662417819195483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projet'!$B$13,Paramètres!$A$1:$I$88,3,0)*VLOOKUP('Données projet'!$B$13,Paramètres!$A$1:$I$88,5,0)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projet'!$B$13,Paramètres!$A$1:$I$88,7,0))</f>
        <v>0</v>
      </c>
      <c r="DD189" s="17">
        <f>IF(ISNA(VLOOKUP(A189,'Données projet'!$A$139:$I$159,6,0)),0%,VLOOKUP(A189,'Données projet'!$A$139:$I$159,6,0)*VLOOKUP('Données projet'!$B$13,Paramètres!$A$1:$I$88,7,0))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projet'!$B$13,Paramètres!$A$1:$I$88,3,0)*0.475*44/12</f>
        <v>#N/A</v>
      </c>
      <c r="DG189" s="23" t="e">
        <f>EXP(-LN(2)/25)*DG188+(1-EXP(-LN(2)/25))/(LN(2)/25)*Calculateur!DB189*Calculateur!DD189*VLOOKUP('Données projet'!$B$13,Paramètres!$A$1:$I$88,3,0)*0.475*44/12</f>
        <v>#N/A</v>
      </c>
      <c r="DH189" s="23" t="e">
        <f>EXP(-LN(2)/2)*DH188+(1-EXP(-LN(2)/2))/(LN(2)/2)*DB189*DE189*VLOOKUP('Données projet'!$B$13,Paramètres!$A$1:$I$88,3,0)*0.475*44/12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69.662417819195483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projet'!$B$14,Paramètres!$A$1:$I$88,3,0)*VLOOKUP('Données projet'!$B$14,Paramètres!$A$1:$I$88,5,0)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projet'!$B$14,Paramètres!$A$1:$I$88,7,0))</f>
        <v>0</v>
      </c>
      <c r="DY189" s="17">
        <f>IF(ISNA(VLOOKUP(A189,'Données projet'!$A$165:$I$185,6,0)),0%,VLOOKUP(A189,'Données projet'!$A$165:$I$185,6,0)*VLOOKUP('Données projet'!$B$14,Paramètres!$A$1:$I$88,7,0))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projet'!$B$14,Paramètres!$A$1:$I$88,3,0)*0.475*44/12</f>
        <v>#N/A</v>
      </c>
      <c r="EB189" s="23" t="e">
        <f>EXP(-LN(2)/25)*EB188+(1-EXP(-LN(2)/25))/(LN(2)/25)*Calculateur!DW189*Calculateur!DY189*VLOOKUP('Données projet'!$B$14,Paramètres!$A$1:$I$88,3,0)*0.475*44/12</f>
        <v>#N/A</v>
      </c>
      <c r="EC189" s="23" t="e">
        <f>EXP(-LN(2)/2)*EC188+(1-EXP(-LN(2)/2))/(LN(2)/2)*DW189*DZ189*VLOOKUP('Données projet'!$B$14,Paramètres!$A$1:$I$88,3,0)*0.475*44/12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69.662417819195483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projet'!$B$15,Paramètres!$A$1:$I$88,3,0)*VLOOKUP('Données projet'!$B$15,Paramètres!$A$1:$I$88,5,0)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projet'!$B$15,Paramètres!$A$1:$I$88,7,0))</f>
        <v>0</v>
      </c>
      <c r="ET189" s="17">
        <f>IF(ISNA(VLOOKUP(A189,'Données projet'!$A$191:$I$211,6,0)),0%,VLOOKUP(A189,'Données projet'!$A$191:$I$211,6,0)*VLOOKUP('Données projet'!$B$15,Paramètres!$A$1:$I$88,7,0))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projet'!$B$15,Paramètres!$A$1:$I$88,3,0)*0.475*44/12</f>
        <v>#N/A</v>
      </c>
      <c r="EW189" s="23" t="e">
        <f>EXP(-LN(2)/25)*EW188+(1-EXP(-LN(2)/25))/(LN(2)/25)*Calculateur!ER189*Calculateur!ET189*VLOOKUP('Données projet'!$B$15,Paramètres!$A$1:$I$88,3,0)*0.475*44/12</f>
        <v>#N/A</v>
      </c>
      <c r="EX189" s="23" t="e">
        <f>EXP(-LN(2)/2)*EX188+(1-EXP(-LN(2)/2))/(LN(2)/2)*ER189*EU189*VLOOKUP('Données projet'!$B$15,Paramètres!$A$1:$I$88,3,0)*0.475*44/12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69.662417819195483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projet'!$B$16,Paramètres!$A$1:$I$88,3,0)*VLOOKUP('Données projet'!$B$16,Paramètres!$A$1:$I$88,5,0)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projet'!$B$16,Paramètres!$A$1:$I$88,7,0))</f>
        <v>0</v>
      </c>
      <c r="FO189" s="17">
        <f>IF(ISNA(VLOOKUP(A189,'Données projet'!$A$217:$I$237,6,0)),0%,VLOOKUP(A189,'Données projet'!$A$217:$I$237,6,0)*VLOOKUP('Données projet'!$B$16,Paramètres!$A$1:$I$88,7,0))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projet'!$B$16,Paramètres!$A$1:$I$88,3,0)*0.475*44/12</f>
        <v>#N/A</v>
      </c>
      <c r="FR189" s="23" t="e">
        <f>EXP(-LN(2)/25)*FR188+(1-EXP(-LN(2)/25))/(LN(2)/25)*Calculateur!FM189*Calculateur!FO189*VLOOKUP('Données projet'!$B$16,Paramètres!$A$1:$I$88,3,0)*0.475*44/12</f>
        <v>#N/A</v>
      </c>
      <c r="FS189" s="23" t="e">
        <f>EXP(-LN(2)/2)*FS188+(1-EXP(-LN(2)/2))/(LN(2)/2)*FM189*FP189*VLOOKUP('Données projet'!$B$16,Paramètres!$A$1:$I$88,3,0)*0.475*44/12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69.662417819195483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projet'!$B$17,Paramètres!$A$1:$I$88,3,0)*VLOOKUP('Données projet'!$B$17,Paramètres!$A$1:$I$88,5,0)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projet'!$B$17,Paramètres!$A$1:$I$88,7,0))</f>
        <v>0</v>
      </c>
      <c r="GJ189" s="17">
        <f>IF(ISNA(VLOOKUP(A189,'Données projet'!$A$243:$I$263,6,0)),0%,VLOOKUP(A189,'Données projet'!$A$243:$I$263,6,0)*VLOOKUP('Données projet'!$B$17,Paramètres!$A$1:$I$88,7,0))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projet'!$B$17,Paramètres!$A$1:$I$88,3,0)*0.475*44/12</f>
        <v>#N/A</v>
      </c>
      <c r="GM189" s="23" t="e">
        <f>EXP(-LN(2)/25)*GM188+(1-EXP(-LN(2)/25))/(LN(2)/25)*Calculateur!GH189*Calculateur!GJ189*VLOOKUP('Données projet'!$B$17,Paramètres!$A$1:$I$88,3,0)*0.475*44/12</f>
        <v>#N/A</v>
      </c>
      <c r="GN189" s="23" t="e">
        <f>EXP(-LN(2)/2)*GN188+(1-EXP(-LN(2)/2))/(LN(2)/2)*GH189*GK189*VLOOKUP('Données projet'!$B$17,Paramètres!$A$1:$I$88,3,0)*0.475*44/12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69.662417819195483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projet'!$B$18,Paramètres!$A$1:$I$88,3,0)*VLOOKUP('Données projet'!$B$18,Paramètres!$A$1:$I$88,5,0)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projet'!$B$18,Paramètres!$A$1:$I$88,7,0))</f>
        <v>0</v>
      </c>
      <c r="HE189" s="17">
        <f>IF(ISNA(VLOOKUP(A189,'Données projet'!$A$269:$I$289,6,0)),0%,VLOOKUP(A189,'Données projet'!$A$269:$I$289,6,0)*VLOOKUP('Données projet'!$B$18,Paramètres!$A$1:$I$88,7,0))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projet'!$B$18,Paramètres!$A$1:$I$88,3,0)*0.475*44/12</f>
        <v>#N/A</v>
      </c>
      <c r="HH189" s="23" t="e">
        <f>EXP(-LN(2)/25)*HH188+(1-EXP(-LN(2)/25))/(LN(2)/25)*Calculateur!HC189*Calculateur!HE189*VLOOKUP('Données projet'!$B$18,Paramètres!$A$1:$I$88,3,0)*0.475*44/12</f>
        <v>#N/A</v>
      </c>
      <c r="HI189" s="23" t="e">
        <f>EXP(-LN(2)/2)*HI188+(1-EXP(-LN(2)/2))/(LN(2)/2)*HC189*HF189*VLOOKUP('Données projet'!$B$18,Paramètres!$A$1:$I$88,3,0)*0.475*44/12</f>
        <v>#N/A</v>
      </c>
      <c r="HJ189" s="24" t="e">
        <f t="shared" si="190"/>
        <v>#N/A</v>
      </c>
    </row>
    <row r="190" spans="1:218" x14ac:dyDescent="0.35">
      <c r="A190" s="11">
        <f t="shared" si="161"/>
        <v>187</v>
      </c>
      <c r="B190" s="77">
        <f>'Scénario référence'!$B$16*5+'Scénario référence'!$B$17*0+'Scénario référence'!$B$18*5</f>
        <v>1.75</v>
      </c>
      <c r="C190" s="20">
        <f>Calculateur!C189+'Scénario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90" s="12">
        <f t="shared" si="140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6.416666666666667</v>
      </c>
      <c r="H190" s="70">
        <f t="shared" si="110"/>
        <v>231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69.668274115311746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3.4106051316484809E-13</v>
      </c>
      <c r="O190" s="14">
        <f>N190*VLOOKUP('Données projet'!$B$9,Paramètres!$A$1:$I$88,3,0)*VLOOKUP('Données projet'!$B$9,Paramètres!$A$1:$I$88,5,0)</f>
        <v>1.9065282685915009E-13</v>
      </c>
      <c r="P190" s="14">
        <f t="shared" si="141"/>
        <v>2.6568987209435707E-12</v>
      </c>
      <c r="Q190" s="22">
        <f t="shared" si="162"/>
        <v>4.959485612423072E-12</v>
      </c>
      <c r="R190" s="62">
        <f t="shared" si="109"/>
        <v>292.11700508948138</v>
      </c>
      <c r="S190" s="62">
        <f ca="1">AVERAGE(OFFSET($R$3,0,0,'Données projet'!$E$9+1,1))-AVERAGE(OFFSET($H$3,0,0,'Données projet'!$E$9+1,1))</f>
        <v>341.05096821796769</v>
      </c>
      <c r="T190" s="62">
        <f t="shared" si="142"/>
        <v>400.72519822215168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projet'!$B$9,Paramètres!$A$1:$I$88,7,0))</f>
        <v>0</v>
      </c>
      <c r="X190" s="17">
        <f>IF(ISNA(VLOOKUP(A190,'Données projet'!$A$35:$I$55,6,0)),0%,VLOOKUP(A190,'Données projet'!$A$35:$I$55,6,0)*VLOOKUP('Données projet'!$B$9,Paramètres!$A$1:$I$88,7,0))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projet'!$B$9,Paramètres!$A$1:$I$88,3,0)*0.475*44/12</f>
        <v>19.374213709237516</v>
      </c>
      <c r="AA190" s="23">
        <f>EXP(-LN(2)/25)*AA189+(1-EXP(-LN(2)/25))/(LN(2)/25)*Calculateur!V190*Calculateur!X190*VLOOKUP('Données projet'!$B$9,Paramètres!$A$1:$I$88,3,0)*0.475*44/12</f>
        <v>3.9179903682788555</v>
      </c>
      <c r="AB190" s="23">
        <f>EXP(-LN(2)/2)*AB189+(1-EXP(-LN(2)/2))/(LN(2)/2)*V190*Y190*VLOOKUP('Données projet'!$B$9,Paramètres!$A$1:$I$88,3,0)*0.475*44/12</f>
        <v>0</v>
      </c>
      <c r="AC190" s="24">
        <f t="shared" si="163"/>
        <v>23.29220407751637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69.668274115311746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5.6843418860808015E-14</v>
      </c>
      <c r="AJ190" s="14">
        <f>AI190*VLOOKUP('Données projet'!$B$10,Paramètres!$A$1:$I$88,3,0)*VLOOKUP('Données projet'!$B$10,Paramètres!$A$1:$I$88,5,0)</f>
        <v>3.3992364478763198E-14</v>
      </c>
      <c r="AK190" s="14">
        <f t="shared" si="164"/>
        <v>5.790027782444094E-13</v>
      </c>
      <c r="AL190" s="22">
        <f t="shared" si="165"/>
        <v>1.0676332069095257E-12</v>
      </c>
      <c r="AM190" s="62">
        <f t="shared" si="113"/>
        <v>292.11700508947752</v>
      </c>
      <c r="AN190" s="62">
        <f ca="1">AVERAGE(OFFSET($AM$3,0,0,'Données projet'!$E$10+1,1))-AVERAGE(OFFSET($H$3,0,0,'Données projet'!$E$10+1,1))</f>
        <v>231.96474801342879</v>
      </c>
      <c r="AO190" s="62">
        <f t="shared" si="144"/>
        <v>237.75726086383668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projet'!$B$10,Paramètres!$A$1:$I$88,7,0))</f>
        <v>0</v>
      </c>
      <c r="AS190" s="17">
        <f>IF(ISNA(VLOOKUP(A190,'Données projet'!$A$61:$I$81,6,0)),0%,VLOOKUP(A190,'Données projet'!$A$61:$I$81,6,0)*VLOOKUP('Données projet'!$B$10,Paramètres!$A$1:$I$88,7,0))</f>
        <v>0</v>
      </c>
      <c r="AT190" s="17">
        <f>IF(ISNA(VLOOKUP(A190,'Données projet'!$A$61:$I$81,7,0)),0%,VLOOKUP(A190,'Données projet'!$A$61:$I$81,7,0))</f>
        <v>0</v>
      </c>
      <c r="AU190" s="23">
        <f>EXP(-LN(2)/35)*AU189+(1-EXP(-LN(2)/35))/(LN(2)/35)*AQ190*AR190*VLOOKUP('Données projet'!$B$10,Paramètres!$A$1:$I$88,3,0)*0.475*44/12</f>
        <v>7.6402120939858564</v>
      </c>
      <c r="AV190" s="23">
        <f>EXP(-LN(2)/25)*AV189+(1-EXP(-LN(2)/25))/(LN(2)/25)*Calculateur!AQ190*Calculateur!AS190*VLOOKUP('Données projet'!$B$10,Paramètres!$A$1:$I$88,3,0)*0.475*44/12</f>
        <v>1.6544682717945205</v>
      </c>
      <c r="AW190" s="23">
        <f>EXP(-LN(2)/2)*AW189+(1-EXP(-LN(2)/2))/(LN(2)/2)*AQ190*AT190*VLOOKUP('Données projet'!$B$10,Paramètres!$A$1:$I$88,3,0)*0.475*44/12</f>
        <v>0</v>
      </c>
      <c r="AX190" s="23">
        <f t="shared" si="166"/>
        <v>9.2946803657803763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69.668274115311746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6.8212102632969618E-13</v>
      </c>
      <c r="BE190" s="14">
        <f>BD190*VLOOKUP('Données projet'!$B$11,Paramètres!$A$1:$I$88,3,0)*VLOOKUP('Données projet'!$B$11,Paramètres!$A$1:$I$88,5,0)</f>
        <v>3.1923264032229784E-13</v>
      </c>
      <c r="BF190" s="14">
        <f t="shared" si="167"/>
        <v>4.1896839804541558E-12</v>
      </c>
      <c r="BG190" s="22">
        <f t="shared" si="168"/>
        <v>7.8530297811856558E-12</v>
      </c>
      <c r="BH190" s="62">
        <f t="shared" si="116"/>
        <v>292.11700508948428</v>
      </c>
      <c r="BI190" s="62">
        <f ca="1">AVERAGE(OFFSET($BH$3,0,0,'Données projet'!$E$11+1,1))-AVERAGE(OFFSET($H$3,0,0,'Données projet'!$E$11+1,1))</f>
        <v>364.96458059055169</v>
      </c>
      <c r="BJ190" s="62">
        <f t="shared" si="146"/>
        <v>246.27159120786257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projet'!$B$11,Paramètres!$A$1:$I$88,7,0))</f>
        <v>0</v>
      </c>
      <c r="BN190" s="17">
        <f>IF(ISNA(VLOOKUP(A190,'Données projet'!$A$87:$I$107,6,0)),0%,VLOOKUP(A190,'Données projet'!$A$87:$I$107,6,0)*VLOOKUP('Données projet'!$B$11,Paramètres!$A$1:$I$88,7,0))</f>
        <v>0</v>
      </c>
      <c r="BO190" s="17">
        <f>IF(ISNA(VLOOKUP(A190,'Données projet'!$A$87:$I$107,7,0)),0%,VLOOKUP(A190,'Données projet'!$A$87:$I$107,7,0))</f>
        <v>0</v>
      </c>
      <c r="BP190" s="23">
        <f>EXP(-LN(2)/35)*BP189+(1-EXP(-LN(2)/35))/(LN(2)/35)*BL190*BM190*VLOOKUP('Données projet'!$B$11,Paramètres!$A$1:$I$88,3,0)*0.475*44/12</f>
        <v>42.50288400206729</v>
      </c>
      <c r="BQ190" s="23">
        <f>EXP(-LN(2)/25)*BQ189+(1-EXP(-LN(2)/25))/(LN(2)/25)*Calculateur!BL190*Calculateur!BN190*VLOOKUP('Données projet'!$B$11,Paramètres!$A$1:$I$88,3,0)*0.475*44/12</f>
        <v>9.0339740474149011</v>
      </c>
      <c r="BR190" s="23">
        <f>EXP(-LN(2)/2)*BR189+(1-EXP(-LN(2)/2))/(LN(2)/2)*BL190*BO190*VLOOKUP('Données projet'!$B$11,Paramètres!$A$1:$I$88,3,0)*0.475*44/12</f>
        <v>0</v>
      </c>
      <c r="BS190" s="24">
        <f t="shared" si="169"/>
        <v>51.536858049482191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69.668274115311746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-1.1368683772161603E-13</v>
      </c>
      <c r="BZ190" s="14">
        <f>BY190*VLOOKUP('Données projet'!$B$12,Paramètres!$A$1:$I$88,3,0)*VLOOKUP('Données projet'!$B$12,Paramètres!$A$1:$I$88,5,0)</f>
        <v>-1.1527845344971866E-13</v>
      </c>
      <c r="CA190" s="14" t="e">
        <f t="shared" si="170"/>
        <v>#NUM!</v>
      </c>
      <c r="CB190" s="22" t="e">
        <f t="shared" si="171"/>
        <v>#NUM!</v>
      </c>
      <c r="CC190" s="62" t="e">
        <f t="shared" si="119"/>
        <v>#NUM!</v>
      </c>
      <c r="CD190" s="62">
        <f ca="1">AVERAGE(OFFSET($CC$3,0,0,'Données projet'!$E$12+1,1))-AVERAGE(OFFSET($H$3,0,0,'Données projet'!$E$12+1,1))</f>
        <v>310.53598044763282</v>
      </c>
      <c r="CE190" s="62">
        <f t="shared" si="148"/>
        <v>322.01096634040596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projet'!$B$12,Paramètres!$A$1:$I$88,7,0))</f>
        <v>0</v>
      </c>
      <c r="CI190" s="17">
        <f>IF(ISNA(VLOOKUP(A190,'Données projet'!$A$113:$I$133,6,0)),0%,VLOOKUP(A190,'Données projet'!$A$113:$I$133,6,0)*VLOOKUP('Données projet'!$B$12,Paramètres!$A$1:$I$88,7,0))</f>
        <v>0</v>
      </c>
      <c r="CJ190" s="17">
        <f>IF(ISNA(VLOOKUP(A190,'Données projet'!$A$113:$I$133,7,0)),0%,VLOOKUP(A190,'Données projet'!$A$113:$I$133,7,0))</f>
        <v>0</v>
      </c>
      <c r="CK190" s="23">
        <f>EXP(-LN(2)/35)*CK189+(1-EXP(-LN(2)/35))/(LN(2)/35)*CG190*CH190*VLOOKUP('Données projet'!$B$12,Paramètres!$A$1:$I$88,3,0)*0.475*44/12</f>
        <v>5.8456921724983379</v>
      </c>
      <c r="CL190" s="23">
        <f>EXP(-LN(2)/25)*CL189+(1-EXP(-LN(2)/25))/(LN(2)/25)*Calculateur!CG190*Calculateur!CI190*VLOOKUP('Données projet'!$B$12,Paramètres!$A$1:$I$88,3,0)*0.475*44/12</f>
        <v>0</v>
      </c>
      <c r="CM190" s="23">
        <f>EXP(-LN(2)/2)*CM189+(1-EXP(-LN(2)/2))/(LN(2)/2)*CG190*CJ190*VLOOKUP('Données projet'!$B$12,Paramètres!$A$1:$I$88,3,0)*0.475*44/12</f>
        <v>0</v>
      </c>
      <c r="CN190" s="24">
        <f t="shared" si="172"/>
        <v>5.8456921724983379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69.668274115311746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projet'!$B$13,Paramètres!$A$1:$I$88,3,0)*VLOOKUP('Données projet'!$B$13,Paramètres!$A$1:$I$88,5,0)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projet'!$B$13,Paramètres!$A$1:$I$88,7,0))</f>
        <v>0</v>
      </c>
      <c r="DD190" s="17">
        <f>IF(ISNA(VLOOKUP(A190,'Données projet'!$A$139:$I$159,6,0)),0%,VLOOKUP(A190,'Données projet'!$A$139:$I$159,6,0)*VLOOKUP('Données projet'!$B$13,Paramètres!$A$1:$I$88,7,0))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projet'!$B$13,Paramètres!$A$1:$I$88,3,0)*0.475*44/12</f>
        <v>#N/A</v>
      </c>
      <c r="DG190" s="23" t="e">
        <f>EXP(-LN(2)/25)*DG189+(1-EXP(-LN(2)/25))/(LN(2)/25)*Calculateur!DB190*Calculateur!DD190*VLOOKUP('Données projet'!$B$13,Paramètres!$A$1:$I$88,3,0)*0.475*44/12</f>
        <v>#N/A</v>
      </c>
      <c r="DH190" s="23" t="e">
        <f>EXP(-LN(2)/2)*DH189+(1-EXP(-LN(2)/2))/(LN(2)/2)*DB190*DE190*VLOOKUP('Données projet'!$B$13,Paramètres!$A$1:$I$88,3,0)*0.475*44/12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69.668274115311746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projet'!$B$14,Paramètres!$A$1:$I$88,3,0)*VLOOKUP('Données projet'!$B$14,Paramètres!$A$1:$I$88,5,0)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projet'!$B$14,Paramètres!$A$1:$I$88,7,0))</f>
        <v>0</v>
      </c>
      <c r="DY190" s="17">
        <f>IF(ISNA(VLOOKUP(A190,'Données projet'!$A$165:$I$185,6,0)),0%,VLOOKUP(A190,'Données projet'!$A$165:$I$185,6,0)*VLOOKUP('Données projet'!$B$14,Paramètres!$A$1:$I$88,7,0))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projet'!$B$14,Paramètres!$A$1:$I$88,3,0)*0.475*44/12</f>
        <v>#N/A</v>
      </c>
      <c r="EB190" s="23" t="e">
        <f>EXP(-LN(2)/25)*EB189+(1-EXP(-LN(2)/25))/(LN(2)/25)*Calculateur!DW190*Calculateur!DY190*VLOOKUP('Données projet'!$B$14,Paramètres!$A$1:$I$88,3,0)*0.475*44/12</f>
        <v>#N/A</v>
      </c>
      <c r="EC190" s="23" t="e">
        <f>EXP(-LN(2)/2)*EC189+(1-EXP(-LN(2)/2))/(LN(2)/2)*DW190*DZ190*VLOOKUP('Données projet'!$B$14,Paramètres!$A$1:$I$88,3,0)*0.475*44/12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69.668274115311746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projet'!$B$15,Paramètres!$A$1:$I$88,3,0)*VLOOKUP('Données projet'!$B$15,Paramètres!$A$1:$I$88,5,0)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projet'!$B$15,Paramètres!$A$1:$I$88,7,0))</f>
        <v>0</v>
      </c>
      <c r="ET190" s="17">
        <f>IF(ISNA(VLOOKUP(A190,'Données projet'!$A$191:$I$211,6,0)),0%,VLOOKUP(A190,'Données projet'!$A$191:$I$211,6,0)*VLOOKUP('Données projet'!$B$15,Paramètres!$A$1:$I$88,7,0))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projet'!$B$15,Paramètres!$A$1:$I$88,3,0)*0.475*44/12</f>
        <v>#N/A</v>
      </c>
      <c r="EW190" s="23" t="e">
        <f>EXP(-LN(2)/25)*EW189+(1-EXP(-LN(2)/25))/(LN(2)/25)*Calculateur!ER190*Calculateur!ET190*VLOOKUP('Données projet'!$B$15,Paramètres!$A$1:$I$88,3,0)*0.475*44/12</f>
        <v>#N/A</v>
      </c>
      <c r="EX190" s="23" t="e">
        <f>EXP(-LN(2)/2)*EX189+(1-EXP(-LN(2)/2))/(LN(2)/2)*ER190*EU190*VLOOKUP('Données projet'!$B$15,Paramètres!$A$1:$I$88,3,0)*0.475*44/12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69.668274115311746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projet'!$B$16,Paramètres!$A$1:$I$88,3,0)*VLOOKUP('Données projet'!$B$16,Paramètres!$A$1:$I$88,5,0)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projet'!$B$16,Paramètres!$A$1:$I$88,7,0))</f>
        <v>0</v>
      </c>
      <c r="FO190" s="17">
        <f>IF(ISNA(VLOOKUP(A190,'Données projet'!$A$217:$I$237,6,0)),0%,VLOOKUP(A190,'Données projet'!$A$217:$I$237,6,0)*VLOOKUP('Données projet'!$B$16,Paramètres!$A$1:$I$88,7,0))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projet'!$B$16,Paramètres!$A$1:$I$88,3,0)*0.475*44/12</f>
        <v>#N/A</v>
      </c>
      <c r="FR190" s="23" t="e">
        <f>EXP(-LN(2)/25)*FR189+(1-EXP(-LN(2)/25))/(LN(2)/25)*Calculateur!FM190*Calculateur!FO190*VLOOKUP('Données projet'!$B$16,Paramètres!$A$1:$I$88,3,0)*0.475*44/12</f>
        <v>#N/A</v>
      </c>
      <c r="FS190" s="23" t="e">
        <f>EXP(-LN(2)/2)*FS189+(1-EXP(-LN(2)/2))/(LN(2)/2)*FM190*FP190*VLOOKUP('Données projet'!$B$16,Paramètres!$A$1:$I$88,3,0)*0.475*44/12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69.668274115311746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projet'!$B$17,Paramètres!$A$1:$I$88,3,0)*VLOOKUP('Données projet'!$B$17,Paramètres!$A$1:$I$88,5,0)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projet'!$B$17,Paramètres!$A$1:$I$88,7,0))</f>
        <v>0</v>
      </c>
      <c r="GJ190" s="17">
        <f>IF(ISNA(VLOOKUP(A190,'Données projet'!$A$243:$I$263,6,0)),0%,VLOOKUP(A190,'Données projet'!$A$243:$I$263,6,0)*VLOOKUP('Données projet'!$B$17,Paramètres!$A$1:$I$88,7,0))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projet'!$B$17,Paramètres!$A$1:$I$88,3,0)*0.475*44/12</f>
        <v>#N/A</v>
      </c>
      <c r="GM190" s="23" t="e">
        <f>EXP(-LN(2)/25)*GM189+(1-EXP(-LN(2)/25))/(LN(2)/25)*Calculateur!GH190*Calculateur!GJ190*VLOOKUP('Données projet'!$B$17,Paramètres!$A$1:$I$88,3,0)*0.475*44/12</f>
        <v>#N/A</v>
      </c>
      <c r="GN190" s="23" t="e">
        <f>EXP(-LN(2)/2)*GN189+(1-EXP(-LN(2)/2))/(LN(2)/2)*GH190*GK190*VLOOKUP('Données projet'!$B$17,Paramètres!$A$1:$I$88,3,0)*0.475*44/12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69.668274115311746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projet'!$B$18,Paramètres!$A$1:$I$88,3,0)*VLOOKUP('Données projet'!$B$18,Paramètres!$A$1:$I$88,5,0)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projet'!$B$18,Paramètres!$A$1:$I$88,7,0))</f>
        <v>0</v>
      </c>
      <c r="HE190" s="17">
        <f>IF(ISNA(VLOOKUP(A190,'Données projet'!$A$269:$I$289,6,0)),0%,VLOOKUP(A190,'Données projet'!$A$269:$I$289,6,0)*VLOOKUP('Données projet'!$B$18,Paramètres!$A$1:$I$88,7,0))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projet'!$B$18,Paramètres!$A$1:$I$88,3,0)*0.475*44/12</f>
        <v>#N/A</v>
      </c>
      <c r="HH190" s="23" t="e">
        <f>EXP(-LN(2)/25)*HH189+(1-EXP(-LN(2)/25))/(LN(2)/25)*Calculateur!HC190*Calculateur!HE190*VLOOKUP('Données projet'!$B$18,Paramètres!$A$1:$I$88,3,0)*0.475*44/12</f>
        <v>#N/A</v>
      </c>
      <c r="HI190" s="23" t="e">
        <f>EXP(-LN(2)/2)*HI189+(1-EXP(-LN(2)/2))/(LN(2)/2)*HC190*HF190*VLOOKUP('Données projet'!$B$18,Paramètres!$A$1:$I$88,3,0)*0.475*44/12</f>
        <v>#N/A</v>
      </c>
      <c r="HJ190" s="24" t="e">
        <f t="shared" si="190"/>
        <v>#N/A</v>
      </c>
    </row>
    <row r="191" spans="1:218" x14ac:dyDescent="0.35">
      <c r="A191" s="11">
        <f t="shared" si="161"/>
        <v>188</v>
      </c>
      <c r="B191" s="77">
        <f>'Scénario référence'!$B$16*5+'Scénario référence'!$B$17*0+'Scénario référence'!$B$18*5</f>
        <v>1.75</v>
      </c>
      <c r="C191" s="20">
        <f>Calculateur!C190+'Scénario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91" s="12">
        <f t="shared" si="140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6.416666666666667</v>
      </c>
      <c r="H191" s="70">
        <f t="shared" si="110"/>
        <v>231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69.67402881778311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3.4106051316484809E-13</v>
      </c>
      <c r="O191" s="14">
        <f>N191*VLOOKUP('Données projet'!$B$9,Paramètres!$A$1:$I$88,3,0)*VLOOKUP('Données projet'!$B$9,Paramètres!$A$1:$I$88,5,0)</f>
        <v>1.9065282685915009E-13</v>
      </c>
      <c r="P191" s="14">
        <f t="shared" si="141"/>
        <v>2.6568987209435707E-12</v>
      </c>
      <c r="Q191" s="22">
        <f t="shared" si="162"/>
        <v>4.959485612423072E-12</v>
      </c>
      <c r="R191" s="62">
        <f t="shared" si="109"/>
        <v>292.13810566520965</v>
      </c>
      <c r="S191" s="62">
        <f ca="1">AVERAGE(OFFSET($R$3,0,0,'Données projet'!$E$9+1,1))-AVERAGE(OFFSET($H$3,0,0,'Données projet'!$E$9+1,1))</f>
        <v>341.05096821796769</v>
      </c>
      <c r="T191" s="62">
        <f t="shared" si="142"/>
        <v>400.72519822215168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projet'!$B$9,Paramètres!$A$1:$I$88,7,0))</f>
        <v>0</v>
      </c>
      <c r="X191" s="17">
        <f>IF(ISNA(VLOOKUP(A191,'Données projet'!$A$35:$I$55,6,0)),0%,VLOOKUP(A191,'Données projet'!$A$35:$I$55,6,0)*VLOOKUP('Données projet'!$B$9,Paramètres!$A$1:$I$88,7,0))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projet'!$B$9,Paramètres!$A$1:$I$88,3,0)*0.475*44/12</f>
        <v>18.994297195502888</v>
      </c>
      <c r="AA191" s="23">
        <f>EXP(-LN(2)/25)*AA190+(1-EXP(-LN(2)/25))/(LN(2)/25)*Calculateur!V191*Calculateur!X191*VLOOKUP('Données projet'!$B$9,Paramètres!$A$1:$I$88,3,0)*0.475*44/12</f>
        <v>3.8108527156201113</v>
      </c>
      <c r="AB191" s="23">
        <f>EXP(-LN(2)/2)*AB190+(1-EXP(-LN(2)/2))/(LN(2)/2)*V191*Y191*VLOOKUP('Données projet'!$B$9,Paramètres!$A$1:$I$88,3,0)*0.475*44/12</f>
        <v>0</v>
      </c>
      <c r="AC191" s="24">
        <f t="shared" si="163"/>
        <v>22.805149911122999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69.67402881778311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5.6843418860808015E-14</v>
      </c>
      <c r="AJ191" s="14">
        <f>AI191*VLOOKUP('Données projet'!$B$10,Paramètres!$A$1:$I$88,3,0)*VLOOKUP('Données projet'!$B$10,Paramètres!$A$1:$I$88,5,0)</f>
        <v>3.3992364478763198E-14</v>
      </c>
      <c r="AK191" s="14">
        <f t="shared" si="164"/>
        <v>5.790027782444094E-13</v>
      </c>
      <c r="AL191" s="22">
        <f t="shared" si="165"/>
        <v>1.0676332069095257E-12</v>
      </c>
      <c r="AM191" s="62">
        <f t="shared" si="113"/>
        <v>292.13810566520579</v>
      </c>
      <c r="AN191" s="62">
        <f ca="1">AVERAGE(OFFSET($AM$3,0,0,'Données projet'!$E$10+1,1))-AVERAGE(OFFSET($H$3,0,0,'Données projet'!$E$10+1,1))</f>
        <v>231.96474801342879</v>
      </c>
      <c r="AO191" s="62">
        <f t="shared" si="144"/>
        <v>237.75726086383668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projet'!$B$10,Paramètres!$A$1:$I$88,7,0))</f>
        <v>0</v>
      </c>
      <c r="AS191" s="17">
        <f>IF(ISNA(VLOOKUP(A191,'Données projet'!$A$61:$I$81,6,0)),0%,VLOOKUP(A191,'Données projet'!$A$61:$I$81,6,0)*VLOOKUP('Données projet'!$B$10,Paramètres!$A$1:$I$88,7,0))</f>
        <v>0</v>
      </c>
      <c r="AT191" s="17">
        <f>IF(ISNA(VLOOKUP(A191,'Données projet'!$A$61:$I$81,7,0)),0%,VLOOKUP(A191,'Données projet'!$A$61:$I$81,7,0))</f>
        <v>0</v>
      </c>
      <c r="AU191" s="23">
        <f>EXP(-LN(2)/35)*AU190+(1-EXP(-LN(2)/35))/(LN(2)/35)*AQ191*AR191*VLOOKUP('Données projet'!$B$10,Paramètres!$A$1:$I$88,3,0)*0.475*44/12</f>
        <v>7.4903921948920278</v>
      </c>
      <c r="AV191" s="23">
        <f>EXP(-LN(2)/25)*AV190+(1-EXP(-LN(2)/25))/(LN(2)/25)*Calculateur!AQ191*Calculateur!AS191*VLOOKUP('Données projet'!$B$10,Paramètres!$A$1:$I$88,3,0)*0.475*44/12</f>
        <v>1.6092267498975943</v>
      </c>
      <c r="AW191" s="23">
        <f>EXP(-LN(2)/2)*AW190+(1-EXP(-LN(2)/2))/(LN(2)/2)*AQ191*AT191*VLOOKUP('Données projet'!$B$10,Paramètres!$A$1:$I$88,3,0)*0.475*44/12</f>
        <v>0</v>
      </c>
      <c r="AX191" s="23">
        <f t="shared" si="166"/>
        <v>9.0996189447896221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69.67402881778311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6.8212102632969618E-13</v>
      </c>
      <c r="BE191" s="14">
        <f>BD191*VLOOKUP('Données projet'!$B$11,Paramètres!$A$1:$I$88,3,0)*VLOOKUP('Données projet'!$B$11,Paramètres!$A$1:$I$88,5,0)</f>
        <v>3.1923264032229784E-13</v>
      </c>
      <c r="BF191" s="14">
        <f t="shared" si="167"/>
        <v>4.1896839804541558E-12</v>
      </c>
      <c r="BG191" s="22">
        <f t="shared" si="168"/>
        <v>7.8530297811856558E-12</v>
      </c>
      <c r="BH191" s="62">
        <f t="shared" si="116"/>
        <v>292.13810566521255</v>
      </c>
      <c r="BI191" s="62">
        <f ca="1">AVERAGE(OFFSET($BH$3,0,0,'Données projet'!$E$11+1,1))-AVERAGE(OFFSET($H$3,0,0,'Données projet'!$E$11+1,1))</f>
        <v>364.96458059055169</v>
      </c>
      <c r="BJ191" s="62">
        <f t="shared" si="146"/>
        <v>246.27159120786257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projet'!$B$11,Paramètres!$A$1:$I$88,7,0))</f>
        <v>0</v>
      </c>
      <c r="BN191" s="17">
        <f>IF(ISNA(VLOOKUP(A191,'Données projet'!$A$87:$I$107,6,0)),0%,VLOOKUP(A191,'Données projet'!$A$87:$I$107,6,0)*VLOOKUP('Données projet'!$B$11,Paramètres!$A$1:$I$88,7,0))</f>
        <v>0</v>
      </c>
      <c r="BO191" s="17">
        <f>IF(ISNA(VLOOKUP(A191,'Données projet'!$A$87:$I$107,7,0)),0%,VLOOKUP(A191,'Données projet'!$A$87:$I$107,7,0))</f>
        <v>0</v>
      </c>
      <c r="BP191" s="23">
        <f>EXP(-LN(2)/35)*BP190+(1-EXP(-LN(2)/35))/(LN(2)/35)*BL191*BM191*VLOOKUP('Données projet'!$B$11,Paramètres!$A$1:$I$88,3,0)*0.475*44/12</f>
        <v>41.669428370986189</v>
      </c>
      <c r="BQ191" s="23">
        <f>EXP(-LN(2)/25)*BQ190+(1-EXP(-LN(2)/25))/(LN(2)/25)*Calculateur!BL191*Calculateur!BN191*VLOOKUP('Données projet'!$B$11,Paramètres!$A$1:$I$88,3,0)*0.475*44/12</f>
        <v>8.7869395520122922</v>
      </c>
      <c r="BR191" s="23">
        <f>EXP(-LN(2)/2)*BR190+(1-EXP(-LN(2)/2))/(LN(2)/2)*BL191*BO191*VLOOKUP('Données projet'!$B$11,Paramètres!$A$1:$I$88,3,0)*0.475*44/12</f>
        <v>0</v>
      </c>
      <c r="BS191" s="24">
        <f t="shared" si="169"/>
        <v>50.456367922998481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69.67402881778311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-1.1368683772161603E-13</v>
      </c>
      <c r="BZ191" s="14">
        <f>BY191*VLOOKUP('Données projet'!$B$12,Paramètres!$A$1:$I$88,3,0)*VLOOKUP('Données projet'!$B$12,Paramètres!$A$1:$I$88,5,0)</f>
        <v>-1.1527845344971866E-13</v>
      </c>
      <c r="CA191" s="14" t="e">
        <f t="shared" si="170"/>
        <v>#NUM!</v>
      </c>
      <c r="CB191" s="22" t="e">
        <f t="shared" si="171"/>
        <v>#NUM!</v>
      </c>
      <c r="CC191" s="62" t="e">
        <f t="shared" si="119"/>
        <v>#NUM!</v>
      </c>
      <c r="CD191" s="62">
        <f ca="1">AVERAGE(OFFSET($CC$3,0,0,'Données projet'!$E$12+1,1))-AVERAGE(OFFSET($H$3,0,0,'Données projet'!$E$12+1,1))</f>
        <v>310.53598044763282</v>
      </c>
      <c r="CE191" s="62">
        <f t="shared" si="148"/>
        <v>322.01096634040596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projet'!$B$12,Paramètres!$A$1:$I$88,7,0))</f>
        <v>0</v>
      </c>
      <c r="CI191" s="17">
        <f>IF(ISNA(VLOOKUP(A191,'Données projet'!$A$113:$I$133,6,0)),0%,VLOOKUP(A191,'Données projet'!$A$113:$I$133,6,0)*VLOOKUP('Données projet'!$B$12,Paramètres!$A$1:$I$88,7,0))</f>
        <v>0</v>
      </c>
      <c r="CJ191" s="17">
        <f>IF(ISNA(VLOOKUP(A191,'Données projet'!$A$113:$I$133,7,0)),0%,VLOOKUP(A191,'Données projet'!$A$113:$I$133,7,0))</f>
        <v>0</v>
      </c>
      <c r="CK191" s="23">
        <f>EXP(-LN(2)/35)*CK190+(1-EXP(-LN(2)/35))/(LN(2)/35)*CG191*CH191*VLOOKUP('Données projet'!$B$12,Paramètres!$A$1:$I$88,3,0)*0.475*44/12</f>
        <v>5.7310617145158051</v>
      </c>
      <c r="CL191" s="23">
        <f>EXP(-LN(2)/25)*CL190+(1-EXP(-LN(2)/25))/(LN(2)/25)*Calculateur!CG191*Calculateur!CI191*VLOOKUP('Données projet'!$B$12,Paramètres!$A$1:$I$88,3,0)*0.475*44/12</f>
        <v>0</v>
      </c>
      <c r="CM191" s="23">
        <f>EXP(-LN(2)/2)*CM190+(1-EXP(-LN(2)/2))/(LN(2)/2)*CG191*CJ191*VLOOKUP('Données projet'!$B$12,Paramètres!$A$1:$I$88,3,0)*0.475*44/12</f>
        <v>0</v>
      </c>
      <c r="CN191" s="24">
        <f t="shared" si="172"/>
        <v>5.7310617145158051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69.67402881778311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projet'!$B$13,Paramètres!$A$1:$I$88,3,0)*VLOOKUP('Données projet'!$B$13,Paramètres!$A$1:$I$88,5,0)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projet'!$B$13,Paramètres!$A$1:$I$88,7,0))</f>
        <v>0</v>
      </c>
      <c r="DD191" s="17">
        <f>IF(ISNA(VLOOKUP(A191,'Données projet'!$A$139:$I$159,6,0)),0%,VLOOKUP(A191,'Données projet'!$A$139:$I$159,6,0)*VLOOKUP('Données projet'!$B$13,Paramètres!$A$1:$I$88,7,0))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projet'!$B$13,Paramètres!$A$1:$I$88,3,0)*0.475*44/12</f>
        <v>#N/A</v>
      </c>
      <c r="DG191" s="23" t="e">
        <f>EXP(-LN(2)/25)*DG190+(1-EXP(-LN(2)/25))/(LN(2)/25)*Calculateur!DB191*Calculateur!DD191*VLOOKUP('Données projet'!$B$13,Paramètres!$A$1:$I$88,3,0)*0.475*44/12</f>
        <v>#N/A</v>
      </c>
      <c r="DH191" s="23" t="e">
        <f>EXP(-LN(2)/2)*DH190+(1-EXP(-LN(2)/2))/(LN(2)/2)*DB191*DE191*VLOOKUP('Données projet'!$B$13,Paramètres!$A$1:$I$88,3,0)*0.475*44/12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69.67402881778311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projet'!$B$14,Paramètres!$A$1:$I$88,3,0)*VLOOKUP('Données projet'!$B$14,Paramètres!$A$1:$I$88,5,0)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projet'!$B$14,Paramètres!$A$1:$I$88,7,0))</f>
        <v>0</v>
      </c>
      <c r="DY191" s="17">
        <f>IF(ISNA(VLOOKUP(A191,'Données projet'!$A$165:$I$185,6,0)),0%,VLOOKUP(A191,'Données projet'!$A$165:$I$185,6,0)*VLOOKUP('Données projet'!$B$14,Paramètres!$A$1:$I$88,7,0))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projet'!$B$14,Paramètres!$A$1:$I$88,3,0)*0.475*44/12</f>
        <v>#N/A</v>
      </c>
      <c r="EB191" s="23" t="e">
        <f>EXP(-LN(2)/25)*EB190+(1-EXP(-LN(2)/25))/(LN(2)/25)*Calculateur!DW191*Calculateur!DY191*VLOOKUP('Données projet'!$B$14,Paramètres!$A$1:$I$88,3,0)*0.475*44/12</f>
        <v>#N/A</v>
      </c>
      <c r="EC191" s="23" t="e">
        <f>EXP(-LN(2)/2)*EC190+(1-EXP(-LN(2)/2))/(LN(2)/2)*DW191*DZ191*VLOOKUP('Données projet'!$B$14,Paramètres!$A$1:$I$88,3,0)*0.475*44/12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69.67402881778311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projet'!$B$15,Paramètres!$A$1:$I$88,3,0)*VLOOKUP('Données projet'!$B$15,Paramètres!$A$1:$I$88,5,0)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projet'!$B$15,Paramètres!$A$1:$I$88,7,0))</f>
        <v>0</v>
      </c>
      <c r="ET191" s="17">
        <f>IF(ISNA(VLOOKUP(A191,'Données projet'!$A$191:$I$211,6,0)),0%,VLOOKUP(A191,'Données projet'!$A$191:$I$211,6,0)*VLOOKUP('Données projet'!$B$15,Paramètres!$A$1:$I$88,7,0))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projet'!$B$15,Paramètres!$A$1:$I$88,3,0)*0.475*44/12</f>
        <v>#N/A</v>
      </c>
      <c r="EW191" s="23" t="e">
        <f>EXP(-LN(2)/25)*EW190+(1-EXP(-LN(2)/25))/(LN(2)/25)*Calculateur!ER191*Calculateur!ET191*VLOOKUP('Données projet'!$B$15,Paramètres!$A$1:$I$88,3,0)*0.475*44/12</f>
        <v>#N/A</v>
      </c>
      <c r="EX191" s="23" t="e">
        <f>EXP(-LN(2)/2)*EX190+(1-EXP(-LN(2)/2))/(LN(2)/2)*ER191*EU191*VLOOKUP('Données projet'!$B$15,Paramètres!$A$1:$I$88,3,0)*0.475*44/12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69.67402881778311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projet'!$B$16,Paramètres!$A$1:$I$88,3,0)*VLOOKUP('Données projet'!$B$16,Paramètres!$A$1:$I$88,5,0)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projet'!$B$16,Paramètres!$A$1:$I$88,7,0))</f>
        <v>0</v>
      </c>
      <c r="FO191" s="17">
        <f>IF(ISNA(VLOOKUP(A191,'Données projet'!$A$217:$I$237,6,0)),0%,VLOOKUP(A191,'Données projet'!$A$217:$I$237,6,0)*VLOOKUP('Données projet'!$B$16,Paramètres!$A$1:$I$88,7,0))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projet'!$B$16,Paramètres!$A$1:$I$88,3,0)*0.475*44/12</f>
        <v>#N/A</v>
      </c>
      <c r="FR191" s="23" t="e">
        <f>EXP(-LN(2)/25)*FR190+(1-EXP(-LN(2)/25))/(LN(2)/25)*Calculateur!FM191*Calculateur!FO191*VLOOKUP('Données projet'!$B$16,Paramètres!$A$1:$I$88,3,0)*0.475*44/12</f>
        <v>#N/A</v>
      </c>
      <c r="FS191" s="23" t="e">
        <f>EXP(-LN(2)/2)*FS190+(1-EXP(-LN(2)/2))/(LN(2)/2)*FM191*FP191*VLOOKUP('Données projet'!$B$16,Paramètres!$A$1:$I$88,3,0)*0.475*44/12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69.67402881778311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projet'!$B$17,Paramètres!$A$1:$I$88,3,0)*VLOOKUP('Données projet'!$B$17,Paramètres!$A$1:$I$88,5,0)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projet'!$B$17,Paramètres!$A$1:$I$88,7,0))</f>
        <v>0</v>
      </c>
      <c r="GJ191" s="17">
        <f>IF(ISNA(VLOOKUP(A191,'Données projet'!$A$243:$I$263,6,0)),0%,VLOOKUP(A191,'Données projet'!$A$243:$I$263,6,0)*VLOOKUP('Données projet'!$B$17,Paramètres!$A$1:$I$88,7,0))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projet'!$B$17,Paramètres!$A$1:$I$88,3,0)*0.475*44/12</f>
        <v>#N/A</v>
      </c>
      <c r="GM191" s="23" t="e">
        <f>EXP(-LN(2)/25)*GM190+(1-EXP(-LN(2)/25))/(LN(2)/25)*Calculateur!GH191*Calculateur!GJ191*VLOOKUP('Données projet'!$B$17,Paramètres!$A$1:$I$88,3,0)*0.475*44/12</f>
        <v>#N/A</v>
      </c>
      <c r="GN191" s="23" t="e">
        <f>EXP(-LN(2)/2)*GN190+(1-EXP(-LN(2)/2))/(LN(2)/2)*GH191*GK191*VLOOKUP('Données projet'!$B$17,Paramètres!$A$1:$I$88,3,0)*0.475*44/12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69.67402881778311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projet'!$B$18,Paramètres!$A$1:$I$88,3,0)*VLOOKUP('Données projet'!$B$18,Paramètres!$A$1:$I$88,5,0)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projet'!$B$18,Paramètres!$A$1:$I$88,7,0))</f>
        <v>0</v>
      </c>
      <c r="HE191" s="17">
        <f>IF(ISNA(VLOOKUP(A191,'Données projet'!$A$269:$I$289,6,0)),0%,VLOOKUP(A191,'Données projet'!$A$269:$I$289,6,0)*VLOOKUP('Données projet'!$B$18,Paramètres!$A$1:$I$88,7,0))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projet'!$B$18,Paramètres!$A$1:$I$88,3,0)*0.475*44/12</f>
        <v>#N/A</v>
      </c>
      <c r="HH191" s="23" t="e">
        <f>EXP(-LN(2)/25)*HH190+(1-EXP(-LN(2)/25))/(LN(2)/25)*Calculateur!HC191*Calculateur!HE191*VLOOKUP('Données projet'!$B$18,Paramètres!$A$1:$I$88,3,0)*0.475*44/12</f>
        <v>#N/A</v>
      </c>
      <c r="HI191" s="23" t="e">
        <f>EXP(-LN(2)/2)*HI190+(1-EXP(-LN(2)/2))/(LN(2)/2)*HC191*HF191*VLOOKUP('Données projet'!$B$18,Paramètres!$A$1:$I$88,3,0)*0.475*44/12</f>
        <v>#N/A</v>
      </c>
      <c r="HJ191" s="24" t="e">
        <f t="shared" si="190"/>
        <v>#N/A</v>
      </c>
    </row>
    <row r="192" spans="1:218" x14ac:dyDescent="0.35">
      <c r="A192" s="11">
        <f t="shared" si="161"/>
        <v>189</v>
      </c>
      <c r="B192" s="77">
        <f>'Scénario référence'!$B$16*5+'Scénario référence'!$B$17*0+'Scénario référence'!$B$18*5</f>
        <v>1.75</v>
      </c>
      <c r="C192" s="20">
        <f>Calculateur!C191+'Scénario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92" s="12">
        <f t="shared" si="140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6.416666666666667</v>
      </c>
      <c r="H192" s="70">
        <f t="shared" si="110"/>
        <v>231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69.679683689032188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3.4106051316484809E-13</v>
      </c>
      <c r="O192" s="14">
        <f>N192*VLOOKUP('Données projet'!$B$9,Paramètres!$A$1:$I$88,3,0)*VLOOKUP('Données projet'!$B$9,Paramètres!$A$1:$I$88,5,0)</f>
        <v>1.9065282685915009E-13</v>
      </c>
      <c r="P192" s="14">
        <f t="shared" si="141"/>
        <v>2.6568987209435707E-12</v>
      </c>
      <c r="Q192" s="22">
        <f t="shared" si="162"/>
        <v>4.959485612423072E-12</v>
      </c>
      <c r="R192" s="62">
        <f t="shared" si="109"/>
        <v>292.15884019312296</v>
      </c>
      <c r="S192" s="62">
        <f ca="1">AVERAGE(OFFSET($R$3,0,0,'Données projet'!$E$9+1,1))-AVERAGE(OFFSET($H$3,0,0,'Données projet'!$E$9+1,1))</f>
        <v>341.05096821796769</v>
      </c>
      <c r="T192" s="62">
        <f t="shared" si="142"/>
        <v>400.72519822215168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projet'!$B$9,Paramètres!$A$1:$I$88,7,0))</f>
        <v>0</v>
      </c>
      <c r="X192" s="17">
        <f>IF(ISNA(VLOOKUP(A192,'Données projet'!$A$35:$I$55,6,0)),0%,VLOOKUP(A192,'Données projet'!$A$35:$I$55,6,0)*VLOOKUP('Données projet'!$B$9,Paramètres!$A$1:$I$88,7,0))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projet'!$B$9,Paramètres!$A$1:$I$88,3,0)*0.475*44/12</f>
        <v>18.621830612876405</v>
      </c>
      <c r="AA192" s="23">
        <f>EXP(-LN(2)/25)*AA191+(1-EXP(-LN(2)/25))/(LN(2)/25)*Calculateur!V192*Calculateur!X192*VLOOKUP('Données projet'!$B$9,Paramètres!$A$1:$I$88,3,0)*0.475*44/12</f>
        <v>3.7066447477074447</v>
      </c>
      <c r="AB192" s="23">
        <f>EXP(-LN(2)/2)*AB191+(1-EXP(-LN(2)/2))/(LN(2)/2)*V192*Y192*VLOOKUP('Données projet'!$B$9,Paramètres!$A$1:$I$88,3,0)*0.475*44/12</f>
        <v>0</v>
      </c>
      <c r="AC192" s="24">
        <f t="shared" si="163"/>
        <v>22.328475360583848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69.679683689032188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5.6843418860808015E-14</v>
      </c>
      <c r="AJ192" s="14">
        <f>AI192*VLOOKUP('Données projet'!$B$10,Paramètres!$A$1:$I$88,3,0)*VLOOKUP('Données projet'!$B$10,Paramètres!$A$1:$I$88,5,0)</f>
        <v>3.3992364478763198E-14</v>
      </c>
      <c r="AK192" s="14">
        <f t="shared" si="164"/>
        <v>5.790027782444094E-13</v>
      </c>
      <c r="AL192" s="22">
        <f t="shared" si="165"/>
        <v>1.0676332069095257E-12</v>
      </c>
      <c r="AM192" s="62">
        <f t="shared" si="113"/>
        <v>292.15884019311909</v>
      </c>
      <c r="AN192" s="62">
        <f ca="1">AVERAGE(OFFSET($AM$3,0,0,'Données projet'!$E$10+1,1))-AVERAGE(OFFSET($H$3,0,0,'Données projet'!$E$10+1,1))</f>
        <v>231.96474801342879</v>
      </c>
      <c r="AO192" s="62">
        <f t="shared" si="144"/>
        <v>237.75726086383668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projet'!$B$10,Paramètres!$A$1:$I$88,7,0))</f>
        <v>0</v>
      </c>
      <c r="AS192" s="17">
        <f>IF(ISNA(VLOOKUP(A192,'Données projet'!$A$61:$I$81,6,0)),0%,VLOOKUP(A192,'Données projet'!$A$61:$I$81,6,0)*VLOOKUP('Données projet'!$B$10,Paramètres!$A$1:$I$88,7,0))</f>
        <v>0</v>
      </c>
      <c r="AT192" s="17">
        <f>IF(ISNA(VLOOKUP(A192,'Données projet'!$A$61:$I$81,7,0)),0%,VLOOKUP(A192,'Données projet'!$A$61:$I$81,7,0))</f>
        <v>0</v>
      </c>
      <c r="AU192" s="23">
        <f>EXP(-LN(2)/35)*AU191+(1-EXP(-LN(2)/35))/(LN(2)/35)*AQ192*AR192*VLOOKUP('Données projet'!$B$10,Paramètres!$A$1:$I$88,3,0)*0.475*44/12</f>
        <v>7.3435101726383136</v>
      </c>
      <c r="AV192" s="23">
        <f>EXP(-LN(2)/25)*AV191+(1-EXP(-LN(2)/25))/(LN(2)/25)*Calculateur!AQ192*Calculateur!AS192*VLOOKUP('Données projet'!$B$10,Paramètres!$A$1:$I$88,3,0)*0.475*44/12</f>
        <v>1.5652223597960877</v>
      </c>
      <c r="AW192" s="23">
        <f>EXP(-LN(2)/2)*AW191+(1-EXP(-LN(2)/2))/(LN(2)/2)*AQ192*AT192*VLOOKUP('Données projet'!$B$10,Paramètres!$A$1:$I$88,3,0)*0.475*44/12</f>
        <v>0</v>
      </c>
      <c r="AX192" s="23">
        <f t="shared" si="166"/>
        <v>8.9087325324344011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69.679683689032188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6.8212102632969618E-13</v>
      </c>
      <c r="BE192" s="14">
        <f>BD192*VLOOKUP('Données projet'!$B$11,Paramètres!$A$1:$I$88,3,0)*VLOOKUP('Données projet'!$B$11,Paramètres!$A$1:$I$88,5,0)</f>
        <v>3.1923264032229784E-13</v>
      </c>
      <c r="BF192" s="14">
        <f t="shared" si="167"/>
        <v>4.1896839804541558E-12</v>
      </c>
      <c r="BG192" s="22">
        <f t="shared" si="168"/>
        <v>7.8530297811856558E-12</v>
      </c>
      <c r="BH192" s="62">
        <f t="shared" si="116"/>
        <v>292.15884019312585</v>
      </c>
      <c r="BI192" s="62">
        <f ca="1">AVERAGE(OFFSET($BH$3,0,0,'Données projet'!$E$11+1,1))-AVERAGE(OFFSET($H$3,0,0,'Données projet'!$E$11+1,1))</f>
        <v>364.96458059055169</v>
      </c>
      <c r="BJ192" s="62">
        <f t="shared" si="146"/>
        <v>246.27159120786257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projet'!$B$11,Paramètres!$A$1:$I$88,7,0))</f>
        <v>0</v>
      </c>
      <c r="BN192" s="17">
        <f>IF(ISNA(VLOOKUP(A192,'Données projet'!$A$87:$I$107,6,0)),0%,VLOOKUP(A192,'Données projet'!$A$87:$I$107,6,0)*VLOOKUP('Données projet'!$B$11,Paramètres!$A$1:$I$88,7,0))</f>
        <v>0</v>
      </c>
      <c r="BO192" s="17">
        <f>IF(ISNA(VLOOKUP(A192,'Données projet'!$A$87:$I$107,7,0)),0%,VLOOKUP(A192,'Données projet'!$A$87:$I$107,7,0))</f>
        <v>0</v>
      </c>
      <c r="BP192" s="23">
        <f>EXP(-LN(2)/35)*BP191+(1-EXP(-LN(2)/35))/(LN(2)/35)*BL192*BM192*VLOOKUP('Données projet'!$B$11,Paramètres!$A$1:$I$88,3,0)*0.475*44/12</f>
        <v>40.85231629647285</v>
      </c>
      <c r="BQ192" s="23">
        <f>EXP(-LN(2)/25)*BQ191+(1-EXP(-LN(2)/25))/(LN(2)/25)*Calculateur!BL192*Calculateur!BN192*VLOOKUP('Données projet'!$B$11,Paramètres!$A$1:$I$88,3,0)*0.475*44/12</f>
        <v>8.5466602278774477</v>
      </c>
      <c r="BR192" s="23">
        <f>EXP(-LN(2)/2)*BR191+(1-EXP(-LN(2)/2))/(LN(2)/2)*BL192*BO192*VLOOKUP('Données projet'!$B$11,Paramètres!$A$1:$I$88,3,0)*0.475*44/12</f>
        <v>0</v>
      </c>
      <c r="BS192" s="24">
        <f t="shared" si="169"/>
        <v>49.398976524350296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69.679683689032188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-1.1368683772161603E-13</v>
      </c>
      <c r="BZ192" s="14">
        <f>BY192*VLOOKUP('Données projet'!$B$12,Paramètres!$A$1:$I$88,3,0)*VLOOKUP('Données projet'!$B$12,Paramètres!$A$1:$I$88,5,0)</f>
        <v>-1.1527845344971866E-13</v>
      </c>
      <c r="CA192" s="14" t="e">
        <f t="shared" si="170"/>
        <v>#NUM!</v>
      </c>
      <c r="CB192" s="22" t="e">
        <f t="shared" si="171"/>
        <v>#NUM!</v>
      </c>
      <c r="CC192" s="62" t="e">
        <f t="shared" si="119"/>
        <v>#NUM!</v>
      </c>
      <c r="CD192" s="62">
        <f ca="1">AVERAGE(OFFSET($CC$3,0,0,'Données projet'!$E$12+1,1))-AVERAGE(OFFSET($H$3,0,0,'Données projet'!$E$12+1,1))</f>
        <v>310.53598044763282</v>
      </c>
      <c r="CE192" s="62">
        <f t="shared" si="148"/>
        <v>322.01096634040596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projet'!$B$12,Paramètres!$A$1:$I$88,7,0))</f>
        <v>0</v>
      </c>
      <c r="CI192" s="17">
        <f>IF(ISNA(VLOOKUP(A192,'Données projet'!$A$113:$I$133,6,0)),0%,VLOOKUP(A192,'Données projet'!$A$113:$I$133,6,0)*VLOOKUP('Données projet'!$B$12,Paramètres!$A$1:$I$88,7,0))</f>
        <v>0</v>
      </c>
      <c r="CJ192" s="17">
        <f>IF(ISNA(VLOOKUP(A192,'Données projet'!$A$113:$I$133,7,0)),0%,VLOOKUP(A192,'Données projet'!$A$113:$I$133,7,0))</f>
        <v>0</v>
      </c>
      <c r="CK192" s="23">
        <f>EXP(-LN(2)/35)*CK191+(1-EXP(-LN(2)/35))/(LN(2)/35)*CG192*CH192*VLOOKUP('Données projet'!$B$12,Paramètres!$A$1:$I$88,3,0)*0.475*44/12</f>
        <v>5.6186790898966343</v>
      </c>
      <c r="CL192" s="23">
        <f>EXP(-LN(2)/25)*CL191+(1-EXP(-LN(2)/25))/(LN(2)/25)*Calculateur!CG192*Calculateur!CI192*VLOOKUP('Données projet'!$B$12,Paramètres!$A$1:$I$88,3,0)*0.475*44/12</f>
        <v>0</v>
      </c>
      <c r="CM192" s="23">
        <f>EXP(-LN(2)/2)*CM191+(1-EXP(-LN(2)/2))/(LN(2)/2)*CG192*CJ192*VLOOKUP('Données projet'!$B$12,Paramètres!$A$1:$I$88,3,0)*0.475*44/12</f>
        <v>0</v>
      </c>
      <c r="CN192" s="24">
        <f t="shared" si="172"/>
        <v>5.6186790898966343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69.679683689032188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projet'!$B$13,Paramètres!$A$1:$I$88,3,0)*VLOOKUP('Données projet'!$B$13,Paramètres!$A$1:$I$88,5,0)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projet'!$B$13,Paramètres!$A$1:$I$88,7,0))</f>
        <v>0</v>
      </c>
      <c r="DD192" s="17">
        <f>IF(ISNA(VLOOKUP(A192,'Données projet'!$A$139:$I$159,6,0)),0%,VLOOKUP(A192,'Données projet'!$A$139:$I$159,6,0)*VLOOKUP('Données projet'!$B$13,Paramètres!$A$1:$I$88,7,0))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projet'!$B$13,Paramètres!$A$1:$I$88,3,0)*0.475*44/12</f>
        <v>#N/A</v>
      </c>
      <c r="DG192" s="23" t="e">
        <f>EXP(-LN(2)/25)*DG191+(1-EXP(-LN(2)/25))/(LN(2)/25)*Calculateur!DB192*Calculateur!DD192*VLOOKUP('Données projet'!$B$13,Paramètres!$A$1:$I$88,3,0)*0.475*44/12</f>
        <v>#N/A</v>
      </c>
      <c r="DH192" s="23" t="e">
        <f>EXP(-LN(2)/2)*DH191+(1-EXP(-LN(2)/2))/(LN(2)/2)*DB192*DE192*VLOOKUP('Données projet'!$B$13,Paramètres!$A$1:$I$88,3,0)*0.475*44/12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69.679683689032188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projet'!$B$14,Paramètres!$A$1:$I$88,3,0)*VLOOKUP('Données projet'!$B$14,Paramètres!$A$1:$I$88,5,0)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projet'!$B$14,Paramètres!$A$1:$I$88,7,0))</f>
        <v>0</v>
      </c>
      <c r="DY192" s="17">
        <f>IF(ISNA(VLOOKUP(A192,'Données projet'!$A$165:$I$185,6,0)),0%,VLOOKUP(A192,'Données projet'!$A$165:$I$185,6,0)*VLOOKUP('Données projet'!$B$14,Paramètres!$A$1:$I$88,7,0))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projet'!$B$14,Paramètres!$A$1:$I$88,3,0)*0.475*44/12</f>
        <v>#N/A</v>
      </c>
      <c r="EB192" s="23" t="e">
        <f>EXP(-LN(2)/25)*EB191+(1-EXP(-LN(2)/25))/(LN(2)/25)*Calculateur!DW192*Calculateur!DY192*VLOOKUP('Données projet'!$B$14,Paramètres!$A$1:$I$88,3,0)*0.475*44/12</f>
        <v>#N/A</v>
      </c>
      <c r="EC192" s="23" t="e">
        <f>EXP(-LN(2)/2)*EC191+(1-EXP(-LN(2)/2))/(LN(2)/2)*DW192*DZ192*VLOOKUP('Données projet'!$B$14,Paramètres!$A$1:$I$88,3,0)*0.475*44/12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69.679683689032188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projet'!$B$15,Paramètres!$A$1:$I$88,3,0)*VLOOKUP('Données projet'!$B$15,Paramètres!$A$1:$I$88,5,0)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projet'!$B$15,Paramètres!$A$1:$I$88,7,0))</f>
        <v>0</v>
      </c>
      <c r="ET192" s="17">
        <f>IF(ISNA(VLOOKUP(A192,'Données projet'!$A$191:$I$211,6,0)),0%,VLOOKUP(A192,'Données projet'!$A$191:$I$211,6,0)*VLOOKUP('Données projet'!$B$15,Paramètres!$A$1:$I$88,7,0))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projet'!$B$15,Paramètres!$A$1:$I$88,3,0)*0.475*44/12</f>
        <v>#N/A</v>
      </c>
      <c r="EW192" s="23" t="e">
        <f>EXP(-LN(2)/25)*EW191+(1-EXP(-LN(2)/25))/(LN(2)/25)*Calculateur!ER192*Calculateur!ET192*VLOOKUP('Données projet'!$B$15,Paramètres!$A$1:$I$88,3,0)*0.475*44/12</f>
        <v>#N/A</v>
      </c>
      <c r="EX192" s="23" t="e">
        <f>EXP(-LN(2)/2)*EX191+(1-EXP(-LN(2)/2))/(LN(2)/2)*ER192*EU192*VLOOKUP('Données projet'!$B$15,Paramètres!$A$1:$I$88,3,0)*0.475*44/12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69.679683689032188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projet'!$B$16,Paramètres!$A$1:$I$88,3,0)*VLOOKUP('Données projet'!$B$16,Paramètres!$A$1:$I$88,5,0)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projet'!$B$16,Paramètres!$A$1:$I$88,7,0))</f>
        <v>0</v>
      </c>
      <c r="FO192" s="17">
        <f>IF(ISNA(VLOOKUP(A192,'Données projet'!$A$217:$I$237,6,0)),0%,VLOOKUP(A192,'Données projet'!$A$217:$I$237,6,0)*VLOOKUP('Données projet'!$B$16,Paramètres!$A$1:$I$88,7,0))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projet'!$B$16,Paramètres!$A$1:$I$88,3,0)*0.475*44/12</f>
        <v>#N/A</v>
      </c>
      <c r="FR192" s="23" t="e">
        <f>EXP(-LN(2)/25)*FR191+(1-EXP(-LN(2)/25))/(LN(2)/25)*Calculateur!FM192*Calculateur!FO192*VLOOKUP('Données projet'!$B$16,Paramètres!$A$1:$I$88,3,0)*0.475*44/12</f>
        <v>#N/A</v>
      </c>
      <c r="FS192" s="23" t="e">
        <f>EXP(-LN(2)/2)*FS191+(1-EXP(-LN(2)/2))/(LN(2)/2)*FM192*FP192*VLOOKUP('Données projet'!$B$16,Paramètres!$A$1:$I$88,3,0)*0.475*44/12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69.679683689032188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projet'!$B$17,Paramètres!$A$1:$I$88,3,0)*VLOOKUP('Données projet'!$B$17,Paramètres!$A$1:$I$88,5,0)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projet'!$B$17,Paramètres!$A$1:$I$88,7,0))</f>
        <v>0</v>
      </c>
      <c r="GJ192" s="17">
        <f>IF(ISNA(VLOOKUP(A192,'Données projet'!$A$243:$I$263,6,0)),0%,VLOOKUP(A192,'Données projet'!$A$243:$I$263,6,0)*VLOOKUP('Données projet'!$B$17,Paramètres!$A$1:$I$88,7,0))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projet'!$B$17,Paramètres!$A$1:$I$88,3,0)*0.475*44/12</f>
        <v>#N/A</v>
      </c>
      <c r="GM192" s="23" t="e">
        <f>EXP(-LN(2)/25)*GM191+(1-EXP(-LN(2)/25))/(LN(2)/25)*Calculateur!GH192*Calculateur!GJ192*VLOOKUP('Données projet'!$B$17,Paramètres!$A$1:$I$88,3,0)*0.475*44/12</f>
        <v>#N/A</v>
      </c>
      <c r="GN192" s="23" t="e">
        <f>EXP(-LN(2)/2)*GN191+(1-EXP(-LN(2)/2))/(LN(2)/2)*GH192*GK192*VLOOKUP('Données projet'!$B$17,Paramètres!$A$1:$I$88,3,0)*0.475*44/12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69.679683689032188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projet'!$B$18,Paramètres!$A$1:$I$88,3,0)*VLOOKUP('Données projet'!$B$18,Paramètres!$A$1:$I$88,5,0)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projet'!$B$18,Paramètres!$A$1:$I$88,7,0))</f>
        <v>0</v>
      </c>
      <c r="HE192" s="17">
        <f>IF(ISNA(VLOOKUP(A192,'Données projet'!$A$269:$I$289,6,0)),0%,VLOOKUP(A192,'Données projet'!$A$269:$I$289,6,0)*VLOOKUP('Données projet'!$B$18,Paramètres!$A$1:$I$88,7,0))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projet'!$B$18,Paramètres!$A$1:$I$88,3,0)*0.475*44/12</f>
        <v>#N/A</v>
      </c>
      <c r="HH192" s="23" t="e">
        <f>EXP(-LN(2)/25)*HH191+(1-EXP(-LN(2)/25))/(LN(2)/25)*Calculateur!HC192*Calculateur!HE192*VLOOKUP('Données projet'!$B$18,Paramètres!$A$1:$I$88,3,0)*0.475*44/12</f>
        <v>#N/A</v>
      </c>
      <c r="HI192" s="23" t="e">
        <f>EXP(-LN(2)/2)*HI191+(1-EXP(-LN(2)/2))/(LN(2)/2)*HC192*HF192*VLOOKUP('Données projet'!$B$18,Paramètres!$A$1:$I$88,3,0)*0.475*44/12</f>
        <v>#N/A</v>
      </c>
      <c r="HJ192" s="24" t="e">
        <f t="shared" si="190"/>
        <v>#N/A</v>
      </c>
    </row>
    <row r="193" spans="1:218" x14ac:dyDescent="0.35">
      <c r="A193" s="11">
        <f t="shared" si="161"/>
        <v>190</v>
      </c>
      <c r="B193" s="77">
        <f>'Scénario référence'!$B$16*5+'Scénario référence'!$B$17*0+'Scénario référence'!$B$18*5</f>
        <v>1.75</v>
      </c>
      <c r="C193" s="20">
        <f>Calculateur!C192+'Scénario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93" s="12">
        <f t="shared" si="140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6.416666666666667</v>
      </c>
      <c r="H193" s="70">
        <f t="shared" si="110"/>
        <v>231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69.685240460907494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3.4106051316484809E-13</v>
      </c>
      <c r="O193" s="14">
        <f>N193*VLOOKUP('Données projet'!$B$9,Paramètres!$A$1:$I$88,3,0)*VLOOKUP('Données projet'!$B$9,Paramètres!$A$1:$I$88,5,0)</f>
        <v>1.9065282685915009E-13</v>
      </c>
      <c r="P193" s="14">
        <f t="shared" si="141"/>
        <v>2.6568987209435707E-12</v>
      </c>
      <c r="Q193" s="22">
        <f t="shared" si="162"/>
        <v>4.959485612423072E-12</v>
      </c>
      <c r="R193" s="62">
        <f t="shared" si="109"/>
        <v>292.1792150233324</v>
      </c>
      <c r="S193" s="62">
        <f ca="1">AVERAGE(OFFSET($R$3,0,0,'Données projet'!$E$9+1,1))-AVERAGE(OFFSET($H$3,0,0,'Données projet'!$E$9+1,1))</f>
        <v>341.05096821796769</v>
      </c>
      <c r="T193" s="62">
        <f t="shared" si="142"/>
        <v>400.72519822215168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projet'!$B$9,Paramètres!$A$1:$I$88,7,0))</f>
        <v>0</v>
      </c>
      <c r="X193" s="17">
        <f>IF(ISNA(VLOOKUP(A193,'Données projet'!$A$35:$I$55,6,0)),0%,VLOOKUP(A193,'Données projet'!$A$35:$I$55,6,0)*VLOOKUP('Données projet'!$B$9,Paramètres!$A$1:$I$88,7,0))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projet'!$B$9,Paramètres!$A$1:$I$88,3,0)*0.475*44/12</f>
        <v>18.256667872753045</v>
      </c>
      <c r="AA193" s="23">
        <f>EXP(-LN(2)/25)*AA192+(1-EXP(-LN(2)/25))/(LN(2)/25)*Calculateur!V193*Calculateur!X193*VLOOKUP('Données projet'!$B$9,Paramètres!$A$1:$I$88,3,0)*0.475*44/12</f>
        <v>3.605286352157409</v>
      </c>
      <c r="AB193" s="23">
        <f>EXP(-LN(2)/2)*AB192+(1-EXP(-LN(2)/2))/(LN(2)/2)*V193*Y193*VLOOKUP('Données projet'!$B$9,Paramètres!$A$1:$I$88,3,0)*0.475*44/12</f>
        <v>0</v>
      </c>
      <c r="AC193" s="24">
        <f t="shared" si="163"/>
        <v>21.861954224910455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69.685240460907494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5.6843418860808015E-14</v>
      </c>
      <c r="AJ193" s="14">
        <f>AI193*VLOOKUP('Données projet'!$B$10,Paramètres!$A$1:$I$88,3,0)*VLOOKUP('Données projet'!$B$10,Paramètres!$A$1:$I$88,5,0)</f>
        <v>3.3992364478763198E-14</v>
      </c>
      <c r="AK193" s="14">
        <f t="shared" si="164"/>
        <v>5.790027782444094E-13</v>
      </c>
      <c r="AL193" s="22">
        <f t="shared" si="165"/>
        <v>1.0676332069095257E-12</v>
      </c>
      <c r="AM193" s="62">
        <f t="shared" si="113"/>
        <v>292.17921502332854</v>
      </c>
      <c r="AN193" s="62">
        <f ca="1">AVERAGE(OFFSET($AM$3,0,0,'Données projet'!$E$10+1,1))-AVERAGE(OFFSET($H$3,0,0,'Données projet'!$E$10+1,1))</f>
        <v>231.96474801342879</v>
      </c>
      <c r="AO193" s="62">
        <f t="shared" si="144"/>
        <v>237.75726086383668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projet'!$B$10,Paramètres!$A$1:$I$88,7,0))</f>
        <v>0</v>
      </c>
      <c r="AS193" s="17">
        <f>IF(ISNA(VLOOKUP(A193,'Données projet'!$A$61:$I$81,6,0)),0%,VLOOKUP(A193,'Données projet'!$A$61:$I$81,6,0)*VLOOKUP('Données projet'!$B$10,Paramètres!$A$1:$I$88,7,0))</f>
        <v>0</v>
      </c>
      <c r="AT193" s="17">
        <f>IF(ISNA(VLOOKUP(A193,'Données projet'!$A$61:$I$81,7,0)),0%,VLOOKUP(A193,'Données projet'!$A$61:$I$81,7,0))</f>
        <v>0</v>
      </c>
      <c r="AU193" s="23">
        <f>EXP(-LN(2)/35)*AU192+(1-EXP(-LN(2)/35))/(LN(2)/35)*AQ193*AR193*VLOOKUP('Données projet'!$B$10,Paramètres!$A$1:$I$88,3,0)*0.475*44/12</f>
        <v>7.1995084172518071</v>
      </c>
      <c r="AV193" s="23">
        <f>EXP(-LN(2)/25)*AV192+(1-EXP(-LN(2)/25))/(LN(2)/25)*Calculateur!AQ193*Calculateur!AS193*VLOOKUP('Données projet'!$B$10,Paramètres!$A$1:$I$88,3,0)*0.475*44/12</f>
        <v>1.5224212720559971</v>
      </c>
      <c r="AW193" s="23">
        <f>EXP(-LN(2)/2)*AW192+(1-EXP(-LN(2)/2))/(LN(2)/2)*AQ193*AT193*VLOOKUP('Données projet'!$B$10,Paramètres!$A$1:$I$88,3,0)*0.475*44/12</f>
        <v>0</v>
      </c>
      <c r="AX193" s="23">
        <f t="shared" si="166"/>
        <v>8.7219296893078049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69.685240460907494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6.8212102632969618E-13</v>
      </c>
      <c r="BE193" s="14">
        <f>BD193*VLOOKUP('Données projet'!$B$11,Paramètres!$A$1:$I$88,3,0)*VLOOKUP('Données projet'!$B$11,Paramètres!$A$1:$I$88,5,0)</f>
        <v>3.1923264032229784E-13</v>
      </c>
      <c r="BF193" s="14">
        <f t="shared" si="167"/>
        <v>4.1896839804541558E-12</v>
      </c>
      <c r="BG193" s="22">
        <f t="shared" si="168"/>
        <v>7.8530297811856558E-12</v>
      </c>
      <c r="BH193" s="62">
        <f t="shared" si="116"/>
        <v>292.1792150233353</v>
      </c>
      <c r="BI193" s="62">
        <f ca="1">AVERAGE(OFFSET($BH$3,0,0,'Données projet'!$E$11+1,1))-AVERAGE(OFFSET($H$3,0,0,'Données projet'!$E$11+1,1))</f>
        <v>364.96458059055169</v>
      </c>
      <c r="BJ193" s="62">
        <f t="shared" si="146"/>
        <v>246.27159120786257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projet'!$B$11,Paramètres!$A$1:$I$88,7,0))</f>
        <v>0</v>
      </c>
      <c r="BN193" s="17">
        <f>IF(ISNA(VLOOKUP(A193,'Données projet'!$A$87:$I$107,6,0)),0%,VLOOKUP(A193,'Données projet'!$A$87:$I$107,6,0)*VLOOKUP('Données projet'!$B$11,Paramètres!$A$1:$I$88,7,0))</f>
        <v>0</v>
      </c>
      <c r="BO193" s="17">
        <f>IF(ISNA(VLOOKUP(A193,'Données projet'!$A$87:$I$107,7,0)),0%,VLOOKUP(A193,'Données projet'!$A$87:$I$107,7,0))</f>
        <v>0</v>
      </c>
      <c r="BP193" s="23">
        <f>EXP(-LN(2)/35)*BP192+(1-EXP(-LN(2)/35))/(LN(2)/35)*BL193*BM193*VLOOKUP('Données projet'!$B$11,Paramètres!$A$1:$I$88,3,0)*0.475*44/12</f>
        <v>40.051227291351566</v>
      </c>
      <c r="BQ193" s="23">
        <f>EXP(-LN(2)/25)*BQ192+(1-EXP(-LN(2)/25))/(LN(2)/25)*Calculateur!BL193*Calculateur!BN193*VLOOKUP('Données projet'!$B$11,Paramètres!$A$1:$I$88,3,0)*0.475*44/12</f>
        <v>8.3129513544968106</v>
      </c>
      <c r="BR193" s="23">
        <f>EXP(-LN(2)/2)*BR192+(1-EXP(-LN(2)/2))/(LN(2)/2)*BL193*BO193*VLOOKUP('Données projet'!$B$11,Paramètres!$A$1:$I$88,3,0)*0.475*44/12</f>
        <v>0</v>
      </c>
      <c r="BS193" s="24">
        <f t="shared" si="169"/>
        <v>48.364178645848376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69.685240460907494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-1.1368683772161603E-13</v>
      </c>
      <c r="BZ193" s="14">
        <f>BY193*VLOOKUP('Données projet'!$B$12,Paramètres!$A$1:$I$88,3,0)*VLOOKUP('Données projet'!$B$12,Paramètres!$A$1:$I$88,5,0)</f>
        <v>-1.1527845344971866E-13</v>
      </c>
      <c r="CA193" s="14" t="e">
        <f t="shared" si="170"/>
        <v>#NUM!</v>
      </c>
      <c r="CB193" s="22" t="e">
        <f t="shared" si="171"/>
        <v>#NUM!</v>
      </c>
      <c r="CC193" s="62" t="e">
        <f t="shared" si="119"/>
        <v>#NUM!</v>
      </c>
      <c r="CD193" s="62">
        <f ca="1">AVERAGE(OFFSET($CC$3,0,0,'Données projet'!$E$12+1,1))-AVERAGE(OFFSET($H$3,0,0,'Données projet'!$E$12+1,1))</f>
        <v>310.53598044763282</v>
      </c>
      <c r="CE193" s="62">
        <f t="shared" si="148"/>
        <v>322.01096634040596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projet'!$B$12,Paramètres!$A$1:$I$88,7,0))</f>
        <v>0</v>
      </c>
      <c r="CI193" s="17">
        <f>IF(ISNA(VLOOKUP(A193,'Données projet'!$A$113:$I$133,6,0)),0%,VLOOKUP(A193,'Données projet'!$A$113:$I$133,6,0)*VLOOKUP('Données projet'!$B$12,Paramètres!$A$1:$I$88,7,0))</f>
        <v>0</v>
      </c>
      <c r="CJ193" s="17">
        <f>IF(ISNA(VLOOKUP(A193,'Données projet'!$A$113:$I$133,7,0)),0%,VLOOKUP(A193,'Données projet'!$A$113:$I$133,7,0))</f>
        <v>0</v>
      </c>
      <c r="CK193" s="23">
        <f>EXP(-LN(2)/35)*CK192+(1-EXP(-LN(2)/35))/(LN(2)/35)*CG193*CH193*VLOOKUP('Données projet'!$B$12,Paramètres!$A$1:$I$88,3,0)*0.475*44/12</f>
        <v>5.5085002199996129</v>
      </c>
      <c r="CL193" s="23">
        <f>EXP(-LN(2)/25)*CL192+(1-EXP(-LN(2)/25))/(LN(2)/25)*Calculateur!CG193*Calculateur!CI193*VLOOKUP('Données projet'!$B$12,Paramètres!$A$1:$I$88,3,0)*0.475*44/12</f>
        <v>0</v>
      </c>
      <c r="CM193" s="23">
        <f>EXP(-LN(2)/2)*CM192+(1-EXP(-LN(2)/2))/(LN(2)/2)*CG193*CJ193*VLOOKUP('Données projet'!$B$12,Paramètres!$A$1:$I$88,3,0)*0.475*44/12</f>
        <v>0</v>
      </c>
      <c r="CN193" s="24">
        <f t="shared" si="172"/>
        <v>5.5085002199996129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69.685240460907494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projet'!$B$13,Paramètres!$A$1:$I$88,3,0)*VLOOKUP('Données projet'!$B$13,Paramètres!$A$1:$I$88,5,0)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projet'!$B$13,Paramètres!$A$1:$I$88,7,0))</f>
        <v>0</v>
      </c>
      <c r="DD193" s="17">
        <f>IF(ISNA(VLOOKUP(A193,'Données projet'!$A$139:$I$159,6,0)),0%,VLOOKUP(A193,'Données projet'!$A$139:$I$159,6,0)*VLOOKUP('Données projet'!$B$13,Paramètres!$A$1:$I$88,7,0))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projet'!$B$13,Paramètres!$A$1:$I$88,3,0)*0.475*44/12</f>
        <v>#N/A</v>
      </c>
      <c r="DG193" s="23" t="e">
        <f>EXP(-LN(2)/25)*DG192+(1-EXP(-LN(2)/25))/(LN(2)/25)*Calculateur!DB193*Calculateur!DD193*VLOOKUP('Données projet'!$B$13,Paramètres!$A$1:$I$88,3,0)*0.475*44/12</f>
        <v>#N/A</v>
      </c>
      <c r="DH193" s="23" t="e">
        <f>EXP(-LN(2)/2)*DH192+(1-EXP(-LN(2)/2))/(LN(2)/2)*DB193*DE193*VLOOKUP('Données projet'!$B$13,Paramètres!$A$1:$I$88,3,0)*0.475*44/12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69.685240460907494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projet'!$B$14,Paramètres!$A$1:$I$88,3,0)*VLOOKUP('Données projet'!$B$14,Paramètres!$A$1:$I$88,5,0)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projet'!$B$14,Paramètres!$A$1:$I$88,7,0))</f>
        <v>0</v>
      </c>
      <c r="DY193" s="17">
        <f>IF(ISNA(VLOOKUP(A193,'Données projet'!$A$165:$I$185,6,0)),0%,VLOOKUP(A193,'Données projet'!$A$165:$I$185,6,0)*VLOOKUP('Données projet'!$B$14,Paramètres!$A$1:$I$88,7,0))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projet'!$B$14,Paramètres!$A$1:$I$88,3,0)*0.475*44/12</f>
        <v>#N/A</v>
      </c>
      <c r="EB193" s="23" t="e">
        <f>EXP(-LN(2)/25)*EB192+(1-EXP(-LN(2)/25))/(LN(2)/25)*Calculateur!DW193*Calculateur!DY193*VLOOKUP('Données projet'!$B$14,Paramètres!$A$1:$I$88,3,0)*0.475*44/12</f>
        <v>#N/A</v>
      </c>
      <c r="EC193" s="23" t="e">
        <f>EXP(-LN(2)/2)*EC192+(1-EXP(-LN(2)/2))/(LN(2)/2)*DW193*DZ193*VLOOKUP('Données projet'!$B$14,Paramètres!$A$1:$I$88,3,0)*0.475*44/12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69.685240460907494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projet'!$B$15,Paramètres!$A$1:$I$88,3,0)*VLOOKUP('Données projet'!$B$15,Paramètres!$A$1:$I$88,5,0)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projet'!$B$15,Paramètres!$A$1:$I$88,7,0))</f>
        <v>0</v>
      </c>
      <c r="ET193" s="17">
        <f>IF(ISNA(VLOOKUP(A193,'Données projet'!$A$191:$I$211,6,0)),0%,VLOOKUP(A193,'Données projet'!$A$191:$I$211,6,0)*VLOOKUP('Données projet'!$B$15,Paramètres!$A$1:$I$88,7,0))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projet'!$B$15,Paramètres!$A$1:$I$88,3,0)*0.475*44/12</f>
        <v>#N/A</v>
      </c>
      <c r="EW193" s="23" t="e">
        <f>EXP(-LN(2)/25)*EW192+(1-EXP(-LN(2)/25))/(LN(2)/25)*Calculateur!ER193*Calculateur!ET193*VLOOKUP('Données projet'!$B$15,Paramètres!$A$1:$I$88,3,0)*0.475*44/12</f>
        <v>#N/A</v>
      </c>
      <c r="EX193" s="23" t="e">
        <f>EXP(-LN(2)/2)*EX192+(1-EXP(-LN(2)/2))/(LN(2)/2)*ER193*EU193*VLOOKUP('Données projet'!$B$15,Paramètres!$A$1:$I$88,3,0)*0.475*44/12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69.685240460907494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projet'!$B$16,Paramètres!$A$1:$I$88,3,0)*VLOOKUP('Données projet'!$B$16,Paramètres!$A$1:$I$88,5,0)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projet'!$B$16,Paramètres!$A$1:$I$88,7,0))</f>
        <v>0</v>
      </c>
      <c r="FO193" s="17">
        <f>IF(ISNA(VLOOKUP(A193,'Données projet'!$A$217:$I$237,6,0)),0%,VLOOKUP(A193,'Données projet'!$A$217:$I$237,6,0)*VLOOKUP('Données projet'!$B$16,Paramètres!$A$1:$I$88,7,0))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projet'!$B$16,Paramètres!$A$1:$I$88,3,0)*0.475*44/12</f>
        <v>#N/A</v>
      </c>
      <c r="FR193" s="23" t="e">
        <f>EXP(-LN(2)/25)*FR192+(1-EXP(-LN(2)/25))/(LN(2)/25)*Calculateur!FM193*Calculateur!FO193*VLOOKUP('Données projet'!$B$16,Paramètres!$A$1:$I$88,3,0)*0.475*44/12</f>
        <v>#N/A</v>
      </c>
      <c r="FS193" s="23" t="e">
        <f>EXP(-LN(2)/2)*FS192+(1-EXP(-LN(2)/2))/(LN(2)/2)*FM193*FP193*VLOOKUP('Données projet'!$B$16,Paramètres!$A$1:$I$88,3,0)*0.475*44/12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69.685240460907494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projet'!$B$17,Paramètres!$A$1:$I$88,3,0)*VLOOKUP('Données projet'!$B$17,Paramètres!$A$1:$I$88,5,0)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projet'!$B$17,Paramètres!$A$1:$I$88,7,0))</f>
        <v>0</v>
      </c>
      <c r="GJ193" s="17">
        <f>IF(ISNA(VLOOKUP(A193,'Données projet'!$A$243:$I$263,6,0)),0%,VLOOKUP(A193,'Données projet'!$A$243:$I$263,6,0)*VLOOKUP('Données projet'!$B$17,Paramètres!$A$1:$I$88,7,0))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projet'!$B$17,Paramètres!$A$1:$I$88,3,0)*0.475*44/12</f>
        <v>#N/A</v>
      </c>
      <c r="GM193" s="23" t="e">
        <f>EXP(-LN(2)/25)*GM192+(1-EXP(-LN(2)/25))/(LN(2)/25)*Calculateur!GH193*Calculateur!GJ193*VLOOKUP('Données projet'!$B$17,Paramètres!$A$1:$I$88,3,0)*0.475*44/12</f>
        <v>#N/A</v>
      </c>
      <c r="GN193" s="23" t="e">
        <f>EXP(-LN(2)/2)*GN192+(1-EXP(-LN(2)/2))/(LN(2)/2)*GH193*GK193*VLOOKUP('Données projet'!$B$17,Paramètres!$A$1:$I$88,3,0)*0.475*44/12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69.685240460907494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projet'!$B$18,Paramètres!$A$1:$I$88,3,0)*VLOOKUP('Données projet'!$B$18,Paramètres!$A$1:$I$88,5,0)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projet'!$B$18,Paramètres!$A$1:$I$88,7,0))</f>
        <v>0</v>
      </c>
      <c r="HE193" s="17">
        <f>IF(ISNA(VLOOKUP(A193,'Données projet'!$A$269:$I$289,6,0)),0%,VLOOKUP(A193,'Données projet'!$A$269:$I$289,6,0)*VLOOKUP('Données projet'!$B$18,Paramètres!$A$1:$I$88,7,0))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projet'!$B$18,Paramètres!$A$1:$I$88,3,0)*0.475*44/12</f>
        <v>#N/A</v>
      </c>
      <c r="HH193" s="23" t="e">
        <f>EXP(-LN(2)/25)*HH192+(1-EXP(-LN(2)/25))/(LN(2)/25)*Calculateur!HC193*Calculateur!HE193*VLOOKUP('Données projet'!$B$18,Paramètres!$A$1:$I$88,3,0)*0.475*44/12</f>
        <v>#N/A</v>
      </c>
      <c r="HI193" s="23" t="e">
        <f>EXP(-LN(2)/2)*HI192+(1-EXP(-LN(2)/2))/(LN(2)/2)*HC193*HF193*VLOOKUP('Données projet'!$B$18,Paramètres!$A$1:$I$88,3,0)*0.475*44/12</f>
        <v>#N/A</v>
      </c>
      <c r="HJ193" s="24" t="e">
        <f t="shared" si="190"/>
        <v>#N/A</v>
      </c>
    </row>
    <row r="194" spans="1:218" x14ac:dyDescent="0.35">
      <c r="A194" s="11">
        <f t="shared" si="161"/>
        <v>191</v>
      </c>
      <c r="B194" s="77">
        <f>'Scénario référence'!$B$16*5+'Scénario référence'!$B$17*0+'Scénario référence'!$B$18*5</f>
        <v>1.75</v>
      </c>
      <c r="C194" s="20">
        <f>Calculateur!C193+'Scénario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94" s="12">
        <f t="shared" si="140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6.416666666666667</v>
      </c>
      <c r="H194" s="70">
        <f t="shared" si="110"/>
        <v>231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69.690700835213832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3.4106051316484809E-13</v>
      </c>
      <c r="O194" s="14">
        <f>N194*VLOOKUP('Données projet'!$B$9,Paramètres!$A$1:$I$88,3,0)*VLOOKUP('Données projet'!$B$9,Paramètres!$A$1:$I$88,5,0)</f>
        <v>1.9065282685915009E-13</v>
      </c>
      <c r="P194" s="14">
        <f t="shared" si="141"/>
        <v>2.6568987209435707E-12</v>
      </c>
      <c r="Q194" s="22">
        <f t="shared" si="162"/>
        <v>4.959485612423072E-12</v>
      </c>
      <c r="R194" s="62">
        <f t="shared" si="109"/>
        <v>292.199236395789</v>
      </c>
      <c r="S194" s="62">
        <f ca="1">AVERAGE(OFFSET($R$3,0,0,'Données projet'!$E$9+1,1))-AVERAGE(OFFSET($H$3,0,0,'Données projet'!$E$9+1,1))</f>
        <v>341.05096821796769</v>
      </c>
      <c r="T194" s="62">
        <f t="shared" si="142"/>
        <v>400.72519822215168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projet'!$B$9,Paramètres!$A$1:$I$88,7,0))</f>
        <v>0</v>
      </c>
      <c r="X194" s="17">
        <f>IF(ISNA(VLOOKUP(A194,'Données projet'!$A$35:$I$55,6,0)),0%,VLOOKUP(A194,'Données projet'!$A$35:$I$55,6,0)*VLOOKUP('Données projet'!$B$9,Paramètres!$A$1:$I$88,7,0))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projet'!$B$9,Paramètres!$A$1:$I$88,3,0)*0.475*44/12</f>
        <v>17.898665751236223</v>
      </c>
      <c r="AA194" s="23">
        <f>EXP(-LN(2)/25)*AA193+(1-EXP(-LN(2)/25))/(LN(2)/25)*Calculateur!V194*Calculateur!X194*VLOOKUP('Données projet'!$B$9,Paramètres!$A$1:$I$88,3,0)*0.475*44/12</f>
        <v>3.5066996072638954</v>
      </c>
      <c r="AB194" s="23">
        <f>EXP(-LN(2)/2)*AB193+(1-EXP(-LN(2)/2))/(LN(2)/2)*V194*Y194*VLOOKUP('Données projet'!$B$9,Paramètres!$A$1:$I$88,3,0)*0.475*44/12</f>
        <v>0</v>
      </c>
      <c r="AC194" s="24">
        <f t="shared" si="163"/>
        <v>21.40536535850012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69.690700835213832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5.6843418860808015E-14</v>
      </c>
      <c r="AJ194" s="14">
        <f>AI194*VLOOKUP('Données projet'!$B$10,Paramètres!$A$1:$I$88,3,0)*VLOOKUP('Données projet'!$B$10,Paramètres!$A$1:$I$88,5,0)</f>
        <v>3.3992364478763198E-14</v>
      </c>
      <c r="AK194" s="14">
        <f t="shared" si="164"/>
        <v>5.790027782444094E-13</v>
      </c>
      <c r="AL194" s="22">
        <f t="shared" si="165"/>
        <v>1.0676332069095257E-12</v>
      </c>
      <c r="AM194" s="62">
        <f t="shared" si="113"/>
        <v>292.19923639578514</v>
      </c>
      <c r="AN194" s="62">
        <f ca="1">AVERAGE(OFFSET($AM$3,0,0,'Données projet'!$E$10+1,1))-AVERAGE(OFFSET($H$3,0,0,'Données projet'!$E$10+1,1))</f>
        <v>231.96474801342879</v>
      </c>
      <c r="AO194" s="62">
        <f t="shared" si="144"/>
        <v>237.75726086383668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projet'!$B$10,Paramètres!$A$1:$I$88,7,0))</f>
        <v>0</v>
      </c>
      <c r="AS194" s="17">
        <f>IF(ISNA(VLOOKUP(A194,'Données projet'!$A$61:$I$81,6,0)),0%,VLOOKUP(A194,'Données projet'!$A$61:$I$81,6,0)*VLOOKUP('Données projet'!$B$10,Paramètres!$A$1:$I$88,7,0))</f>
        <v>0</v>
      </c>
      <c r="AT194" s="17">
        <f>IF(ISNA(VLOOKUP(A194,'Données projet'!$A$61:$I$81,7,0)),0%,VLOOKUP(A194,'Données projet'!$A$61:$I$81,7,0))</f>
        <v>0</v>
      </c>
      <c r="AU194" s="23">
        <f>EXP(-LN(2)/35)*AU193+(1-EXP(-LN(2)/35))/(LN(2)/35)*AQ194*AR194*VLOOKUP('Données projet'!$B$10,Paramètres!$A$1:$I$88,3,0)*0.475*44/12</f>
        <v>7.0583304484560321</v>
      </c>
      <c r="AV194" s="23">
        <f>EXP(-LN(2)/25)*AV193+(1-EXP(-LN(2)/25))/(LN(2)/25)*Calculateur!AQ194*Calculateur!AS194*VLOOKUP('Données projet'!$B$10,Paramètres!$A$1:$I$88,3,0)*0.475*44/12</f>
        <v>1.4807905823109706</v>
      </c>
      <c r="AW194" s="23">
        <f>EXP(-LN(2)/2)*AW193+(1-EXP(-LN(2)/2))/(LN(2)/2)*AQ194*AT194*VLOOKUP('Données projet'!$B$10,Paramètres!$A$1:$I$88,3,0)*0.475*44/12</f>
        <v>0</v>
      </c>
      <c r="AX194" s="23">
        <f t="shared" si="166"/>
        <v>8.5391210307670029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69.690700835213832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6.8212102632969618E-13</v>
      </c>
      <c r="BE194" s="14">
        <f>BD194*VLOOKUP('Données projet'!$B$11,Paramètres!$A$1:$I$88,3,0)*VLOOKUP('Données projet'!$B$11,Paramètres!$A$1:$I$88,5,0)</f>
        <v>3.1923264032229784E-13</v>
      </c>
      <c r="BF194" s="14">
        <f t="shared" si="167"/>
        <v>4.1896839804541558E-12</v>
      </c>
      <c r="BG194" s="22">
        <f t="shared" si="168"/>
        <v>7.8530297811856558E-12</v>
      </c>
      <c r="BH194" s="62">
        <f t="shared" si="116"/>
        <v>292.1992363957919</v>
      </c>
      <c r="BI194" s="62">
        <f ca="1">AVERAGE(OFFSET($BH$3,0,0,'Données projet'!$E$11+1,1))-AVERAGE(OFFSET($H$3,0,0,'Données projet'!$E$11+1,1))</f>
        <v>364.96458059055169</v>
      </c>
      <c r="BJ194" s="62">
        <f t="shared" si="146"/>
        <v>246.27159120786257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projet'!$B$11,Paramètres!$A$1:$I$88,7,0))</f>
        <v>0</v>
      </c>
      <c r="BN194" s="17">
        <f>IF(ISNA(VLOOKUP(A194,'Données projet'!$A$87:$I$107,6,0)),0%,VLOOKUP(A194,'Données projet'!$A$87:$I$107,6,0)*VLOOKUP('Données projet'!$B$11,Paramètres!$A$1:$I$88,7,0))</f>
        <v>0</v>
      </c>
      <c r="BO194" s="17">
        <f>IF(ISNA(VLOOKUP(A194,'Données projet'!$A$87:$I$107,7,0)),0%,VLOOKUP(A194,'Données projet'!$A$87:$I$107,7,0))</f>
        <v>0</v>
      </c>
      <c r="BP194" s="23">
        <f>EXP(-LN(2)/35)*BP193+(1-EXP(-LN(2)/35))/(LN(2)/35)*BL194*BM194*VLOOKUP('Données projet'!$B$11,Paramètres!$A$1:$I$88,3,0)*0.475*44/12</f>
        <v>39.265847153004664</v>
      </c>
      <c r="BQ194" s="23">
        <f>EXP(-LN(2)/25)*BQ193+(1-EXP(-LN(2)/25))/(LN(2)/25)*Calculateur!BL194*Calculateur!BN194*VLOOKUP('Données projet'!$B$11,Paramètres!$A$1:$I$88,3,0)*0.475*44/12</f>
        <v>8.0856332625489831</v>
      </c>
      <c r="BR194" s="23">
        <f>EXP(-LN(2)/2)*BR193+(1-EXP(-LN(2)/2))/(LN(2)/2)*BL194*BO194*VLOOKUP('Données projet'!$B$11,Paramètres!$A$1:$I$88,3,0)*0.475*44/12</f>
        <v>0</v>
      </c>
      <c r="BS194" s="24">
        <f t="shared" si="169"/>
        <v>47.351480415553645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69.690700835213832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-1.1368683772161603E-13</v>
      </c>
      <c r="BZ194" s="14">
        <f>BY194*VLOOKUP('Données projet'!$B$12,Paramètres!$A$1:$I$88,3,0)*VLOOKUP('Données projet'!$B$12,Paramètres!$A$1:$I$88,5,0)</f>
        <v>-1.1527845344971866E-13</v>
      </c>
      <c r="CA194" s="14" t="e">
        <f t="shared" si="170"/>
        <v>#NUM!</v>
      </c>
      <c r="CB194" s="22" t="e">
        <f t="shared" si="171"/>
        <v>#NUM!</v>
      </c>
      <c r="CC194" s="62" t="e">
        <f t="shared" si="119"/>
        <v>#NUM!</v>
      </c>
      <c r="CD194" s="62">
        <f ca="1">AVERAGE(OFFSET($CC$3,0,0,'Données projet'!$E$12+1,1))-AVERAGE(OFFSET($H$3,0,0,'Données projet'!$E$12+1,1))</f>
        <v>310.53598044763282</v>
      </c>
      <c r="CE194" s="62">
        <f t="shared" si="148"/>
        <v>322.01096634040596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projet'!$B$12,Paramètres!$A$1:$I$88,7,0))</f>
        <v>0</v>
      </c>
      <c r="CI194" s="17">
        <f>IF(ISNA(VLOOKUP(A194,'Données projet'!$A$113:$I$133,6,0)),0%,VLOOKUP(A194,'Données projet'!$A$113:$I$133,6,0)*VLOOKUP('Données projet'!$B$12,Paramètres!$A$1:$I$88,7,0))</f>
        <v>0</v>
      </c>
      <c r="CJ194" s="17">
        <f>IF(ISNA(VLOOKUP(A194,'Données projet'!$A$113:$I$133,7,0)),0%,VLOOKUP(A194,'Données projet'!$A$113:$I$133,7,0))</f>
        <v>0</v>
      </c>
      <c r="CK194" s="23">
        <f>EXP(-LN(2)/35)*CK193+(1-EXP(-LN(2)/35))/(LN(2)/35)*CG194*CH194*VLOOKUP('Données projet'!$B$12,Paramètres!$A$1:$I$88,3,0)*0.475*44/12</f>
        <v>5.4004818905387966</v>
      </c>
      <c r="CL194" s="23">
        <f>EXP(-LN(2)/25)*CL193+(1-EXP(-LN(2)/25))/(LN(2)/25)*Calculateur!CG194*Calculateur!CI194*VLOOKUP('Données projet'!$B$12,Paramètres!$A$1:$I$88,3,0)*0.475*44/12</f>
        <v>0</v>
      </c>
      <c r="CM194" s="23">
        <f>EXP(-LN(2)/2)*CM193+(1-EXP(-LN(2)/2))/(LN(2)/2)*CG194*CJ194*VLOOKUP('Données projet'!$B$12,Paramètres!$A$1:$I$88,3,0)*0.475*44/12</f>
        <v>0</v>
      </c>
      <c r="CN194" s="24">
        <f t="shared" si="172"/>
        <v>5.4004818905387966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69.690700835213832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projet'!$B$13,Paramètres!$A$1:$I$88,3,0)*VLOOKUP('Données projet'!$B$13,Paramètres!$A$1:$I$88,5,0)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projet'!$B$13,Paramètres!$A$1:$I$88,7,0))</f>
        <v>0</v>
      </c>
      <c r="DD194" s="17">
        <f>IF(ISNA(VLOOKUP(A194,'Données projet'!$A$139:$I$159,6,0)),0%,VLOOKUP(A194,'Données projet'!$A$139:$I$159,6,0)*VLOOKUP('Données projet'!$B$13,Paramètres!$A$1:$I$88,7,0))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projet'!$B$13,Paramètres!$A$1:$I$88,3,0)*0.475*44/12</f>
        <v>#N/A</v>
      </c>
      <c r="DG194" s="23" t="e">
        <f>EXP(-LN(2)/25)*DG193+(1-EXP(-LN(2)/25))/(LN(2)/25)*Calculateur!DB194*Calculateur!DD194*VLOOKUP('Données projet'!$B$13,Paramètres!$A$1:$I$88,3,0)*0.475*44/12</f>
        <v>#N/A</v>
      </c>
      <c r="DH194" s="23" t="e">
        <f>EXP(-LN(2)/2)*DH193+(1-EXP(-LN(2)/2))/(LN(2)/2)*DB194*DE194*VLOOKUP('Données projet'!$B$13,Paramètres!$A$1:$I$88,3,0)*0.475*44/12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69.690700835213832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projet'!$B$14,Paramètres!$A$1:$I$88,3,0)*VLOOKUP('Données projet'!$B$14,Paramètres!$A$1:$I$88,5,0)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projet'!$B$14,Paramètres!$A$1:$I$88,7,0))</f>
        <v>0</v>
      </c>
      <c r="DY194" s="17">
        <f>IF(ISNA(VLOOKUP(A194,'Données projet'!$A$165:$I$185,6,0)),0%,VLOOKUP(A194,'Données projet'!$A$165:$I$185,6,0)*VLOOKUP('Données projet'!$B$14,Paramètres!$A$1:$I$88,7,0))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projet'!$B$14,Paramètres!$A$1:$I$88,3,0)*0.475*44/12</f>
        <v>#N/A</v>
      </c>
      <c r="EB194" s="23" t="e">
        <f>EXP(-LN(2)/25)*EB193+(1-EXP(-LN(2)/25))/(LN(2)/25)*Calculateur!DW194*Calculateur!DY194*VLOOKUP('Données projet'!$B$14,Paramètres!$A$1:$I$88,3,0)*0.475*44/12</f>
        <v>#N/A</v>
      </c>
      <c r="EC194" s="23" t="e">
        <f>EXP(-LN(2)/2)*EC193+(1-EXP(-LN(2)/2))/(LN(2)/2)*DW194*DZ194*VLOOKUP('Données projet'!$B$14,Paramètres!$A$1:$I$88,3,0)*0.475*44/12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69.690700835213832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projet'!$B$15,Paramètres!$A$1:$I$88,3,0)*VLOOKUP('Données projet'!$B$15,Paramètres!$A$1:$I$88,5,0)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projet'!$B$15,Paramètres!$A$1:$I$88,7,0))</f>
        <v>0</v>
      </c>
      <c r="ET194" s="17">
        <f>IF(ISNA(VLOOKUP(A194,'Données projet'!$A$191:$I$211,6,0)),0%,VLOOKUP(A194,'Données projet'!$A$191:$I$211,6,0)*VLOOKUP('Données projet'!$B$15,Paramètres!$A$1:$I$88,7,0))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projet'!$B$15,Paramètres!$A$1:$I$88,3,0)*0.475*44/12</f>
        <v>#N/A</v>
      </c>
      <c r="EW194" s="23" t="e">
        <f>EXP(-LN(2)/25)*EW193+(1-EXP(-LN(2)/25))/(LN(2)/25)*Calculateur!ER194*Calculateur!ET194*VLOOKUP('Données projet'!$B$15,Paramètres!$A$1:$I$88,3,0)*0.475*44/12</f>
        <v>#N/A</v>
      </c>
      <c r="EX194" s="23" t="e">
        <f>EXP(-LN(2)/2)*EX193+(1-EXP(-LN(2)/2))/(LN(2)/2)*ER194*EU194*VLOOKUP('Données projet'!$B$15,Paramètres!$A$1:$I$88,3,0)*0.475*44/12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69.690700835213832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projet'!$B$16,Paramètres!$A$1:$I$88,3,0)*VLOOKUP('Données projet'!$B$16,Paramètres!$A$1:$I$88,5,0)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projet'!$B$16,Paramètres!$A$1:$I$88,7,0))</f>
        <v>0</v>
      </c>
      <c r="FO194" s="17">
        <f>IF(ISNA(VLOOKUP(A194,'Données projet'!$A$217:$I$237,6,0)),0%,VLOOKUP(A194,'Données projet'!$A$217:$I$237,6,0)*VLOOKUP('Données projet'!$B$16,Paramètres!$A$1:$I$88,7,0))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projet'!$B$16,Paramètres!$A$1:$I$88,3,0)*0.475*44/12</f>
        <v>#N/A</v>
      </c>
      <c r="FR194" s="23" t="e">
        <f>EXP(-LN(2)/25)*FR193+(1-EXP(-LN(2)/25))/(LN(2)/25)*Calculateur!FM194*Calculateur!FO194*VLOOKUP('Données projet'!$B$16,Paramètres!$A$1:$I$88,3,0)*0.475*44/12</f>
        <v>#N/A</v>
      </c>
      <c r="FS194" s="23" t="e">
        <f>EXP(-LN(2)/2)*FS193+(1-EXP(-LN(2)/2))/(LN(2)/2)*FM194*FP194*VLOOKUP('Données projet'!$B$16,Paramètres!$A$1:$I$88,3,0)*0.475*44/12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69.690700835213832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projet'!$B$17,Paramètres!$A$1:$I$88,3,0)*VLOOKUP('Données projet'!$B$17,Paramètres!$A$1:$I$88,5,0)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projet'!$B$17,Paramètres!$A$1:$I$88,7,0))</f>
        <v>0</v>
      </c>
      <c r="GJ194" s="17">
        <f>IF(ISNA(VLOOKUP(A194,'Données projet'!$A$243:$I$263,6,0)),0%,VLOOKUP(A194,'Données projet'!$A$243:$I$263,6,0)*VLOOKUP('Données projet'!$B$17,Paramètres!$A$1:$I$88,7,0))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projet'!$B$17,Paramètres!$A$1:$I$88,3,0)*0.475*44/12</f>
        <v>#N/A</v>
      </c>
      <c r="GM194" s="23" t="e">
        <f>EXP(-LN(2)/25)*GM193+(1-EXP(-LN(2)/25))/(LN(2)/25)*Calculateur!GH194*Calculateur!GJ194*VLOOKUP('Données projet'!$B$17,Paramètres!$A$1:$I$88,3,0)*0.475*44/12</f>
        <v>#N/A</v>
      </c>
      <c r="GN194" s="23" t="e">
        <f>EXP(-LN(2)/2)*GN193+(1-EXP(-LN(2)/2))/(LN(2)/2)*GH194*GK194*VLOOKUP('Données projet'!$B$17,Paramètres!$A$1:$I$88,3,0)*0.475*44/12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69.690700835213832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projet'!$B$18,Paramètres!$A$1:$I$88,3,0)*VLOOKUP('Données projet'!$B$18,Paramètres!$A$1:$I$88,5,0)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projet'!$B$18,Paramètres!$A$1:$I$88,7,0))</f>
        <v>0</v>
      </c>
      <c r="HE194" s="17">
        <f>IF(ISNA(VLOOKUP(A194,'Données projet'!$A$269:$I$289,6,0)),0%,VLOOKUP(A194,'Données projet'!$A$269:$I$289,6,0)*VLOOKUP('Données projet'!$B$18,Paramètres!$A$1:$I$88,7,0))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projet'!$B$18,Paramètres!$A$1:$I$88,3,0)*0.475*44/12</f>
        <v>#N/A</v>
      </c>
      <c r="HH194" s="23" t="e">
        <f>EXP(-LN(2)/25)*HH193+(1-EXP(-LN(2)/25))/(LN(2)/25)*Calculateur!HC194*Calculateur!HE194*VLOOKUP('Données projet'!$B$18,Paramètres!$A$1:$I$88,3,0)*0.475*44/12</f>
        <v>#N/A</v>
      </c>
      <c r="HI194" s="23" t="e">
        <f>EXP(-LN(2)/2)*HI193+(1-EXP(-LN(2)/2))/(LN(2)/2)*HC194*HF194*VLOOKUP('Données projet'!$B$18,Paramètres!$A$1:$I$88,3,0)*0.475*44/12</f>
        <v>#N/A</v>
      </c>
      <c r="HJ194" s="24" t="e">
        <f t="shared" si="190"/>
        <v>#N/A</v>
      </c>
    </row>
    <row r="195" spans="1:218" x14ac:dyDescent="0.35">
      <c r="A195" s="11">
        <f t="shared" si="161"/>
        <v>192</v>
      </c>
      <c r="B195" s="77">
        <f>'Scénario référence'!$B$16*5+'Scénario référence'!$B$17*0+'Scénario référence'!$B$18*5</f>
        <v>1.75</v>
      </c>
      <c r="C195" s="20">
        <f>Calculateur!C194+'Scénario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95" s="12">
        <f t="shared" si="140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6.416666666666667</v>
      </c>
      <c r="H195" s="70">
        <f t="shared" si="110"/>
        <v>231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69.69606648423354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3.4106051316484809E-13</v>
      </c>
      <c r="O195" s="14">
        <f>N195*VLOOKUP('Données projet'!$B$9,Paramètres!$A$1:$I$88,3,0)*VLOOKUP('Données projet'!$B$9,Paramètres!$A$1:$I$88,5,0)</f>
        <v>1.9065282685915009E-13</v>
      </c>
      <c r="P195" s="14">
        <f t="shared" si="141"/>
        <v>2.6568987209435707E-12</v>
      </c>
      <c r="Q195" s="22">
        <f t="shared" si="162"/>
        <v>4.959485612423072E-12</v>
      </c>
      <c r="R195" s="62">
        <f t="shared" ref="R195:R203" si="191">Q195+(I195+J195)*44/12</f>
        <v>292.21891044219456</v>
      </c>
      <c r="S195" s="62">
        <f ca="1">AVERAGE(OFFSET($R$3,0,0,'Données projet'!$E$9+1,1))-AVERAGE(OFFSET($H$3,0,0,'Données projet'!$E$9+1,1))</f>
        <v>341.05096821796769</v>
      </c>
      <c r="T195" s="62">
        <f t="shared" si="142"/>
        <v>400.72519822215168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projet'!$B$9,Paramètres!$A$1:$I$88,7,0))</f>
        <v>0</v>
      </c>
      <c r="X195" s="17">
        <f>IF(ISNA(VLOOKUP(A195,'Données projet'!$A$35:$I$55,6,0)),0%,VLOOKUP(A195,'Données projet'!$A$35:$I$55,6,0)*VLOOKUP('Données projet'!$B$9,Paramètres!$A$1:$I$88,7,0))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projet'!$B$9,Paramètres!$A$1:$I$88,3,0)*0.475*44/12</f>
        <v>17.547683832962615</v>
      </c>
      <c r="AA195" s="23">
        <f>EXP(-LN(2)/25)*AA194+(1-EXP(-LN(2)/25))/(LN(2)/25)*Calculateur!V195*Calculateur!X195*VLOOKUP('Données projet'!$B$9,Paramètres!$A$1:$I$88,3,0)*0.475*44/12</f>
        <v>3.4108087220939467</v>
      </c>
      <c r="AB195" s="23">
        <f>EXP(-LN(2)/2)*AB194+(1-EXP(-LN(2)/2))/(LN(2)/2)*V195*Y195*VLOOKUP('Données projet'!$B$9,Paramètres!$A$1:$I$88,3,0)*0.475*44/12</f>
        <v>0</v>
      </c>
      <c r="AC195" s="24">
        <f t="shared" si="163"/>
        <v>20.958492555056562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69.69606648423354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5.6843418860808015E-14</v>
      </c>
      <c r="AJ195" s="14">
        <f>AI195*VLOOKUP('Données projet'!$B$10,Paramètres!$A$1:$I$88,3,0)*VLOOKUP('Données projet'!$B$10,Paramètres!$A$1:$I$88,5,0)</f>
        <v>3.3992364478763198E-14</v>
      </c>
      <c r="AK195" s="14">
        <f t="shared" si="164"/>
        <v>5.790027782444094E-13</v>
      </c>
      <c r="AL195" s="22">
        <f t="shared" si="165"/>
        <v>1.0676332069095257E-12</v>
      </c>
      <c r="AM195" s="62">
        <f t="shared" si="113"/>
        <v>292.21891044219069</v>
      </c>
      <c r="AN195" s="62">
        <f ca="1">AVERAGE(OFFSET($AM$3,0,0,'Données projet'!$E$10+1,1))-AVERAGE(OFFSET($H$3,0,0,'Données projet'!$E$10+1,1))</f>
        <v>231.96474801342879</v>
      </c>
      <c r="AO195" s="62">
        <f t="shared" si="144"/>
        <v>237.75726086383668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projet'!$B$10,Paramètres!$A$1:$I$88,7,0))</f>
        <v>0</v>
      </c>
      <c r="AS195" s="17">
        <f>IF(ISNA(VLOOKUP(A195,'Données projet'!$A$61:$I$81,6,0)),0%,VLOOKUP(A195,'Données projet'!$A$61:$I$81,6,0)*VLOOKUP('Données projet'!$B$10,Paramètres!$A$1:$I$88,7,0))</f>
        <v>0</v>
      </c>
      <c r="AT195" s="17">
        <f>IF(ISNA(VLOOKUP(A195,'Données projet'!$A$61:$I$81,7,0)),0%,VLOOKUP(A195,'Données projet'!$A$61:$I$81,7,0))</f>
        <v>0</v>
      </c>
      <c r="AU195" s="23">
        <f>EXP(-LN(2)/35)*AU194+(1-EXP(-LN(2)/35))/(LN(2)/35)*AQ195*AR195*VLOOKUP('Données projet'!$B$10,Paramètres!$A$1:$I$88,3,0)*0.475*44/12</f>
        <v>6.9199208935182837</v>
      </c>
      <c r="AV195" s="23">
        <f>EXP(-LN(2)/25)*AV194+(1-EXP(-LN(2)/25))/(LN(2)/25)*Calculateur!AQ195*Calculateur!AS195*VLOOKUP('Données projet'!$B$10,Paramètres!$A$1:$I$88,3,0)*0.475*44/12</f>
        <v>1.4402982859662847</v>
      </c>
      <c r="AW195" s="23">
        <f>EXP(-LN(2)/2)*AW194+(1-EXP(-LN(2)/2))/(LN(2)/2)*AQ195*AT195*VLOOKUP('Données projet'!$B$10,Paramètres!$A$1:$I$88,3,0)*0.475*44/12</f>
        <v>0</v>
      </c>
      <c r="AX195" s="23">
        <f t="shared" si="166"/>
        <v>8.3602191794845684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69.69606648423354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6.8212102632969618E-13</v>
      </c>
      <c r="BE195" s="14">
        <f>BD195*VLOOKUP('Données projet'!$B$11,Paramètres!$A$1:$I$88,3,0)*VLOOKUP('Données projet'!$B$11,Paramètres!$A$1:$I$88,5,0)</f>
        <v>3.1923264032229784E-13</v>
      </c>
      <c r="BF195" s="14">
        <f t="shared" si="167"/>
        <v>4.1896839804541558E-12</v>
      </c>
      <c r="BG195" s="22">
        <f t="shared" si="168"/>
        <v>7.8530297811856558E-12</v>
      </c>
      <c r="BH195" s="62">
        <f t="shared" si="116"/>
        <v>292.21891044219745</v>
      </c>
      <c r="BI195" s="62">
        <f ca="1">AVERAGE(OFFSET($BH$3,0,0,'Données projet'!$E$11+1,1))-AVERAGE(OFFSET($H$3,0,0,'Données projet'!$E$11+1,1))</f>
        <v>364.96458059055169</v>
      </c>
      <c r="BJ195" s="62">
        <f t="shared" si="146"/>
        <v>246.27159120786257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projet'!$B$11,Paramètres!$A$1:$I$88,7,0))</f>
        <v>0</v>
      </c>
      <c r="BN195" s="17">
        <f>IF(ISNA(VLOOKUP(A195,'Données projet'!$A$87:$I$107,6,0)),0%,VLOOKUP(A195,'Données projet'!$A$87:$I$107,6,0)*VLOOKUP('Données projet'!$B$11,Paramètres!$A$1:$I$88,7,0))</f>
        <v>0</v>
      </c>
      <c r="BO195" s="17">
        <f>IF(ISNA(VLOOKUP(A195,'Données projet'!$A$87:$I$107,7,0)),0%,VLOOKUP(A195,'Données projet'!$A$87:$I$107,7,0))</f>
        <v>0</v>
      </c>
      <c r="BP195" s="23">
        <f>EXP(-LN(2)/35)*BP194+(1-EXP(-LN(2)/35))/(LN(2)/35)*BL195*BM195*VLOOKUP('Données projet'!$B$11,Paramètres!$A$1:$I$88,3,0)*0.475*44/12</f>
        <v>38.495867840136157</v>
      </c>
      <c r="BQ195" s="23">
        <f>EXP(-LN(2)/25)*BQ194+(1-EXP(-LN(2)/25))/(LN(2)/25)*Calculateur!BL195*Calculateur!BN195*VLOOKUP('Données projet'!$B$11,Paramètres!$A$1:$I$88,3,0)*0.475*44/12</f>
        <v>7.864531195779608</v>
      </c>
      <c r="BR195" s="23">
        <f>EXP(-LN(2)/2)*BR194+(1-EXP(-LN(2)/2))/(LN(2)/2)*BL195*BO195*VLOOKUP('Données projet'!$B$11,Paramètres!$A$1:$I$88,3,0)*0.475*44/12</f>
        <v>0</v>
      </c>
      <c r="BS195" s="24">
        <f t="shared" si="169"/>
        <v>46.360399035915762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69.69606648423354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-1.1368683772161603E-13</v>
      </c>
      <c r="BZ195" s="14">
        <f>BY195*VLOOKUP('Données projet'!$B$12,Paramètres!$A$1:$I$88,3,0)*VLOOKUP('Données projet'!$B$12,Paramètres!$A$1:$I$88,5,0)</f>
        <v>-1.1527845344971866E-13</v>
      </c>
      <c r="CA195" s="14" t="e">
        <f t="shared" si="170"/>
        <v>#NUM!</v>
      </c>
      <c r="CB195" s="22" t="e">
        <f t="shared" si="171"/>
        <v>#NUM!</v>
      </c>
      <c r="CC195" s="62" t="e">
        <f t="shared" si="119"/>
        <v>#NUM!</v>
      </c>
      <c r="CD195" s="62">
        <f ca="1">AVERAGE(OFFSET($CC$3,0,0,'Données projet'!$E$12+1,1))-AVERAGE(OFFSET($H$3,0,0,'Données projet'!$E$12+1,1))</f>
        <v>310.53598044763282</v>
      </c>
      <c r="CE195" s="62">
        <f t="shared" si="148"/>
        <v>322.01096634040596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projet'!$B$12,Paramètres!$A$1:$I$88,7,0))</f>
        <v>0</v>
      </c>
      <c r="CI195" s="17">
        <f>IF(ISNA(VLOOKUP(A195,'Données projet'!$A$113:$I$133,6,0)),0%,VLOOKUP(A195,'Données projet'!$A$113:$I$133,6,0)*VLOOKUP('Données projet'!$B$12,Paramètres!$A$1:$I$88,7,0))</f>
        <v>0</v>
      </c>
      <c r="CJ195" s="17">
        <f>IF(ISNA(VLOOKUP(A195,'Données projet'!$A$113:$I$133,7,0)),0%,VLOOKUP(A195,'Données projet'!$A$113:$I$133,7,0))</f>
        <v>0</v>
      </c>
      <c r="CK195" s="23">
        <f>EXP(-LN(2)/35)*CK194+(1-EXP(-LN(2)/35))/(LN(2)/35)*CG195*CH195*VLOOKUP('Données projet'!$B$12,Paramètres!$A$1:$I$88,3,0)*0.475*44/12</f>
        <v>5.2945817346340318</v>
      </c>
      <c r="CL195" s="23">
        <f>EXP(-LN(2)/25)*CL194+(1-EXP(-LN(2)/25))/(LN(2)/25)*Calculateur!CG195*Calculateur!CI195*VLOOKUP('Données projet'!$B$12,Paramètres!$A$1:$I$88,3,0)*0.475*44/12</f>
        <v>0</v>
      </c>
      <c r="CM195" s="23">
        <f>EXP(-LN(2)/2)*CM194+(1-EXP(-LN(2)/2))/(LN(2)/2)*CG195*CJ195*VLOOKUP('Données projet'!$B$12,Paramètres!$A$1:$I$88,3,0)*0.475*44/12</f>
        <v>0</v>
      </c>
      <c r="CN195" s="24">
        <f t="shared" si="172"/>
        <v>5.2945817346340318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69.69606648423354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projet'!$B$13,Paramètres!$A$1:$I$88,3,0)*VLOOKUP('Données projet'!$B$13,Paramètres!$A$1:$I$88,5,0)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projet'!$B$13,Paramètres!$A$1:$I$88,7,0))</f>
        <v>0</v>
      </c>
      <c r="DD195" s="17">
        <f>IF(ISNA(VLOOKUP(A195,'Données projet'!$A$139:$I$159,6,0)),0%,VLOOKUP(A195,'Données projet'!$A$139:$I$159,6,0)*VLOOKUP('Données projet'!$B$13,Paramètres!$A$1:$I$88,7,0))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projet'!$B$13,Paramètres!$A$1:$I$88,3,0)*0.475*44/12</f>
        <v>#N/A</v>
      </c>
      <c r="DG195" s="23" t="e">
        <f>EXP(-LN(2)/25)*DG194+(1-EXP(-LN(2)/25))/(LN(2)/25)*Calculateur!DB195*Calculateur!DD195*VLOOKUP('Données projet'!$B$13,Paramètres!$A$1:$I$88,3,0)*0.475*44/12</f>
        <v>#N/A</v>
      </c>
      <c r="DH195" s="23" t="e">
        <f>EXP(-LN(2)/2)*DH194+(1-EXP(-LN(2)/2))/(LN(2)/2)*DB195*DE195*VLOOKUP('Données projet'!$B$13,Paramètres!$A$1:$I$88,3,0)*0.475*44/12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69.69606648423354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projet'!$B$14,Paramètres!$A$1:$I$88,3,0)*VLOOKUP('Données projet'!$B$14,Paramètres!$A$1:$I$88,5,0)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projet'!$B$14,Paramètres!$A$1:$I$88,7,0))</f>
        <v>0</v>
      </c>
      <c r="DY195" s="17">
        <f>IF(ISNA(VLOOKUP(A195,'Données projet'!$A$165:$I$185,6,0)),0%,VLOOKUP(A195,'Données projet'!$A$165:$I$185,6,0)*VLOOKUP('Données projet'!$B$14,Paramètres!$A$1:$I$88,7,0))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projet'!$B$14,Paramètres!$A$1:$I$88,3,0)*0.475*44/12</f>
        <v>#N/A</v>
      </c>
      <c r="EB195" s="23" t="e">
        <f>EXP(-LN(2)/25)*EB194+(1-EXP(-LN(2)/25))/(LN(2)/25)*Calculateur!DW195*Calculateur!DY195*VLOOKUP('Données projet'!$B$14,Paramètres!$A$1:$I$88,3,0)*0.475*44/12</f>
        <v>#N/A</v>
      </c>
      <c r="EC195" s="23" t="e">
        <f>EXP(-LN(2)/2)*EC194+(1-EXP(-LN(2)/2))/(LN(2)/2)*DW195*DZ195*VLOOKUP('Données projet'!$B$14,Paramètres!$A$1:$I$88,3,0)*0.475*44/12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69.69606648423354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projet'!$B$15,Paramètres!$A$1:$I$88,3,0)*VLOOKUP('Données projet'!$B$15,Paramètres!$A$1:$I$88,5,0)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projet'!$B$15,Paramètres!$A$1:$I$88,7,0))</f>
        <v>0</v>
      </c>
      <c r="ET195" s="17">
        <f>IF(ISNA(VLOOKUP(A195,'Données projet'!$A$191:$I$211,6,0)),0%,VLOOKUP(A195,'Données projet'!$A$191:$I$211,6,0)*VLOOKUP('Données projet'!$B$15,Paramètres!$A$1:$I$88,7,0))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projet'!$B$15,Paramètres!$A$1:$I$88,3,0)*0.475*44/12</f>
        <v>#N/A</v>
      </c>
      <c r="EW195" s="23" t="e">
        <f>EXP(-LN(2)/25)*EW194+(1-EXP(-LN(2)/25))/(LN(2)/25)*Calculateur!ER195*Calculateur!ET195*VLOOKUP('Données projet'!$B$15,Paramètres!$A$1:$I$88,3,0)*0.475*44/12</f>
        <v>#N/A</v>
      </c>
      <c r="EX195" s="23" t="e">
        <f>EXP(-LN(2)/2)*EX194+(1-EXP(-LN(2)/2))/(LN(2)/2)*ER195*EU195*VLOOKUP('Données projet'!$B$15,Paramètres!$A$1:$I$88,3,0)*0.475*44/12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69.69606648423354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projet'!$B$16,Paramètres!$A$1:$I$88,3,0)*VLOOKUP('Données projet'!$B$16,Paramètres!$A$1:$I$88,5,0)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projet'!$B$16,Paramètres!$A$1:$I$88,7,0))</f>
        <v>0</v>
      </c>
      <c r="FO195" s="17">
        <f>IF(ISNA(VLOOKUP(A195,'Données projet'!$A$217:$I$237,6,0)),0%,VLOOKUP(A195,'Données projet'!$A$217:$I$237,6,0)*VLOOKUP('Données projet'!$B$16,Paramètres!$A$1:$I$88,7,0))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projet'!$B$16,Paramètres!$A$1:$I$88,3,0)*0.475*44/12</f>
        <v>#N/A</v>
      </c>
      <c r="FR195" s="23" t="e">
        <f>EXP(-LN(2)/25)*FR194+(1-EXP(-LN(2)/25))/(LN(2)/25)*Calculateur!FM195*Calculateur!FO195*VLOOKUP('Données projet'!$B$16,Paramètres!$A$1:$I$88,3,0)*0.475*44/12</f>
        <v>#N/A</v>
      </c>
      <c r="FS195" s="23" t="e">
        <f>EXP(-LN(2)/2)*FS194+(1-EXP(-LN(2)/2))/(LN(2)/2)*FM195*FP195*VLOOKUP('Données projet'!$B$16,Paramètres!$A$1:$I$88,3,0)*0.475*44/12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69.69606648423354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projet'!$B$17,Paramètres!$A$1:$I$88,3,0)*VLOOKUP('Données projet'!$B$17,Paramètres!$A$1:$I$88,5,0)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projet'!$B$17,Paramètres!$A$1:$I$88,7,0))</f>
        <v>0</v>
      </c>
      <c r="GJ195" s="17">
        <f>IF(ISNA(VLOOKUP(A195,'Données projet'!$A$243:$I$263,6,0)),0%,VLOOKUP(A195,'Données projet'!$A$243:$I$263,6,0)*VLOOKUP('Données projet'!$B$17,Paramètres!$A$1:$I$88,7,0))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projet'!$B$17,Paramètres!$A$1:$I$88,3,0)*0.475*44/12</f>
        <v>#N/A</v>
      </c>
      <c r="GM195" s="23" t="e">
        <f>EXP(-LN(2)/25)*GM194+(1-EXP(-LN(2)/25))/(LN(2)/25)*Calculateur!GH195*Calculateur!GJ195*VLOOKUP('Données projet'!$B$17,Paramètres!$A$1:$I$88,3,0)*0.475*44/12</f>
        <v>#N/A</v>
      </c>
      <c r="GN195" s="23" t="e">
        <f>EXP(-LN(2)/2)*GN194+(1-EXP(-LN(2)/2))/(LN(2)/2)*GH195*GK195*VLOOKUP('Données projet'!$B$17,Paramètres!$A$1:$I$88,3,0)*0.475*44/12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69.69606648423354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projet'!$B$18,Paramètres!$A$1:$I$88,3,0)*VLOOKUP('Données projet'!$B$18,Paramètres!$A$1:$I$88,5,0)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projet'!$B$18,Paramètres!$A$1:$I$88,7,0))</f>
        <v>0</v>
      </c>
      <c r="HE195" s="17">
        <f>IF(ISNA(VLOOKUP(A195,'Données projet'!$A$269:$I$289,6,0)),0%,VLOOKUP(A195,'Données projet'!$A$269:$I$289,6,0)*VLOOKUP('Données projet'!$B$18,Paramètres!$A$1:$I$88,7,0))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projet'!$B$18,Paramètres!$A$1:$I$88,3,0)*0.475*44/12</f>
        <v>#N/A</v>
      </c>
      <c r="HH195" s="23" t="e">
        <f>EXP(-LN(2)/25)*HH194+(1-EXP(-LN(2)/25))/(LN(2)/25)*Calculateur!HC195*Calculateur!HE195*VLOOKUP('Données projet'!$B$18,Paramètres!$A$1:$I$88,3,0)*0.475*44/12</f>
        <v>#N/A</v>
      </c>
      <c r="HI195" s="23" t="e">
        <f>EXP(-LN(2)/2)*HI194+(1-EXP(-LN(2)/2))/(LN(2)/2)*HC195*HF195*VLOOKUP('Données projet'!$B$18,Paramètres!$A$1:$I$88,3,0)*0.475*44/12</f>
        <v>#N/A</v>
      </c>
      <c r="HJ195" s="24" t="e">
        <f t="shared" si="190"/>
        <v>#N/A</v>
      </c>
    </row>
    <row r="196" spans="1:218" x14ac:dyDescent="0.35">
      <c r="A196" s="11">
        <f t="shared" si="161"/>
        <v>193</v>
      </c>
      <c r="B196" s="77">
        <f>'Scénario référence'!$B$16*5+'Scénario référence'!$B$17*0+'Scénario référence'!$B$18*5</f>
        <v>1.75</v>
      </c>
      <c r="C196" s="20">
        <f>Calculateur!C195+'Scénario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96" s="12">
        <f t="shared" si="140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6.416666666666667</v>
      </c>
      <c r="H196" s="70">
        <f t="shared" ref="H196:H203" si="192">(B196+E196+F196)*44/12+(C196+D196)*0.475*44/12</f>
        <v>231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69.701339051238534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3.4106051316484809E-13</v>
      </c>
      <c r="O196" s="14">
        <f>N196*VLOOKUP('Données projet'!$B$9,Paramètres!$A$1:$I$88,3,0)*VLOOKUP('Données projet'!$B$9,Paramètres!$A$1:$I$88,5,0)</f>
        <v>1.9065282685915009E-13</v>
      </c>
      <c r="P196" s="14">
        <f t="shared" si="141"/>
        <v>2.6568987209435707E-12</v>
      </c>
      <c r="Q196" s="22">
        <f t="shared" si="162"/>
        <v>4.959485612423072E-12</v>
      </c>
      <c r="R196" s="62">
        <f t="shared" si="191"/>
        <v>292.23824318787956</v>
      </c>
      <c r="S196" s="62">
        <f ca="1">AVERAGE(OFFSET($R$3,0,0,'Données projet'!$E$9+1,1))-AVERAGE(OFFSET($H$3,0,0,'Données projet'!$E$9+1,1))</f>
        <v>341.05096821796769</v>
      </c>
      <c r="T196" s="62">
        <f t="shared" si="142"/>
        <v>400.72519822215168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projet'!$B$9,Paramètres!$A$1:$I$88,7,0))</f>
        <v>0</v>
      </c>
      <c r="X196" s="17">
        <f>IF(ISNA(VLOOKUP(A196,'Données projet'!$A$35:$I$55,6,0)),0%,VLOOKUP(A196,'Données projet'!$A$35:$I$55,6,0)*VLOOKUP('Données projet'!$B$9,Paramètres!$A$1:$I$88,7,0))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projet'!$B$9,Paramètres!$A$1:$I$88,3,0)*0.475*44/12</f>
        <v>17.203584456028519</v>
      </c>
      <c r="AA196" s="23">
        <f>EXP(-LN(2)/25)*AA195+(1-EXP(-LN(2)/25))/(LN(2)/25)*Calculateur!V196*Calculateur!X196*VLOOKUP('Données projet'!$B$9,Paramètres!$A$1:$I$88,3,0)*0.475*44/12</f>
        <v>3.3175399782216526</v>
      </c>
      <c r="AB196" s="23">
        <f>EXP(-LN(2)/2)*AB195+(1-EXP(-LN(2)/2))/(LN(2)/2)*V196*Y196*VLOOKUP('Données projet'!$B$9,Paramètres!$A$1:$I$88,3,0)*0.475*44/12</f>
        <v>0</v>
      </c>
      <c r="AC196" s="24">
        <f t="shared" si="163"/>
        <v>20.521124434250172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69.701339051238534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5.6843418860808015E-14</v>
      </c>
      <c r="AJ196" s="14">
        <f>AI196*VLOOKUP('Données projet'!$B$10,Paramètres!$A$1:$I$88,3,0)*VLOOKUP('Données projet'!$B$10,Paramètres!$A$1:$I$88,5,0)</f>
        <v>3.3992364478763198E-14</v>
      </c>
      <c r="AK196" s="14">
        <f t="shared" si="164"/>
        <v>5.790027782444094E-13</v>
      </c>
      <c r="AL196" s="22">
        <f t="shared" si="165"/>
        <v>1.0676332069095257E-12</v>
      </c>
      <c r="AM196" s="62">
        <f t="shared" ref="AM196:AM203" si="193">AL196+(AD196+AE196)*44/12</f>
        <v>292.2382431878757</v>
      </c>
      <c r="AN196" s="62">
        <f ca="1">AVERAGE(OFFSET($AM$3,0,0,'Données projet'!$E$10+1,1))-AVERAGE(OFFSET($H$3,0,0,'Données projet'!$E$10+1,1))</f>
        <v>231.96474801342879</v>
      </c>
      <c r="AO196" s="62">
        <f t="shared" si="144"/>
        <v>237.75726086383668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projet'!$B$10,Paramètres!$A$1:$I$88,7,0))</f>
        <v>0</v>
      </c>
      <c r="AS196" s="17">
        <f>IF(ISNA(VLOOKUP(A196,'Données projet'!$A$61:$I$81,6,0)),0%,VLOOKUP(A196,'Données projet'!$A$61:$I$81,6,0)*VLOOKUP('Données projet'!$B$10,Paramètres!$A$1:$I$88,7,0))</f>
        <v>0</v>
      </c>
      <c r="AT196" s="17">
        <f>IF(ISNA(VLOOKUP(A196,'Données projet'!$A$61:$I$81,7,0)),0%,VLOOKUP(A196,'Données projet'!$A$61:$I$81,7,0))</f>
        <v>0</v>
      </c>
      <c r="AU196" s="23">
        <f>EXP(-LN(2)/35)*AU195+(1-EXP(-LN(2)/35))/(LN(2)/35)*AQ196*AR196*VLOOKUP('Données projet'!$B$10,Paramètres!$A$1:$I$88,3,0)*0.475*44/12</f>
        <v>6.7842254655313718</v>
      </c>
      <c r="AV196" s="23">
        <f>EXP(-LN(2)/25)*AV195+(1-EXP(-LN(2)/25))/(LN(2)/25)*Calculateur!AQ196*Calculateur!AS196*VLOOKUP('Données projet'!$B$10,Paramètres!$A$1:$I$88,3,0)*0.475*44/12</f>
        <v>1.4009132535945417</v>
      </c>
      <c r="AW196" s="23">
        <f>EXP(-LN(2)/2)*AW195+(1-EXP(-LN(2)/2))/(LN(2)/2)*AQ196*AT196*VLOOKUP('Données projet'!$B$10,Paramètres!$A$1:$I$88,3,0)*0.475*44/12</f>
        <v>0</v>
      </c>
      <c r="AX196" s="23">
        <f t="shared" si="166"/>
        <v>8.1851387191259128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69.701339051238534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6.8212102632969618E-13</v>
      </c>
      <c r="BE196" s="14">
        <f>BD196*VLOOKUP('Données projet'!$B$11,Paramètres!$A$1:$I$88,3,0)*VLOOKUP('Données projet'!$B$11,Paramètres!$A$1:$I$88,5,0)</f>
        <v>3.1923264032229784E-13</v>
      </c>
      <c r="BF196" s="14">
        <f t="shared" si="167"/>
        <v>4.1896839804541558E-12</v>
      </c>
      <c r="BG196" s="22">
        <f t="shared" si="168"/>
        <v>7.8530297811856558E-12</v>
      </c>
      <c r="BH196" s="62">
        <f t="shared" ref="BH196:BH203" si="194">BG196+(AY196+AZ196)*44/12</f>
        <v>292.23824318788246</v>
      </c>
      <c r="BI196" s="62">
        <f ca="1">AVERAGE(OFFSET($BH$3,0,0,'Données projet'!$E$11+1,1))-AVERAGE(OFFSET($H$3,0,0,'Données projet'!$E$11+1,1))</f>
        <v>364.96458059055169</v>
      </c>
      <c r="BJ196" s="62">
        <f t="shared" si="146"/>
        <v>246.27159120786257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projet'!$B$11,Paramètres!$A$1:$I$88,7,0))</f>
        <v>0</v>
      </c>
      <c r="BN196" s="17">
        <f>IF(ISNA(VLOOKUP(A196,'Données projet'!$A$87:$I$107,6,0)),0%,VLOOKUP(A196,'Données projet'!$A$87:$I$107,6,0)*VLOOKUP('Données projet'!$B$11,Paramètres!$A$1:$I$88,7,0))</f>
        <v>0</v>
      </c>
      <c r="BO196" s="17">
        <f>IF(ISNA(VLOOKUP(A196,'Données projet'!$A$87:$I$107,7,0)),0%,VLOOKUP(A196,'Données projet'!$A$87:$I$107,7,0))</f>
        <v>0</v>
      </c>
      <c r="BP196" s="23">
        <f>EXP(-LN(2)/35)*BP195+(1-EXP(-LN(2)/35))/(LN(2)/35)*BL196*BM196*VLOOKUP('Données projet'!$B$11,Paramètres!$A$1:$I$88,3,0)*0.475*44/12</f>
        <v>37.740987351951993</v>
      </c>
      <c r="BQ196" s="23">
        <f>EXP(-LN(2)/25)*BQ195+(1-EXP(-LN(2)/25))/(LN(2)/25)*Calculateur!BL196*Calculateur!BN196*VLOOKUP('Données projet'!$B$11,Paramètres!$A$1:$I$88,3,0)*0.475*44/12</f>
        <v>7.6494751766532936</v>
      </c>
      <c r="BR196" s="23">
        <f>EXP(-LN(2)/2)*BR195+(1-EXP(-LN(2)/2))/(LN(2)/2)*BL196*BO196*VLOOKUP('Données projet'!$B$11,Paramètres!$A$1:$I$88,3,0)*0.475*44/12</f>
        <v>0</v>
      </c>
      <c r="BS196" s="24">
        <f t="shared" si="169"/>
        <v>45.390462528605283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69.701339051238534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-1.1368683772161603E-13</v>
      </c>
      <c r="BZ196" s="14">
        <f>BY196*VLOOKUP('Données projet'!$B$12,Paramètres!$A$1:$I$88,3,0)*VLOOKUP('Données projet'!$B$12,Paramètres!$A$1:$I$88,5,0)</f>
        <v>-1.1527845344971866E-13</v>
      </c>
      <c r="CA196" s="14" t="e">
        <f t="shared" si="170"/>
        <v>#NUM!</v>
      </c>
      <c r="CB196" s="22" t="e">
        <f t="shared" si="171"/>
        <v>#NUM!</v>
      </c>
      <c r="CC196" s="62" t="e">
        <f t="shared" ref="CC196:CC203" si="195">CB196+(BT196+BU196)*44/12</f>
        <v>#NUM!</v>
      </c>
      <c r="CD196" s="62">
        <f ca="1">AVERAGE(OFFSET($CC$3,0,0,'Données projet'!$E$12+1,1))-AVERAGE(OFFSET($H$3,0,0,'Données projet'!$E$12+1,1))</f>
        <v>310.53598044763282</v>
      </c>
      <c r="CE196" s="62">
        <f t="shared" si="148"/>
        <v>322.01096634040596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projet'!$B$12,Paramètres!$A$1:$I$88,7,0))</f>
        <v>0</v>
      </c>
      <c r="CI196" s="17">
        <f>IF(ISNA(VLOOKUP(A196,'Données projet'!$A$113:$I$133,6,0)),0%,VLOOKUP(A196,'Données projet'!$A$113:$I$133,6,0)*VLOOKUP('Données projet'!$B$12,Paramètres!$A$1:$I$88,7,0))</f>
        <v>0</v>
      </c>
      <c r="CJ196" s="17">
        <f>IF(ISNA(VLOOKUP(A196,'Données projet'!$A$113:$I$133,7,0)),0%,VLOOKUP(A196,'Données projet'!$A$113:$I$133,7,0))</f>
        <v>0</v>
      </c>
      <c r="CK196" s="23">
        <f>EXP(-LN(2)/35)*CK195+(1-EXP(-LN(2)/35))/(LN(2)/35)*CG196*CH196*VLOOKUP('Données projet'!$B$12,Paramètres!$A$1:$I$88,3,0)*0.475*44/12</f>
        <v>5.1907582161938421</v>
      </c>
      <c r="CL196" s="23">
        <f>EXP(-LN(2)/25)*CL195+(1-EXP(-LN(2)/25))/(LN(2)/25)*Calculateur!CG196*Calculateur!CI196*VLOOKUP('Données projet'!$B$12,Paramètres!$A$1:$I$88,3,0)*0.475*44/12</f>
        <v>0</v>
      </c>
      <c r="CM196" s="23">
        <f>EXP(-LN(2)/2)*CM195+(1-EXP(-LN(2)/2))/(LN(2)/2)*CG196*CJ196*VLOOKUP('Données projet'!$B$12,Paramètres!$A$1:$I$88,3,0)*0.475*44/12</f>
        <v>0</v>
      </c>
      <c r="CN196" s="24">
        <f t="shared" si="172"/>
        <v>5.1907582161938421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69.701339051238534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projet'!$B$13,Paramètres!$A$1:$I$88,3,0)*VLOOKUP('Données projet'!$B$13,Paramètres!$A$1:$I$88,5,0)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projet'!$B$13,Paramètres!$A$1:$I$88,7,0))</f>
        <v>0</v>
      </c>
      <c r="DD196" s="17">
        <f>IF(ISNA(VLOOKUP(A196,'Données projet'!$A$139:$I$159,6,0)),0%,VLOOKUP(A196,'Données projet'!$A$139:$I$159,6,0)*VLOOKUP('Données projet'!$B$13,Paramètres!$A$1:$I$88,7,0))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projet'!$B$13,Paramètres!$A$1:$I$88,3,0)*0.475*44/12</f>
        <v>#N/A</v>
      </c>
      <c r="DG196" s="23" t="e">
        <f>EXP(-LN(2)/25)*DG195+(1-EXP(-LN(2)/25))/(LN(2)/25)*Calculateur!DB196*Calculateur!DD196*VLOOKUP('Données projet'!$B$13,Paramètres!$A$1:$I$88,3,0)*0.475*44/12</f>
        <v>#N/A</v>
      </c>
      <c r="DH196" s="23" t="e">
        <f>EXP(-LN(2)/2)*DH195+(1-EXP(-LN(2)/2))/(LN(2)/2)*DB196*DE196*VLOOKUP('Données projet'!$B$13,Paramètres!$A$1:$I$88,3,0)*0.475*44/12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69.701339051238534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projet'!$B$14,Paramètres!$A$1:$I$88,3,0)*VLOOKUP('Données projet'!$B$14,Paramètres!$A$1:$I$88,5,0)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projet'!$B$14,Paramètres!$A$1:$I$88,7,0))</f>
        <v>0</v>
      </c>
      <c r="DY196" s="17">
        <f>IF(ISNA(VLOOKUP(A196,'Données projet'!$A$165:$I$185,6,0)),0%,VLOOKUP(A196,'Données projet'!$A$165:$I$185,6,0)*VLOOKUP('Données projet'!$B$14,Paramètres!$A$1:$I$88,7,0))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projet'!$B$14,Paramètres!$A$1:$I$88,3,0)*0.475*44/12</f>
        <v>#N/A</v>
      </c>
      <c r="EB196" s="23" t="e">
        <f>EXP(-LN(2)/25)*EB195+(1-EXP(-LN(2)/25))/(LN(2)/25)*Calculateur!DW196*Calculateur!DY196*VLOOKUP('Données projet'!$B$14,Paramètres!$A$1:$I$88,3,0)*0.475*44/12</f>
        <v>#N/A</v>
      </c>
      <c r="EC196" s="23" t="e">
        <f>EXP(-LN(2)/2)*EC195+(1-EXP(-LN(2)/2))/(LN(2)/2)*DW196*DZ196*VLOOKUP('Données projet'!$B$14,Paramètres!$A$1:$I$88,3,0)*0.475*44/12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69.701339051238534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projet'!$B$15,Paramètres!$A$1:$I$88,3,0)*VLOOKUP('Données projet'!$B$15,Paramètres!$A$1:$I$88,5,0)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projet'!$B$15,Paramètres!$A$1:$I$88,7,0))</f>
        <v>0</v>
      </c>
      <c r="ET196" s="17">
        <f>IF(ISNA(VLOOKUP(A196,'Données projet'!$A$191:$I$211,6,0)),0%,VLOOKUP(A196,'Données projet'!$A$191:$I$211,6,0)*VLOOKUP('Données projet'!$B$15,Paramètres!$A$1:$I$88,7,0))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projet'!$B$15,Paramètres!$A$1:$I$88,3,0)*0.475*44/12</f>
        <v>#N/A</v>
      </c>
      <c r="EW196" s="23" t="e">
        <f>EXP(-LN(2)/25)*EW195+(1-EXP(-LN(2)/25))/(LN(2)/25)*Calculateur!ER196*Calculateur!ET196*VLOOKUP('Données projet'!$B$15,Paramètres!$A$1:$I$88,3,0)*0.475*44/12</f>
        <v>#N/A</v>
      </c>
      <c r="EX196" s="23" t="e">
        <f>EXP(-LN(2)/2)*EX195+(1-EXP(-LN(2)/2))/(LN(2)/2)*ER196*EU196*VLOOKUP('Données projet'!$B$15,Paramètres!$A$1:$I$88,3,0)*0.475*44/12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69.701339051238534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projet'!$B$16,Paramètres!$A$1:$I$88,3,0)*VLOOKUP('Données projet'!$B$16,Paramètres!$A$1:$I$88,5,0)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projet'!$B$16,Paramètres!$A$1:$I$88,7,0))</f>
        <v>0</v>
      </c>
      <c r="FO196" s="17">
        <f>IF(ISNA(VLOOKUP(A196,'Données projet'!$A$217:$I$237,6,0)),0%,VLOOKUP(A196,'Données projet'!$A$217:$I$237,6,0)*VLOOKUP('Données projet'!$B$16,Paramètres!$A$1:$I$88,7,0))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projet'!$B$16,Paramètres!$A$1:$I$88,3,0)*0.475*44/12</f>
        <v>#N/A</v>
      </c>
      <c r="FR196" s="23" t="e">
        <f>EXP(-LN(2)/25)*FR195+(1-EXP(-LN(2)/25))/(LN(2)/25)*Calculateur!FM196*Calculateur!FO196*VLOOKUP('Données projet'!$B$16,Paramètres!$A$1:$I$88,3,0)*0.475*44/12</f>
        <v>#N/A</v>
      </c>
      <c r="FS196" s="23" t="e">
        <f>EXP(-LN(2)/2)*FS195+(1-EXP(-LN(2)/2))/(LN(2)/2)*FM196*FP196*VLOOKUP('Données projet'!$B$16,Paramètres!$A$1:$I$88,3,0)*0.475*44/12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69.701339051238534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projet'!$B$17,Paramètres!$A$1:$I$88,3,0)*VLOOKUP('Données projet'!$B$17,Paramètres!$A$1:$I$88,5,0)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projet'!$B$17,Paramètres!$A$1:$I$88,7,0))</f>
        <v>0</v>
      </c>
      <c r="GJ196" s="17">
        <f>IF(ISNA(VLOOKUP(A196,'Données projet'!$A$243:$I$263,6,0)),0%,VLOOKUP(A196,'Données projet'!$A$243:$I$263,6,0)*VLOOKUP('Données projet'!$B$17,Paramètres!$A$1:$I$88,7,0))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projet'!$B$17,Paramètres!$A$1:$I$88,3,0)*0.475*44/12</f>
        <v>#N/A</v>
      </c>
      <c r="GM196" s="23" t="e">
        <f>EXP(-LN(2)/25)*GM195+(1-EXP(-LN(2)/25))/(LN(2)/25)*Calculateur!GH196*Calculateur!GJ196*VLOOKUP('Données projet'!$B$17,Paramètres!$A$1:$I$88,3,0)*0.475*44/12</f>
        <v>#N/A</v>
      </c>
      <c r="GN196" s="23" t="e">
        <f>EXP(-LN(2)/2)*GN195+(1-EXP(-LN(2)/2))/(LN(2)/2)*GH196*GK196*VLOOKUP('Données projet'!$B$17,Paramètres!$A$1:$I$88,3,0)*0.475*44/12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69.701339051238534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projet'!$B$18,Paramètres!$A$1:$I$88,3,0)*VLOOKUP('Données projet'!$B$18,Paramètres!$A$1:$I$88,5,0)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projet'!$B$18,Paramètres!$A$1:$I$88,7,0))</f>
        <v>0</v>
      </c>
      <c r="HE196" s="17">
        <f>IF(ISNA(VLOOKUP(A196,'Données projet'!$A$269:$I$289,6,0)),0%,VLOOKUP(A196,'Données projet'!$A$269:$I$289,6,0)*VLOOKUP('Données projet'!$B$18,Paramètres!$A$1:$I$88,7,0))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projet'!$B$18,Paramètres!$A$1:$I$88,3,0)*0.475*44/12</f>
        <v>#N/A</v>
      </c>
      <c r="HH196" s="23" t="e">
        <f>EXP(-LN(2)/25)*HH195+(1-EXP(-LN(2)/25))/(LN(2)/25)*Calculateur!HC196*Calculateur!HE196*VLOOKUP('Données projet'!$B$18,Paramètres!$A$1:$I$88,3,0)*0.475*44/12</f>
        <v>#N/A</v>
      </c>
      <c r="HI196" s="23" t="e">
        <f>EXP(-LN(2)/2)*HI195+(1-EXP(-LN(2)/2))/(LN(2)/2)*HC196*HF196*VLOOKUP('Données projet'!$B$18,Paramètres!$A$1:$I$88,3,0)*0.475*44/12</f>
        <v>#N/A</v>
      </c>
      <c r="HJ196" s="24" t="e">
        <f t="shared" si="190"/>
        <v>#N/A</v>
      </c>
    </row>
    <row r="197" spans="1:218" x14ac:dyDescent="0.35">
      <c r="A197" s="11">
        <f t="shared" si="161"/>
        <v>194</v>
      </c>
      <c r="B197" s="77">
        <f>'Scénario référence'!$B$16*5+'Scénario référence'!$B$17*0+'Scénario référence'!$B$18*5</f>
        <v>1.75</v>
      </c>
      <c r="C197" s="20">
        <f>Calculateur!C196+'Scénario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97" s="12">
        <f t="shared" ref="D197:D203" si="202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6.416666666666667</v>
      </c>
      <c r="H197" s="70">
        <f t="shared" si="192"/>
        <v>231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69.706520150993697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3.4106051316484809E-13</v>
      </c>
      <c r="O197" s="14">
        <f>N197*VLOOKUP('Données projet'!$B$9,Paramètres!$A$1:$I$88,3,0)*VLOOKUP('Données projet'!$B$9,Paramètres!$A$1:$I$88,5,0)</f>
        <v>1.9065282685915009E-13</v>
      </c>
      <c r="P197" s="14">
        <f t="shared" ref="P197:P203" si="203">EXP(-1.0587+0.8836*LN(O197)+0.284)</f>
        <v>2.6568987209435707E-12</v>
      </c>
      <c r="Q197" s="22">
        <f t="shared" si="162"/>
        <v>4.959485612423072E-12</v>
      </c>
      <c r="R197" s="62">
        <f t="shared" si="191"/>
        <v>292.2572405536485</v>
      </c>
      <c r="S197" s="62">
        <f ca="1">AVERAGE(OFFSET($R$3,0,0,'Données projet'!$E$9+1,1))-AVERAGE(OFFSET($H$3,0,0,'Données projet'!$E$9+1,1))</f>
        <v>341.05096821796769</v>
      </c>
      <c r="T197" s="62">
        <f t="shared" ref="T197:T203" si="204">$T$3</f>
        <v>400.72519822215168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projet'!$B$9,Paramètres!$A$1:$I$88,7,0))</f>
        <v>0</v>
      </c>
      <c r="X197" s="17">
        <f>IF(ISNA(VLOOKUP(A197,'Données projet'!$A$35:$I$55,6,0)),0%,VLOOKUP(A197,'Données projet'!$A$35:$I$55,6,0)*VLOOKUP('Données projet'!$B$9,Paramètres!$A$1:$I$88,7,0))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projet'!$B$9,Paramètres!$A$1:$I$88,3,0)*0.475*44/12</f>
        <v>16.866232657996207</v>
      </c>
      <c r="AA197" s="23">
        <f>EXP(-LN(2)/25)*AA196+(1-EXP(-LN(2)/25))/(LN(2)/25)*Calculateur!V197*Calculateur!X197*VLOOKUP('Données projet'!$B$9,Paramètres!$A$1:$I$88,3,0)*0.475*44/12</f>
        <v>3.2268216730553365</v>
      </c>
      <c r="AB197" s="23">
        <f>EXP(-LN(2)/2)*AB196+(1-EXP(-LN(2)/2))/(LN(2)/2)*V197*Y197*VLOOKUP('Données projet'!$B$9,Paramètres!$A$1:$I$88,3,0)*0.475*44/12</f>
        <v>0</v>
      </c>
      <c r="AC197" s="24">
        <f t="shared" si="163"/>
        <v>20.093054331051544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69.706520150993697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5.6843418860808015E-14</v>
      </c>
      <c r="AJ197" s="14">
        <f>AI197*VLOOKUP('Données projet'!$B$10,Paramètres!$A$1:$I$88,3,0)*VLOOKUP('Données projet'!$B$10,Paramètres!$A$1:$I$88,5,0)</f>
        <v>3.3992364478763198E-14</v>
      </c>
      <c r="AK197" s="14">
        <f t="shared" si="164"/>
        <v>5.790027782444094E-13</v>
      </c>
      <c r="AL197" s="22">
        <f t="shared" si="165"/>
        <v>1.0676332069095257E-12</v>
      </c>
      <c r="AM197" s="62">
        <f t="shared" si="193"/>
        <v>292.25724055364464</v>
      </c>
      <c r="AN197" s="62">
        <f ca="1">AVERAGE(OFFSET($AM$3,0,0,'Données projet'!$E$10+1,1))-AVERAGE(OFFSET($H$3,0,0,'Données projet'!$E$10+1,1))</f>
        <v>231.96474801342879</v>
      </c>
      <c r="AO197" s="62">
        <f t="shared" ref="AO197:AO203" si="205">$AO$3</f>
        <v>237.75726086383668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projet'!$B$10,Paramètres!$A$1:$I$88,7,0))</f>
        <v>0</v>
      </c>
      <c r="AS197" s="17">
        <f>IF(ISNA(VLOOKUP(A197,'Données projet'!$A$61:$I$81,6,0)),0%,VLOOKUP(A197,'Données projet'!$A$61:$I$81,6,0)*VLOOKUP('Données projet'!$B$10,Paramètres!$A$1:$I$88,7,0))</f>
        <v>0</v>
      </c>
      <c r="AT197" s="17">
        <f>IF(ISNA(VLOOKUP(A197,'Données projet'!$A$61:$I$81,7,0)),0%,VLOOKUP(A197,'Données projet'!$A$61:$I$81,7,0))</f>
        <v>0</v>
      </c>
      <c r="AU197" s="23">
        <f>EXP(-LN(2)/35)*AU196+(1-EXP(-LN(2)/35))/(LN(2)/35)*AQ197*AR197*VLOOKUP('Données projet'!$B$10,Paramètres!$A$1:$I$88,3,0)*0.475*44/12</f>
        <v>6.6511909421212447</v>
      </c>
      <c r="AV197" s="23">
        <f>EXP(-LN(2)/25)*AV196+(1-EXP(-LN(2)/25))/(LN(2)/25)*Calculateur!AQ197*Calculateur!AS197*VLOOKUP('Données projet'!$B$10,Paramètres!$A$1:$I$88,3,0)*0.475*44/12</f>
        <v>1.3626052070041728</v>
      </c>
      <c r="AW197" s="23">
        <f>EXP(-LN(2)/2)*AW196+(1-EXP(-LN(2)/2))/(LN(2)/2)*AQ197*AT197*VLOOKUP('Données projet'!$B$10,Paramètres!$A$1:$I$88,3,0)*0.475*44/12</f>
        <v>0</v>
      </c>
      <c r="AX197" s="23">
        <f t="shared" si="166"/>
        <v>8.013796149125417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69.706520150993697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6.8212102632969618E-13</v>
      </c>
      <c r="BE197" s="14">
        <f>BD197*VLOOKUP('Données projet'!$B$11,Paramètres!$A$1:$I$88,3,0)*VLOOKUP('Données projet'!$B$11,Paramètres!$A$1:$I$88,5,0)</f>
        <v>3.1923264032229784E-13</v>
      </c>
      <c r="BF197" s="14">
        <f t="shared" si="167"/>
        <v>4.1896839804541558E-12</v>
      </c>
      <c r="BG197" s="22">
        <f t="shared" si="168"/>
        <v>7.8530297811856558E-12</v>
      </c>
      <c r="BH197" s="62">
        <f t="shared" si="194"/>
        <v>292.2572405536514</v>
      </c>
      <c r="BI197" s="62">
        <f ca="1">AVERAGE(OFFSET($BH$3,0,0,'Données projet'!$E$11+1,1))-AVERAGE(OFFSET($H$3,0,0,'Données projet'!$E$11+1,1))</f>
        <v>364.96458059055169</v>
      </c>
      <c r="BJ197" s="62">
        <f t="shared" ref="BJ197:BJ203" si="206">$BJ$3</f>
        <v>246.27159120786257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projet'!$B$11,Paramètres!$A$1:$I$88,7,0))</f>
        <v>0</v>
      </c>
      <c r="BN197" s="17">
        <f>IF(ISNA(VLOOKUP(A197,'Données projet'!$A$87:$I$107,6,0)),0%,VLOOKUP(A197,'Données projet'!$A$87:$I$107,6,0)*VLOOKUP('Données projet'!$B$11,Paramètres!$A$1:$I$88,7,0))</f>
        <v>0</v>
      </c>
      <c r="BO197" s="17">
        <f>IF(ISNA(VLOOKUP(A197,'Données projet'!$A$87:$I$107,7,0)),0%,VLOOKUP(A197,'Données projet'!$A$87:$I$107,7,0))</f>
        <v>0</v>
      </c>
      <c r="BP197" s="23">
        <f>EXP(-LN(2)/35)*BP196+(1-EXP(-LN(2)/35))/(LN(2)/35)*BL197*BM197*VLOOKUP('Données projet'!$B$11,Paramètres!$A$1:$I$88,3,0)*0.475*44/12</f>
        <v>37.000909609709488</v>
      </c>
      <c r="BQ197" s="23">
        <f>EXP(-LN(2)/25)*BQ196+(1-EXP(-LN(2)/25))/(LN(2)/25)*Calculateur!BL197*Calculateur!BN197*VLOOKUP('Données projet'!$B$11,Paramètres!$A$1:$I$88,3,0)*0.475*44/12</f>
        <v>7.4402998756792931</v>
      </c>
      <c r="BR197" s="23">
        <f>EXP(-LN(2)/2)*BR196+(1-EXP(-LN(2)/2))/(LN(2)/2)*BL197*BO197*VLOOKUP('Données projet'!$B$11,Paramètres!$A$1:$I$88,3,0)*0.475*44/12</f>
        <v>0</v>
      </c>
      <c r="BS197" s="24">
        <f t="shared" si="169"/>
        <v>44.441209485388782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69.706520150993697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-1.1368683772161603E-13</v>
      </c>
      <c r="BZ197" s="14">
        <f>BY197*VLOOKUP('Données projet'!$B$12,Paramètres!$A$1:$I$88,3,0)*VLOOKUP('Données projet'!$B$12,Paramètres!$A$1:$I$88,5,0)</f>
        <v>-1.1527845344971866E-13</v>
      </c>
      <c r="CA197" s="14" t="e">
        <f t="shared" si="170"/>
        <v>#NUM!</v>
      </c>
      <c r="CB197" s="22" t="e">
        <f t="shared" si="171"/>
        <v>#NUM!</v>
      </c>
      <c r="CC197" s="62" t="e">
        <f t="shared" si="195"/>
        <v>#NUM!</v>
      </c>
      <c r="CD197" s="62">
        <f ca="1">AVERAGE(OFFSET($CC$3,0,0,'Données projet'!$E$12+1,1))-AVERAGE(OFFSET($H$3,0,0,'Données projet'!$E$12+1,1))</f>
        <v>310.53598044763282</v>
      </c>
      <c r="CE197" s="62">
        <f t="shared" ref="CE197:CE203" si="207">$CE$3</f>
        <v>322.01096634040596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projet'!$B$12,Paramètres!$A$1:$I$88,7,0))</f>
        <v>0</v>
      </c>
      <c r="CI197" s="17">
        <f>IF(ISNA(VLOOKUP(A197,'Données projet'!$A$113:$I$133,6,0)),0%,VLOOKUP(A197,'Données projet'!$A$113:$I$133,6,0)*VLOOKUP('Données projet'!$B$12,Paramètres!$A$1:$I$88,7,0))</f>
        <v>0</v>
      </c>
      <c r="CJ197" s="17">
        <f>IF(ISNA(VLOOKUP(A197,'Données projet'!$A$113:$I$133,7,0)),0%,VLOOKUP(A197,'Données projet'!$A$113:$I$133,7,0))</f>
        <v>0</v>
      </c>
      <c r="CK197" s="23">
        <f>EXP(-LN(2)/35)*CK196+(1-EXP(-LN(2)/35))/(LN(2)/35)*CG197*CH197*VLOOKUP('Données projet'!$B$12,Paramètres!$A$1:$I$88,3,0)*0.475*44/12</f>
        <v>5.0889706136241717</v>
      </c>
      <c r="CL197" s="23">
        <f>EXP(-LN(2)/25)*CL196+(1-EXP(-LN(2)/25))/(LN(2)/25)*Calculateur!CG197*Calculateur!CI197*VLOOKUP('Données projet'!$B$12,Paramètres!$A$1:$I$88,3,0)*0.475*44/12</f>
        <v>0</v>
      </c>
      <c r="CM197" s="23">
        <f>EXP(-LN(2)/2)*CM196+(1-EXP(-LN(2)/2))/(LN(2)/2)*CG197*CJ197*VLOOKUP('Données projet'!$B$12,Paramètres!$A$1:$I$88,3,0)*0.475*44/12</f>
        <v>0</v>
      </c>
      <c r="CN197" s="24">
        <f t="shared" si="172"/>
        <v>5.0889706136241717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69.706520150993697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projet'!$B$13,Paramètres!$A$1:$I$88,3,0)*VLOOKUP('Données projet'!$B$13,Paramètres!$A$1:$I$88,5,0)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projet'!$B$13,Paramètres!$A$1:$I$88,7,0))</f>
        <v>0</v>
      </c>
      <c r="DD197" s="17">
        <f>IF(ISNA(VLOOKUP(A197,'Données projet'!$A$139:$I$159,6,0)),0%,VLOOKUP(A197,'Données projet'!$A$139:$I$159,6,0)*VLOOKUP('Données projet'!$B$13,Paramètres!$A$1:$I$88,7,0))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projet'!$B$13,Paramètres!$A$1:$I$88,3,0)*0.475*44/12</f>
        <v>#N/A</v>
      </c>
      <c r="DG197" s="23" t="e">
        <f>EXP(-LN(2)/25)*DG196+(1-EXP(-LN(2)/25))/(LN(2)/25)*Calculateur!DB197*Calculateur!DD197*VLOOKUP('Données projet'!$B$13,Paramètres!$A$1:$I$88,3,0)*0.475*44/12</f>
        <v>#N/A</v>
      </c>
      <c r="DH197" s="23" t="e">
        <f>EXP(-LN(2)/2)*DH196+(1-EXP(-LN(2)/2))/(LN(2)/2)*DB197*DE197*VLOOKUP('Données projet'!$B$13,Paramètres!$A$1:$I$88,3,0)*0.475*44/12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69.706520150993697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projet'!$B$14,Paramètres!$A$1:$I$88,3,0)*VLOOKUP('Données projet'!$B$14,Paramètres!$A$1:$I$88,5,0)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projet'!$B$14,Paramètres!$A$1:$I$88,7,0))</f>
        <v>0</v>
      </c>
      <c r="DY197" s="17">
        <f>IF(ISNA(VLOOKUP(A197,'Données projet'!$A$165:$I$185,6,0)),0%,VLOOKUP(A197,'Données projet'!$A$165:$I$185,6,0)*VLOOKUP('Données projet'!$B$14,Paramètres!$A$1:$I$88,7,0))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projet'!$B$14,Paramètres!$A$1:$I$88,3,0)*0.475*44/12</f>
        <v>#N/A</v>
      </c>
      <c r="EB197" s="23" t="e">
        <f>EXP(-LN(2)/25)*EB196+(1-EXP(-LN(2)/25))/(LN(2)/25)*Calculateur!DW197*Calculateur!DY197*VLOOKUP('Données projet'!$B$14,Paramètres!$A$1:$I$88,3,0)*0.475*44/12</f>
        <v>#N/A</v>
      </c>
      <c r="EC197" s="23" t="e">
        <f>EXP(-LN(2)/2)*EC196+(1-EXP(-LN(2)/2))/(LN(2)/2)*DW197*DZ197*VLOOKUP('Données projet'!$B$14,Paramètres!$A$1:$I$88,3,0)*0.475*44/12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69.706520150993697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projet'!$B$15,Paramètres!$A$1:$I$88,3,0)*VLOOKUP('Données projet'!$B$15,Paramètres!$A$1:$I$88,5,0)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projet'!$B$15,Paramètres!$A$1:$I$88,7,0))</f>
        <v>0</v>
      </c>
      <c r="ET197" s="17">
        <f>IF(ISNA(VLOOKUP(A197,'Données projet'!$A$191:$I$211,6,0)),0%,VLOOKUP(A197,'Données projet'!$A$191:$I$211,6,0)*VLOOKUP('Données projet'!$B$15,Paramètres!$A$1:$I$88,7,0))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projet'!$B$15,Paramètres!$A$1:$I$88,3,0)*0.475*44/12</f>
        <v>#N/A</v>
      </c>
      <c r="EW197" s="23" t="e">
        <f>EXP(-LN(2)/25)*EW196+(1-EXP(-LN(2)/25))/(LN(2)/25)*Calculateur!ER197*Calculateur!ET197*VLOOKUP('Données projet'!$B$15,Paramètres!$A$1:$I$88,3,0)*0.475*44/12</f>
        <v>#N/A</v>
      </c>
      <c r="EX197" s="23" t="e">
        <f>EXP(-LN(2)/2)*EX196+(1-EXP(-LN(2)/2))/(LN(2)/2)*ER197*EU197*VLOOKUP('Données projet'!$B$15,Paramètres!$A$1:$I$88,3,0)*0.475*44/12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69.706520150993697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projet'!$B$16,Paramètres!$A$1:$I$88,3,0)*VLOOKUP('Données projet'!$B$16,Paramètres!$A$1:$I$88,5,0)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projet'!$B$16,Paramètres!$A$1:$I$88,7,0))</f>
        <v>0</v>
      </c>
      <c r="FO197" s="17">
        <f>IF(ISNA(VLOOKUP(A197,'Données projet'!$A$217:$I$237,6,0)),0%,VLOOKUP(A197,'Données projet'!$A$217:$I$237,6,0)*VLOOKUP('Données projet'!$B$16,Paramètres!$A$1:$I$88,7,0))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projet'!$B$16,Paramètres!$A$1:$I$88,3,0)*0.475*44/12</f>
        <v>#N/A</v>
      </c>
      <c r="FR197" s="23" t="e">
        <f>EXP(-LN(2)/25)*FR196+(1-EXP(-LN(2)/25))/(LN(2)/25)*Calculateur!FM197*Calculateur!FO197*VLOOKUP('Données projet'!$B$16,Paramètres!$A$1:$I$88,3,0)*0.475*44/12</f>
        <v>#N/A</v>
      </c>
      <c r="FS197" s="23" t="e">
        <f>EXP(-LN(2)/2)*FS196+(1-EXP(-LN(2)/2))/(LN(2)/2)*FM197*FP197*VLOOKUP('Données projet'!$B$16,Paramètres!$A$1:$I$88,3,0)*0.475*44/12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69.706520150993697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projet'!$B$17,Paramètres!$A$1:$I$88,3,0)*VLOOKUP('Données projet'!$B$17,Paramètres!$A$1:$I$88,5,0)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projet'!$B$17,Paramètres!$A$1:$I$88,7,0))</f>
        <v>0</v>
      </c>
      <c r="GJ197" s="17">
        <f>IF(ISNA(VLOOKUP(A197,'Données projet'!$A$243:$I$263,6,0)),0%,VLOOKUP(A197,'Données projet'!$A$243:$I$263,6,0)*VLOOKUP('Données projet'!$B$17,Paramètres!$A$1:$I$88,7,0))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projet'!$B$17,Paramètres!$A$1:$I$88,3,0)*0.475*44/12</f>
        <v>#N/A</v>
      </c>
      <c r="GM197" s="23" t="e">
        <f>EXP(-LN(2)/25)*GM196+(1-EXP(-LN(2)/25))/(LN(2)/25)*Calculateur!GH197*Calculateur!GJ197*VLOOKUP('Données projet'!$B$17,Paramètres!$A$1:$I$88,3,0)*0.475*44/12</f>
        <v>#N/A</v>
      </c>
      <c r="GN197" s="23" t="e">
        <f>EXP(-LN(2)/2)*GN196+(1-EXP(-LN(2)/2))/(LN(2)/2)*GH197*GK197*VLOOKUP('Données projet'!$B$17,Paramètres!$A$1:$I$88,3,0)*0.475*44/12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69.706520150993697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projet'!$B$18,Paramètres!$A$1:$I$88,3,0)*VLOOKUP('Données projet'!$B$18,Paramètres!$A$1:$I$88,5,0)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projet'!$B$18,Paramètres!$A$1:$I$88,7,0))</f>
        <v>0</v>
      </c>
      <c r="HE197" s="17">
        <f>IF(ISNA(VLOOKUP(A197,'Données projet'!$A$269:$I$289,6,0)),0%,VLOOKUP(A197,'Données projet'!$A$269:$I$289,6,0)*VLOOKUP('Données projet'!$B$18,Paramètres!$A$1:$I$88,7,0))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projet'!$B$18,Paramètres!$A$1:$I$88,3,0)*0.475*44/12</f>
        <v>#N/A</v>
      </c>
      <c r="HH197" s="23" t="e">
        <f>EXP(-LN(2)/25)*HH196+(1-EXP(-LN(2)/25))/(LN(2)/25)*Calculateur!HC197*Calculateur!HE197*VLOOKUP('Données projet'!$B$18,Paramètres!$A$1:$I$88,3,0)*0.475*44/12</f>
        <v>#N/A</v>
      </c>
      <c r="HI197" s="23" t="e">
        <f>EXP(-LN(2)/2)*HI196+(1-EXP(-LN(2)/2))/(LN(2)/2)*HC197*HF197*VLOOKUP('Données projet'!$B$18,Paramètres!$A$1:$I$88,3,0)*0.475*44/12</f>
        <v>#N/A</v>
      </c>
      <c r="HJ197" s="24" t="e">
        <f t="shared" si="190"/>
        <v>#N/A</v>
      </c>
    </row>
    <row r="198" spans="1:218" x14ac:dyDescent="0.35">
      <c r="A198" s="11">
        <f t="shared" si="161"/>
        <v>195</v>
      </c>
      <c r="B198" s="77">
        <f>'Scénario référence'!$B$16*5+'Scénario référence'!$B$17*0+'Scénario référence'!$B$18*5</f>
        <v>1.75</v>
      </c>
      <c r="C198" s="20">
        <f>Calculateur!C197+'Scénario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98" s="12">
        <f t="shared" si="202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6.416666666666667</v>
      </c>
      <c r="H198" s="70">
        <f t="shared" si="192"/>
        <v>231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69.711611370251319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3.4106051316484809E-13</v>
      </c>
      <c r="O198" s="14">
        <f>N198*VLOOKUP('Données projet'!$B$9,Paramètres!$A$1:$I$88,3,0)*VLOOKUP('Données projet'!$B$9,Paramètres!$A$1:$I$88,5,0)</f>
        <v>1.9065282685915009E-13</v>
      </c>
      <c r="P198" s="14">
        <f t="shared" si="203"/>
        <v>2.6568987209435707E-12</v>
      </c>
      <c r="Q198" s="22">
        <f t="shared" si="162"/>
        <v>4.959485612423072E-12</v>
      </c>
      <c r="R198" s="62">
        <f t="shared" si="191"/>
        <v>292.2759083575931</v>
      </c>
      <c r="S198" s="62">
        <f ca="1">AVERAGE(OFFSET($R$3,0,0,'Données projet'!$E$9+1,1))-AVERAGE(OFFSET($H$3,0,0,'Données projet'!$E$9+1,1))</f>
        <v>341.05096821796769</v>
      </c>
      <c r="T198" s="62">
        <f t="shared" si="204"/>
        <v>400.72519822215168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projet'!$B$9,Paramètres!$A$1:$I$88,7,0))</f>
        <v>0</v>
      </c>
      <c r="X198" s="17">
        <f>IF(ISNA(VLOOKUP(A198,'Données projet'!$A$35:$I$55,6,0)),0%,VLOOKUP(A198,'Données projet'!$A$35:$I$55,6,0)*VLOOKUP('Données projet'!$B$9,Paramètres!$A$1:$I$88,7,0))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projet'!$B$9,Paramètres!$A$1:$I$88,3,0)*0.475*44/12</f>
        <v>16.535496122959028</v>
      </c>
      <c r="AA198" s="23">
        <f>EXP(-LN(2)/25)*AA197+(1-EXP(-LN(2)/25))/(LN(2)/25)*Calculateur!V198*Calculateur!X198*VLOOKUP('Données projet'!$B$9,Paramètres!$A$1:$I$88,3,0)*0.475*44/12</f>
        <v>3.1385840647144616</v>
      </c>
      <c r="AB198" s="23">
        <f>EXP(-LN(2)/2)*AB197+(1-EXP(-LN(2)/2))/(LN(2)/2)*V198*Y198*VLOOKUP('Données projet'!$B$9,Paramètres!$A$1:$I$88,3,0)*0.475*44/12</f>
        <v>0</v>
      </c>
      <c r="AC198" s="24">
        <f t="shared" si="163"/>
        <v>19.674080187673489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69.711611370251319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5.6843418860808015E-14</v>
      </c>
      <c r="AJ198" s="14">
        <f>AI198*VLOOKUP('Données projet'!$B$10,Paramètres!$A$1:$I$88,3,0)*VLOOKUP('Données projet'!$B$10,Paramètres!$A$1:$I$88,5,0)</f>
        <v>3.3992364478763198E-14</v>
      </c>
      <c r="AK198" s="14">
        <f t="shared" si="164"/>
        <v>5.790027782444094E-13</v>
      </c>
      <c r="AL198" s="22">
        <f t="shared" si="165"/>
        <v>1.0676332069095257E-12</v>
      </c>
      <c r="AM198" s="62">
        <f t="shared" si="193"/>
        <v>292.27590835758923</v>
      </c>
      <c r="AN198" s="62">
        <f ca="1">AVERAGE(OFFSET($AM$3,0,0,'Données projet'!$E$10+1,1))-AVERAGE(OFFSET($H$3,0,0,'Données projet'!$E$10+1,1))</f>
        <v>231.96474801342879</v>
      </c>
      <c r="AO198" s="62">
        <f t="shared" si="205"/>
        <v>237.75726086383668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projet'!$B$10,Paramètres!$A$1:$I$88,7,0))</f>
        <v>0</v>
      </c>
      <c r="AS198" s="17">
        <f>IF(ISNA(VLOOKUP(A198,'Données projet'!$A$61:$I$81,6,0)),0%,VLOOKUP(A198,'Données projet'!$A$61:$I$81,6,0)*VLOOKUP('Données projet'!$B$10,Paramètres!$A$1:$I$88,7,0))</f>
        <v>0</v>
      </c>
      <c r="AT198" s="17">
        <f>IF(ISNA(VLOOKUP(A198,'Données projet'!$A$61:$I$81,7,0)),0%,VLOOKUP(A198,'Données projet'!$A$61:$I$81,7,0))</f>
        <v>0</v>
      </c>
      <c r="AU198" s="23">
        <f>EXP(-LN(2)/35)*AU197+(1-EXP(-LN(2)/35))/(LN(2)/35)*AQ198*AR198*VLOOKUP('Données projet'!$B$10,Paramètres!$A$1:$I$88,3,0)*0.475*44/12</f>
        <v>6.5207651445721435</v>
      </c>
      <c r="AV198" s="23">
        <f>EXP(-LN(2)/25)*AV197+(1-EXP(-LN(2)/25))/(LN(2)/25)*Calculateur!AQ198*Calculateur!AS198*VLOOKUP('Données projet'!$B$10,Paramètres!$A$1:$I$88,3,0)*0.475*44/12</f>
        <v>1.3253446959623501</v>
      </c>
      <c r="AW198" s="23">
        <f>EXP(-LN(2)/2)*AW197+(1-EXP(-LN(2)/2))/(LN(2)/2)*AQ198*AT198*VLOOKUP('Données projet'!$B$10,Paramètres!$A$1:$I$88,3,0)*0.475*44/12</f>
        <v>0</v>
      </c>
      <c r="AX198" s="23">
        <f t="shared" si="166"/>
        <v>7.8461098405344938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69.711611370251319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6.8212102632969618E-13</v>
      </c>
      <c r="BE198" s="14">
        <f>BD198*VLOOKUP('Données projet'!$B$11,Paramètres!$A$1:$I$88,3,0)*VLOOKUP('Données projet'!$B$11,Paramètres!$A$1:$I$88,5,0)</f>
        <v>3.1923264032229784E-13</v>
      </c>
      <c r="BF198" s="14">
        <f t="shared" si="167"/>
        <v>4.1896839804541558E-12</v>
      </c>
      <c r="BG198" s="22">
        <f t="shared" si="168"/>
        <v>7.8530297811856558E-12</v>
      </c>
      <c r="BH198" s="62">
        <f t="shared" si="194"/>
        <v>292.27590835759599</v>
      </c>
      <c r="BI198" s="62">
        <f ca="1">AVERAGE(OFFSET($BH$3,0,0,'Données projet'!$E$11+1,1))-AVERAGE(OFFSET($H$3,0,0,'Données projet'!$E$11+1,1))</f>
        <v>364.96458059055169</v>
      </c>
      <c r="BJ198" s="62">
        <f t="shared" si="206"/>
        <v>246.27159120786257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projet'!$B$11,Paramètres!$A$1:$I$88,7,0))</f>
        <v>0</v>
      </c>
      <c r="BN198" s="17">
        <f>IF(ISNA(VLOOKUP(A198,'Données projet'!$A$87:$I$107,6,0)),0%,VLOOKUP(A198,'Données projet'!$A$87:$I$107,6,0)*VLOOKUP('Données projet'!$B$11,Paramètres!$A$1:$I$88,7,0))</f>
        <v>0</v>
      </c>
      <c r="BO198" s="17">
        <f>IF(ISNA(VLOOKUP(A198,'Données projet'!$A$87:$I$107,7,0)),0%,VLOOKUP(A198,'Données projet'!$A$87:$I$107,7,0))</f>
        <v>0</v>
      </c>
      <c r="BP198" s="23">
        <f>EXP(-LN(2)/35)*BP197+(1-EXP(-LN(2)/35))/(LN(2)/35)*BL198*BM198*VLOOKUP('Données projet'!$B$11,Paramètres!$A$1:$I$88,3,0)*0.475*44/12</f>
        <v>36.275344340589513</v>
      </c>
      <c r="BQ198" s="23">
        <f>EXP(-LN(2)/25)*BQ197+(1-EXP(-LN(2)/25))/(LN(2)/25)*Calculateur!BL198*Calculateur!BN198*VLOOKUP('Données projet'!$B$11,Paramètres!$A$1:$I$88,3,0)*0.475*44/12</f>
        <v>7.2368444843104776</v>
      </c>
      <c r="BR198" s="23">
        <f>EXP(-LN(2)/2)*BR197+(1-EXP(-LN(2)/2))/(LN(2)/2)*BL198*BO198*VLOOKUP('Données projet'!$B$11,Paramètres!$A$1:$I$88,3,0)*0.475*44/12</f>
        <v>0</v>
      </c>
      <c r="BS198" s="24">
        <f t="shared" si="169"/>
        <v>43.512188824899994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69.711611370251319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-1.1368683772161603E-13</v>
      </c>
      <c r="BZ198" s="14">
        <f>BY198*VLOOKUP('Données projet'!$B$12,Paramètres!$A$1:$I$88,3,0)*VLOOKUP('Données projet'!$B$12,Paramètres!$A$1:$I$88,5,0)</f>
        <v>-1.1527845344971866E-13</v>
      </c>
      <c r="CA198" s="14" t="e">
        <f t="shared" si="170"/>
        <v>#NUM!</v>
      </c>
      <c r="CB198" s="22" t="e">
        <f t="shared" si="171"/>
        <v>#NUM!</v>
      </c>
      <c r="CC198" s="62" t="e">
        <f t="shared" si="195"/>
        <v>#NUM!</v>
      </c>
      <c r="CD198" s="62">
        <f ca="1">AVERAGE(OFFSET($CC$3,0,0,'Données projet'!$E$12+1,1))-AVERAGE(OFFSET($H$3,0,0,'Données projet'!$E$12+1,1))</f>
        <v>310.53598044763282</v>
      </c>
      <c r="CE198" s="62">
        <f t="shared" si="207"/>
        <v>322.01096634040596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projet'!$B$12,Paramètres!$A$1:$I$88,7,0))</f>
        <v>0</v>
      </c>
      <c r="CI198" s="17">
        <f>IF(ISNA(VLOOKUP(A198,'Données projet'!$A$113:$I$133,6,0)),0%,VLOOKUP(A198,'Données projet'!$A$113:$I$133,6,0)*VLOOKUP('Données projet'!$B$12,Paramètres!$A$1:$I$88,7,0))</f>
        <v>0</v>
      </c>
      <c r="CJ198" s="17">
        <f>IF(ISNA(VLOOKUP(A198,'Données projet'!$A$113:$I$133,7,0)),0%,VLOOKUP(A198,'Données projet'!$A$113:$I$133,7,0))</f>
        <v>0</v>
      </c>
      <c r="CK198" s="23">
        <f>EXP(-LN(2)/35)*CK197+(1-EXP(-LN(2)/35))/(LN(2)/35)*CG198*CH198*VLOOKUP('Données projet'!$B$12,Paramètres!$A$1:$I$88,3,0)*0.475*44/12</f>
        <v>4.9891790038565844</v>
      </c>
      <c r="CL198" s="23">
        <f>EXP(-LN(2)/25)*CL197+(1-EXP(-LN(2)/25))/(LN(2)/25)*Calculateur!CG198*Calculateur!CI198*VLOOKUP('Données projet'!$B$12,Paramètres!$A$1:$I$88,3,0)*0.475*44/12</f>
        <v>0</v>
      </c>
      <c r="CM198" s="23">
        <f>EXP(-LN(2)/2)*CM197+(1-EXP(-LN(2)/2))/(LN(2)/2)*CG198*CJ198*VLOOKUP('Données projet'!$B$12,Paramètres!$A$1:$I$88,3,0)*0.475*44/12</f>
        <v>0</v>
      </c>
      <c r="CN198" s="24">
        <f t="shared" si="172"/>
        <v>4.9891790038565844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69.711611370251319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projet'!$B$13,Paramètres!$A$1:$I$88,3,0)*VLOOKUP('Données projet'!$B$13,Paramètres!$A$1:$I$88,5,0)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projet'!$B$13,Paramètres!$A$1:$I$88,7,0))</f>
        <v>0</v>
      </c>
      <c r="DD198" s="17">
        <f>IF(ISNA(VLOOKUP(A198,'Données projet'!$A$139:$I$159,6,0)),0%,VLOOKUP(A198,'Données projet'!$A$139:$I$159,6,0)*VLOOKUP('Données projet'!$B$13,Paramètres!$A$1:$I$88,7,0))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projet'!$B$13,Paramètres!$A$1:$I$88,3,0)*0.475*44/12</f>
        <v>#N/A</v>
      </c>
      <c r="DG198" s="23" t="e">
        <f>EXP(-LN(2)/25)*DG197+(1-EXP(-LN(2)/25))/(LN(2)/25)*Calculateur!DB198*Calculateur!DD198*VLOOKUP('Données projet'!$B$13,Paramètres!$A$1:$I$88,3,0)*0.475*44/12</f>
        <v>#N/A</v>
      </c>
      <c r="DH198" s="23" t="e">
        <f>EXP(-LN(2)/2)*DH197+(1-EXP(-LN(2)/2))/(LN(2)/2)*DB198*DE198*VLOOKUP('Données projet'!$B$13,Paramètres!$A$1:$I$88,3,0)*0.475*44/12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69.711611370251319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projet'!$B$14,Paramètres!$A$1:$I$88,3,0)*VLOOKUP('Données projet'!$B$14,Paramètres!$A$1:$I$88,5,0)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projet'!$B$14,Paramètres!$A$1:$I$88,7,0))</f>
        <v>0</v>
      </c>
      <c r="DY198" s="17">
        <f>IF(ISNA(VLOOKUP(A198,'Données projet'!$A$165:$I$185,6,0)),0%,VLOOKUP(A198,'Données projet'!$A$165:$I$185,6,0)*VLOOKUP('Données projet'!$B$14,Paramètres!$A$1:$I$88,7,0))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projet'!$B$14,Paramètres!$A$1:$I$88,3,0)*0.475*44/12</f>
        <v>#N/A</v>
      </c>
      <c r="EB198" s="23" t="e">
        <f>EXP(-LN(2)/25)*EB197+(1-EXP(-LN(2)/25))/(LN(2)/25)*Calculateur!DW198*Calculateur!DY198*VLOOKUP('Données projet'!$B$14,Paramètres!$A$1:$I$88,3,0)*0.475*44/12</f>
        <v>#N/A</v>
      </c>
      <c r="EC198" s="23" t="e">
        <f>EXP(-LN(2)/2)*EC197+(1-EXP(-LN(2)/2))/(LN(2)/2)*DW198*DZ198*VLOOKUP('Données projet'!$B$14,Paramètres!$A$1:$I$88,3,0)*0.475*44/12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69.711611370251319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projet'!$B$15,Paramètres!$A$1:$I$88,3,0)*VLOOKUP('Données projet'!$B$15,Paramètres!$A$1:$I$88,5,0)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projet'!$B$15,Paramètres!$A$1:$I$88,7,0))</f>
        <v>0</v>
      </c>
      <c r="ET198" s="17">
        <f>IF(ISNA(VLOOKUP(A198,'Données projet'!$A$191:$I$211,6,0)),0%,VLOOKUP(A198,'Données projet'!$A$191:$I$211,6,0)*VLOOKUP('Données projet'!$B$15,Paramètres!$A$1:$I$88,7,0))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projet'!$B$15,Paramètres!$A$1:$I$88,3,0)*0.475*44/12</f>
        <v>#N/A</v>
      </c>
      <c r="EW198" s="23" t="e">
        <f>EXP(-LN(2)/25)*EW197+(1-EXP(-LN(2)/25))/(LN(2)/25)*Calculateur!ER198*Calculateur!ET198*VLOOKUP('Données projet'!$B$15,Paramètres!$A$1:$I$88,3,0)*0.475*44/12</f>
        <v>#N/A</v>
      </c>
      <c r="EX198" s="23" t="e">
        <f>EXP(-LN(2)/2)*EX197+(1-EXP(-LN(2)/2))/(LN(2)/2)*ER198*EU198*VLOOKUP('Données projet'!$B$15,Paramètres!$A$1:$I$88,3,0)*0.475*44/12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69.711611370251319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projet'!$B$16,Paramètres!$A$1:$I$88,3,0)*VLOOKUP('Données projet'!$B$16,Paramètres!$A$1:$I$88,5,0)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projet'!$B$16,Paramètres!$A$1:$I$88,7,0))</f>
        <v>0</v>
      </c>
      <c r="FO198" s="17">
        <f>IF(ISNA(VLOOKUP(A198,'Données projet'!$A$217:$I$237,6,0)),0%,VLOOKUP(A198,'Données projet'!$A$217:$I$237,6,0)*VLOOKUP('Données projet'!$B$16,Paramètres!$A$1:$I$88,7,0))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projet'!$B$16,Paramètres!$A$1:$I$88,3,0)*0.475*44/12</f>
        <v>#N/A</v>
      </c>
      <c r="FR198" s="23" t="e">
        <f>EXP(-LN(2)/25)*FR197+(1-EXP(-LN(2)/25))/(LN(2)/25)*Calculateur!FM198*Calculateur!FO198*VLOOKUP('Données projet'!$B$16,Paramètres!$A$1:$I$88,3,0)*0.475*44/12</f>
        <v>#N/A</v>
      </c>
      <c r="FS198" s="23" t="e">
        <f>EXP(-LN(2)/2)*FS197+(1-EXP(-LN(2)/2))/(LN(2)/2)*FM198*FP198*VLOOKUP('Données projet'!$B$16,Paramètres!$A$1:$I$88,3,0)*0.475*44/12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69.711611370251319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projet'!$B$17,Paramètres!$A$1:$I$88,3,0)*VLOOKUP('Données projet'!$B$17,Paramètres!$A$1:$I$88,5,0)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projet'!$B$17,Paramètres!$A$1:$I$88,7,0))</f>
        <v>0</v>
      </c>
      <c r="GJ198" s="17">
        <f>IF(ISNA(VLOOKUP(A198,'Données projet'!$A$243:$I$263,6,0)),0%,VLOOKUP(A198,'Données projet'!$A$243:$I$263,6,0)*VLOOKUP('Données projet'!$B$17,Paramètres!$A$1:$I$88,7,0))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projet'!$B$17,Paramètres!$A$1:$I$88,3,0)*0.475*44/12</f>
        <v>#N/A</v>
      </c>
      <c r="GM198" s="23" t="e">
        <f>EXP(-LN(2)/25)*GM197+(1-EXP(-LN(2)/25))/(LN(2)/25)*Calculateur!GH198*Calculateur!GJ198*VLOOKUP('Données projet'!$B$17,Paramètres!$A$1:$I$88,3,0)*0.475*44/12</f>
        <v>#N/A</v>
      </c>
      <c r="GN198" s="23" t="e">
        <f>EXP(-LN(2)/2)*GN197+(1-EXP(-LN(2)/2))/(LN(2)/2)*GH198*GK198*VLOOKUP('Données projet'!$B$17,Paramètres!$A$1:$I$88,3,0)*0.475*44/12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69.711611370251319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projet'!$B$18,Paramètres!$A$1:$I$88,3,0)*VLOOKUP('Données projet'!$B$18,Paramètres!$A$1:$I$88,5,0)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projet'!$B$18,Paramètres!$A$1:$I$88,7,0))</f>
        <v>0</v>
      </c>
      <c r="HE198" s="17">
        <f>IF(ISNA(VLOOKUP(A198,'Données projet'!$A$269:$I$289,6,0)),0%,VLOOKUP(A198,'Données projet'!$A$269:$I$289,6,0)*VLOOKUP('Données projet'!$B$18,Paramètres!$A$1:$I$88,7,0))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projet'!$B$18,Paramètres!$A$1:$I$88,3,0)*0.475*44/12</f>
        <v>#N/A</v>
      </c>
      <c r="HH198" s="23" t="e">
        <f>EXP(-LN(2)/25)*HH197+(1-EXP(-LN(2)/25))/(LN(2)/25)*Calculateur!HC198*Calculateur!HE198*VLOOKUP('Données projet'!$B$18,Paramètres!$A$1:$I$88,3,0)*0.475*44/12</f>
        <v>#N/A</v>
      </c>
      <c r="HI198" s="23" t="e">
        <f>EXP(-LN(2)/2)*HI197+(1-EXP(-LN(2)/2))/(LN(2)/2)*HC198*HF198*VLOOKUP('Données projet'!$B$18,Paramètres!$A$1:$I$88,3,0)*0.475*44/12</f>
        <v>#N/A</v>
      </c>
      <c r="HJ198" s="24" t="e">
        <f t="shared" si="190"/>
        <v>#N/A</v>
      </c>
    </row>
    <row r="199" spans="1:218" x14ac:dyDescent="0.35">
      <c r="A199" s="11">
        <f t="shared" si="161"/>
        <v>196</v>
      </c>
      <c r="B199" s="77">
        <f>'Scénario référence'!$B$16*5+'Scénario référence'!$B$17*0+'Scénario référence'!$B$18*5</f>
        <v>1.75</v>
      </c>
      <c r="C199" s="20">
        <f>Calculateur!C198+'Scénario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99" s="12">
        <f t="shared" si="202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6.416666666666667</v>
      </c>
      <c r="H199" s="70">
        <f t="shared" si="192"/>
        <v>231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69.716614268237066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3.4106051316484809E-13</v>
      </c>
      <c r="O199" s="14">
        <f>N199*VLOOKUP('Données projet'!$B$9,Paramètres!$A$1:$I$88,3,0)*VLOOKUP('Données projet'!$B$9,Paramètres!$A$1:$I$88,5,0)</f>
        <v>1.9065282685915009E-13</v>
      </c>
      <c r="P199" s="14">
        <f t="shared" si="203"/>
        <v>2.6568987209435707E-12</v>
      </c>
      <c r="Q199" s="22">
        <f t="shared" si="162"/>
        <v>4.959485612423072E-12</v>
      </c>
      <c r="R199" s="62">
        <f t="shared" si="191"/>
        <v>292.29425231687418</v>
      </c>
      <c r="S199" s="62">
        <f ca="1">AVERAGE(OFFSET($R$3,0,0,'Données projet'!$E$9+1,1))-AVERAGE(OFFSET($H$3,0,0,'Données projet'!$E$9+1,1))</f>
        <v>341.05096821796769</v>
      </c>
      <c r="T199" s="62">
        <f t="shared" si="204"/>
        <v>400.72519822215168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projet'!$B$9,Paramètres!$A$1:$I$88,7,0))</f>
        <v>0</v>
      </c>
      <c r="X199" s="17">
        <f>IF(ISNA(VLOOKUP(A199,'Données projet'!$A$35:$I$55,6,0)),0%,VLOOKUP(A199,'Données projet'!$A$35:$I$55,6,0)*VLOOKUP('Données projet'!$B$9,Paramètres!$A$1:$I$88,7,0))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projet'!$B$9,Paramètres!$A$1:$I$88,3,0)*0.475*44/12</f>
        <v>16.21124512964456</v>
      </c>
      <c r="AA199" s="23">
        <f>EXP(-LN(2)/25)*AA198+(1-EXP(-LN(2)/25))/(LN(2)/25)*Calculateur!V199*Calculateur!X199*VLOOKUP('Données projet'!$B$9,Paramètres!$A$1:$I$88,3,0)*0.475*44/12</f>
        <v>3.0527593184138819</v>
      </c>
      <c r="AB199" s="23">
        <f>EXP(-LN(2)/2)*AB198+(1-EXP(-LN(2)/2))/(LN(2)/2)*V199*Y199*VLOOKUP('Données projet'!$B$9,Paramètres!$A$1:$I$88,3,0)*0.475*44/12</f>
        <v>0</v>
      </c>
      <c r="AC199" s="24">
        <f t="shared" si="163"/>
        <v>19.264004448058444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69.716614268237066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5.6843418860808015E-14</v>
      </c>
      <c r="AJ199" s="14">
        <f>AI199*VLOOKUP('Données projet'!$B$10,Paramètres!$A$1:$I$88,3,0)*VLOOKUP('Données projet'!$B$10,Paramètres!$A$1:$I$88,5,0)</f>
        <v>3.3992364478763198E-14</v>
      </c>
      <c r="AK199" s="14">
        <f t="shared" si="164"/>
        <v>5.790027782444094E-13</v>
      </c>
      <c r="AL199" s="22">
        <f t="shared" si="165"/>
        <v>1.0676332069095257E-12</v>
      </c>
      <c r="AM199" s="62">
        <f t="shared" si="193"/>
        <v>292.29425231687031</v>
      </c>
      <c r="AN199" s="62">
        <f ca="1">AVERAGE(OFFSET($AM$3,0,0,'Données projet'!$E$10+1,1))-AVERAGE(OFFSET($H$3,0,0,'Données projet'!$E$10+1,1))</f>
        <v>231.96474801342879</v>
      </c>
      <c r="AO199" s="62">
        <f t="shared" si="205"/>
        <v>237.75726086383668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projet'!$B$10,Paramètres!$A$1:$I$88,7,0))</f>
        <v>0</v>
      </c>
      <c r="AS199" s="17">
        <f>IF(ISNA(VLOOKUP(A199,'Données projet'!$A$61:$I$81,6,0)),0%,VLOOKUP(A199,'Données projet'!$A$61:$I$81,6,0)*VLOOKUP('Données projet'!$B$10,Paramètres!$A$1:$I$88,7,0))</f>
        <v>0</v>
      </c>
      <c r="AT199" s="17">
        <f>IF(ISNA(VLOOKUP(A199,'Données projet'!$A$61:$I$81,7,0)),0%,VLOOKUP(A199,'Données projet'!$A$61:$I$81,7,0))</f>
        <v>0</v>
      </c>
      <c r="AU199" s="23">
        <f>EXP(-LN(2)/35)*AU198+(1-EXP(-LN(2)/35))/(LN(2)/35)*AQ199*AR199*VLOOKUP('Données projet'!$B$10,Paramètres!$A$1:$I$88,3,0)*0.475*44/12</f>
        <v>6.3928969173610986</v>
      </c>
      <c r="AV199" s="23">
        <f>EXP(-LN(2)/25)*AV198+(1-EXP(-LN(2)/25))/(LN(2)/25)*Calculateur!AQ199*Calculateur!AS199*VLOOKUP('Données projet'!$B$10,Paramètres!$A$1:$I$88,3,0)*0.475*44/12</f>
        <v>1.2891030755544111</v>
      </c>
      <c r="AW199" s="23">
        <f>EXP(-LN(2)/2)*AW198+(1-EXP(-LN(2)/2))/(LN(2)/2)*AQ199*AT199*VLOOKUP('Données projet'!$B$10,Paramètres!$A$1:$I$88,3,0)*0.475*44/12</f>
        <v>0</v>
      </c>
      <c r="AX199" s="23">
        <f t="shared" si="166"/>
        <v>7.6819999929155092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69.716614268237066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6.8212102632969618E-13</v>
      </c>
      <c r="BE199" s="14">
        <f>BD199*VLOOKUP('Données projet'!$B$11,Paramètres!$A$1:$I$88,3,0)*VLOOKUP('Données projet'!$B$11,Paramètres!$A$1:$I$88,5,0)</f>
        <v>3.1923264032229784E-13</v>
      </c>
      <c r="BF199" s="14">
        <f t="shared" si="167"/>
        <v>4.1896839804541558E-12</v>
      </c>
      <c r="BG199" s="22">
        <f t="shared" si="168"/>
        <v>7.8530297811856558E-12</v>
      </c>
      <c r="BH199" s="62">
        <f t="shared" si="194"/>
        <v>292.29425231687708</v>
      </c>
      <c r="BI199" s="62">
        <f ca="1">AVERAGE(OFFSET($BH$3,0,0,'Données projet'!$E$11+1,1))-AVERAGE(OFFSET($H$3,0,0,'Données projet'!$E$11+1,1))</f>
        <v>364.96458059055169</v>
      </c>
      <c r="BJ199" s="62">
        <f t="shared" si="206"/>
        <v>246.27159120786257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projet'!$B$11,Paramètres!$A$1:$I$88,7,0))</f>
        <v>0</v>
      </c>
      <c r="BN199" s="17">
        <f>IF(ISNA(VLOOKUP(A199,'Données projet'!$A$87:$I$107,6,0)),0%,VLOOKUP(A199,'Données projet'!$A$87:$I$107,6,0)*VLOOKUP('Données projet'!$B$11,Paramètres!$A$1:$I$88,7,0))</f>
        <v>0</v>
      </c>
      <c r="BO199" s="17">
        <f>IF(ISNA(VLOOKUP(A199,'Données projet'!$A$87:$I$107,7,0)),0%,VLOOKUP(A199,'Données projet'!$A$87:$I$107,7,0))</f>
        <v>0</v>
      </c>
      <c r="BP199" s="23">
        <f>EXP(-LN(2)/35)*BP198+(1-EXP(-LN(2)/35))/(LN(2)/35)*BL199*BM199*VLOOKUP('Données projet'!$B$11,Paramètres!$A$1:$I$88,3,0)*0.475*44/12</f>
        <v>35.564006963845863</v>
      </c>
      <c r="BQ199" s="23">
        <f>EXP(-LN(2)/25)*BQ198+(1-EXP(-LN(2)/25))/(LN(2)/25)*Calculateur!BL199*Calculateur!BN199*VLOOKUP('Données projet'!$B$11,Paramètres!$A$1:$I$88,3,0)*0.475*44/12</f>
        <v>7.0389525913178961</v>
      </c>
      <c r="BR199" s="23">
        <f>EXP(-LN(2)/2)*BR198+(1-EXP(-LN(2)/2))/(LN(2)/2)*BL199*BO199*VLOOKUP('Données projet'!$B$11,Paramètres!$A$1:$I$88,3,0)*0.475*44/12</f>
        <v>0</v>
      </c>
      <c r="BS199" s="24">
        <f t="shared" si="169"/>
        <v>42.602959555163757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69.716614268237066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-1.1368683772161603E-13</v>
      </c>
      <c r="BZ199" s="14">
        <f>BY199*VLOOKUP('Données projet'!$B$12,Paramètres!$A$1:$I$88,3,0)*VLOOKUP('Données projet'!$B$12,Paramètres!$A$1:$I$88,5,0)</f>
        <v>-1.1527845344971866E-13</v>
      </c>
      <c r="CA199" s="14" t="e">
        <f t="shared" si="170"/>
        <v>#NUM!</v>
      </c>
      <c r="CB199" s="22" t="e">
        <f t="shared" si="171"/>
        <v>#NUM!</v>
      </c>
      <c r="CC199" s="62" t="e">
        <f t="shared" si="195"/>
        <v>#NUM!</v>
      </c>
      <c r="CD199" s="62">
        <f ca="1">AVERAGE(OFFSET($CC$3,0,0,'Données projet'!$E$12+1,1))-AVERAGE(OFFSET($H$3,0,0,'Données projet'!$E$12+1,1))</f>
        <v>310.53598044763282</v>
      </c>
      <c r="CE199" s="62">
        <f t="shared" si="207"/>
        <v>322.01096634040596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projet'!$B$12,Paramètres!$A$1:$I$88,7,0))</f>
        <v>0</v>
      </c>
      <c r="CI199" s="17">
        <f>IF(ISNA(VLOOKUP(A199,'Données projet'!$A$113:$I$133,6,0)),0%,VLOOKUP(A199,'Données projet'!$A$113:$I$133,6,0)*VLOOKUP('Données projet'!$B$12,Paramètres!$A$1:$I$88,7,0))</f>
        <v>0</v>
      </c>
      <c r="CJ199" s="17">
        <f>IF(ISNA(VLOOKUP(A199,'Données projet'!$A$113:$I$133,7,0)),0%,VLOOKUP(A199,'Données projet'!$A$113:$I$133,7,0))</f>
        <v>0</v>
      </c>
      <c r="CK199" s="23">
        <f>EXP(-LN(2)/35)*CK198+(1-EXP(-LN(2)/35))/(LN(2)/35)*CG199*CH199*VLOOKUP('Données projet'!$B$12,Paramètres!$A$1:$I$88,3,0)*0.475*44/12</f>
        <v>4.8913442466896679</v>
      </c>
      <c r="CL199" s="23">
        <f>EXP(-LN(2)/25)*CL198+(1-EXP(-LN(2)/25))/(LN(2)/25)*Calculateur!CG199*Calculateur!CI199*VLOOKUP('Données projet'!$B$12,Paramètres!$A$1:$I$88,3,0)*0.475*44/12</f>
        <v>0</v>
      </c>
      <c r="CM199" s="23">
        <f>EXP(-LN(2)/2)*CM198+(1-EXP(-LN(2)/2))/(LN(2)/2)*CG199*CJ199*VLOOKUP('Données projet'!$B$12,Paramètres!$A$1:$I$88,3,0)*0.475*44/12</f>
        <v>0</v>
      </c>
      <c r="CN199" s="24">
        <f t="shared" si="172"/>
        <v>4.8913442466896679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69.716614268237066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projet'!$B$13,Paramètres!$A$1:$I$88,3,0)*VLOOKUP('Données projet'!$B$13,Paramètres!$A$1:$I$88,5,0)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projet'!$B$13,Paramètres!$A$1:$I$88,7,0))</f>
        <v>0</v>
      </c>
      <c r="DD199" s="17">
        <f>IF(ISNA(VLOOKUP(A199,'Données projet'!$A$139:$I$159,6,0)),0%,VLOOKUP(A199,'Données projet'!$A$139:$I$159,6,0)*VLOOKUP('Données projet'!$B$13,Paramètres!$A$1:$I$88,7,0))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projet'!$B$13,Paramètres!$A$1:$I$88,3,0)*0.475*44/12</f>
        <v>#N/A</v>
      </c>
      <c r="DG199" s="23" t="e">
        <f>EXP(-LN(2)/25)*DG198+(1-EXP(-LN(2)/25))/(LN(2)/25)*Calculateur!DB199*Calculateur!DD199*VLOOKUP('Données projet'!$B$13,Paramètres!$A$1:$I$88,3,0)*0.475*44/12</f>
        <v>#N/A</v>
      </c>
      <c r="DH199" s="23" t="e">
        <f>EXP(-LN(2)/2)*DH198+(1-EXP(-LN(2)/2))/(LN(2)/2)*DB199*DE199*VLOOKUP('Données projet'!$B$13,Paramètres!$A$1:$I$88,3,0)*0.475*44/12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69.716614268237066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projet'!$B$14,Paramètres!$A$1:$I$88,3,0)*VLOOKUP('Données projet'!$B$14,Paramètres!$A$1:$I$88,5,0)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projet'!$B$14,Paramètres!$A$1:$I$88,7,0))</f>
        <v>0</v>
      </c>
      <c r="DY199" s="17">
        <f>IF(ISNA(VLOOKUP(A199,'Données projet'!$A$165:$I$185,6,0)),0%,VLOOKUP(A199,'Données projet'!$A$165:$I$185,6,0)*VLOOKUP('Données projet'!$B$14,Paramètres!$A$1:$I$88,7,0))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projet'!$B$14,Paramètres!$A$1:$I$88,3,0)*0.475*44/12</f>
        <v>#N/A</v>
      </c>
      <c r="EB199" s="23" t="e">
        <f>EXP(-LN(2)/25)*EB198+(1-EXP(-LN(2)/25))/(LN(2)/25)*Calculateur!DW199*Calculateur!DY199*VLOOKUP('Données projet'!$B$14,Paramètres!$A$1:$I$88,3,0)*0.475*44/12</f>
        <v>#N/A</v>
      </c>
      <c r="EC199" s="23" t="e">
        <f>EXP(-LN(2)/2)*EC198+(1-EXP(-LN(2)/2))/(LN(2)/2)*DW199*DZ199*VLOOKUP('Données projet'!$B$14,Paramètres!$A$1:$I$88,3,0)*0.475*44/12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69.716614268237066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projet'!$B$15,Paramètres!$A$1:$I$88,3,0)*VLOOKUP('Données projet'!$B$15,Paramètres!$A$1:$I$88,5,0)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projet'!$B$15,Paramètres!$A$1:$I$88,7,0))</f>
        <v>0</v>
      </c>
      <c r="ET199" s="17">
        <f>IF(ISNA(VLOOKUP(A199,'Données projet'!$A$191:$I$211,6,0)),0%,VLOOKUP(A199,'Données projet'!$A$191:$I$211,6,0)*VLOOKUP('Données projet'!$B$15,Paramètres!$A$1:$I$88,7,0))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projet'!$B$15,Paramètres!$A$1:$I$88,3,0)*0.475*44/12</f>
        <v>#N/A</v>
      </c>
      <c r="EW199" s="23" t="e">
        <f>EXP(-LN(2)/25)*EW198+(1-EXP(-LN(2)/25))/(LN(2)/25)*Calculateur!ER199*Calculateur!ET199*VLOOKUP('Données projet'!$B$15,Paramètres!$A$1:$I$88,3,0)*0.475*44/12</f>
        <v>#N/A</v>
      </c>
      <c r="EX199" s="23" t="e">
        <f>EXP(-LN(2)/2)*EX198+(1-EXP(-LN(2)/2))/(LN(2)/2)*ER199*EU199*VLOOKUP('Données projet'!$B$15,Paramètres!$A$1:$I$88,3,0)*0.475*44/12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69.716614268237066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projet'!$B$16,Paramètres!$A$1:$I$88,3,0)*VLOOKUP('Données projet'!$B$16,Paramètres!$A$1:$I$88,5,0)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projet'!$B$16,Paramètres!$A$1:$I$88,7,0))</f>
        <v>0</v>
      </c>
      <c r="FO199" s="17">
        <f>IF(ISNA(VLOOKUP(A199,'Données projet'!$A$217:$I$237,6,0)),0%,VLOOKUP(A199,'Données projet'!$A$217:$I$237,6,0)*VLOOKUP('Données projet'!$B$16,Paramètres!$A$1:$I$88,7,0))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projet'!$B$16,Paramètres!$A$1:$I$88,3,0)*0.475*44/12</f>
        <v>#N/A</v>
      </c>
      <c r="FR199" s="23" t="e">
        <f>EXP(-LN(2)/25)*FR198+(1-EXP(-LN(2)/25))/(LN(2)/25)*Calculateur!FM199*Calculateur!FO199*VLOOKUP('Données projet'!$B$16,Paramètres!$A$1:$I$88,3,0)*0.475*44/12</f>
        <v>#N/A</v>
      </c>
      <c r="FS199" s="23" t="e">
        <f>EXP(-LN(2)/2)*FS198+(1-EXP(-LN(2)/2))/(LN(2)/2)*FM199*FP199*VLOOKUP('Données projet'!$B$16,Paramètres!$A$1:$I$88,3,0)*0.475*44/12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69.716614268237066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projet'!$B$17,Paramètres!$A$1:$I$88,3,0)*VLOOKUP('Données projet'!$B$17,Paramètres!$A$1:$I$88,5,0)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projet'!$B$17,Paramètres!$A$1:$I$88,7,0))</f>
        <v>0</v>
      </c>
      <c r="GJ199" s="17">
        <f>IF(ISNA(VLOOKUP(A199,'Données projet'!$A$243:$I$263,6,0)),0%,VLOOKUP(A199,'Données projet'!$A$243:$I$263,6,0)*VLOOKUP('Données projet'!$B$17,Paramètres!$A$1:$I$88,7,0))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projet'!$B$17,Paramètres!$A$1:$I$88,3,0)*0.475*44/12</f>
        <v>#N/A</v>
      </c>
      <c r="GM199" s="23" t="e">
        <f>EXP(-LN(2)/25)*GM198+(1-EXP(-LN(2)/25))/(LN(2)/25)*Calculateur!GH199*Calculateur!GJ199*VLOOKUP('Données projet'!$B$17,Paramètres!$A$1:$I$88,3,0)*0.475*44/12</f>
        <v>#N/A</v>
      </c>
      <c r="GN199" s="23" t="e">
        <f>EXP(-LN(2)/2)*GN198+(1-EXP(-LN(2)/2))/(LN(2)/2)*GH199*GK199*VLOOKUP('Données projet'!$B$17,Paramètres!$A$1:$I$88,3,0)*0.475*44/12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69.716614268237066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projet'!$B$18,Paramètres!$A$1:$I$88,3,0)*VLOOKUP('Données projet'!$B$18,Paramètres!$A$1:$I$88,5,0)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projet'!$B$18,Paramètres!$A$1:$I$88,7,0))</f>
        <v>0</v>
      </c>
      <c r="HE199" s="17">
        <f>IF(ISNA(VLOOKUP(A199,'Données projet'!$A$269:$I$289,6,0)),0%,VLOOKUP(A199,'Données projet'!$A$269:$I$289,6,0)*VLOOKUP('Données projet'!$B$18,Paramètres!$A$1:$I$88,7,0))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projet'!$B$18,Paramètres!$A$1:$I$88,3,0)*0.475*44/12</f>
        <v>#N/A</v>
      </c>
      <c r="HH199" s="23" t="e">
        <f>EXP(-LN(2)/25)*HH198+(1-EXP(-LN(2)/25))/(LN(2)/25)*Calculateur!HC199*Calculateur!HE199*VLOOKUP('Données projet'!$B$18,Paramètres!$A$1:$I$88,3,0)*0.475*44/12</f>
        <v>#N/A</v>
      </c>
      <c r="HI199" s="23" t="e">
        <f>EXP(-LN(2)/2)*HI198+(1-EXP(-LN(2)/2))/(LN(2)/2)*HC199*HF199*VLOOKUP('Données projet'!$B$18,Paramètres!$A$1:$I$88,3,0)*0.475*44/12</f>
        <v>#N/A</v>
      </c>
      <c r="HJ199" s="24" t="e">
        <f t="shared" si="190"/>
        <v>#N/A</v>
      </c>
    </row>
    <row r="200" spans="1:218" x14ac:dyDescent="0.35">
      <c r="A200" s="11">
        <f t="shared" si="161"/>
        <v>197</v>
      </c>
      <c r="B200" s="77">
        <f>'Scénario référence'!$B$16*5+'Scénario référence'!$B$17*0+'Scénario référence'!$B$18*5</f>
        <v>1.75</v>
      </c>
      <c r="C200" s="20">
        <f>Calculateur!C199+'Scénario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200" s="12">
        <f t="shared" si="202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6.416666666666667</v>
      </c>
      <c r="H200" s="70">
        <f t="shared" si="192"/>
        <v>231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69.721530377127564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3.4106051316484809E-13</v>
      </c>
      <c r="O200" s="14">
        <f>N200*VLOOKUP('Données projet'!$B$9,Paramètres!$A$1:$I$88,3,0)*VLOOKUP('Données projet'!$B$9,Paramètres!$A$1:$I$88,5,0)</f>
        <v>1.9065282685915009E-13</v>
      </c>
      <c r="P200" s="14">
        <f t="shared" si="203"/>
        <v>2.6568987209435707E-12</v>
      </c>
      <c r="Q200" s="22">
        <f t="shared" si="162"/>
        <v>4.959485612423072E-12</v>
      </c>
      <c r="R200" s="62">
        <f t="shared" si="191"/>
        <v>292.3122780494727</v>
      </c>
      <c r="S200" s="62">
        <f ca="1">AVERAGE(OFFSET($R$3,0,0,'Données projet'!$E$9+1,1))-AVERAGE(OFFSET($H$3,0,0,'Données projet'!$E$9+1,1))</f>
        <v>341.05096821796769</v>
      </c>
      <c r="T200" s="62">
        <f t="shared" si="204"/>
        <v>400.72519822215168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projet'!$B$9,Paramètres!$A$1:$I$88,7,0))</f>
        <v>0</v>
      </c>
      <c r="X200" s="17">
        <f>IF(ISNA(VLOOKUP(A200,'Données projet'!$A$35:$I$55,6,0)),0%,VLOOKUP(A200,'Données projet'!$A$35:$I$55,6,0)*VLOOKUP('Données projet'!$B$9,Paramètres!$A$1:$I$88,7,0))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projet'!$B$9,Paramètres!$A$1:$I$88,3,0)*0.475*44/12</f>
        <v>15.893352500535412</v>
      </c>
      <c r="AA200" s="23">
        <f>EXP(-LN(2)/25)*AA199+(1-EXP(-LN(2)/25))/(LN(2)/25)*Calculateur!V200*Calculateur!X200*VLOOKUP('Données projet'!$B$9,Paramètres!$A$1:$I$88,3,0)*0.475*44/12</f>
        <v>2.9692814543142187</v>
      </c>
      <c r="AB200" s="23">
        <f>EXP(-LN(2)/2)*AB199+(1-EXP(-LN(2)/2))/(LN(2)/2)*V200*Y200*VLOOKUP('Données projet'!$B$9,Paramètres!$A$1:$I$88,3,0)*0.475*44/12</f>
        <v>0</v>
      </c>
      <c r="AC200" s="24">
        <f t="shared" si="163"/>
        <v>18.862633954849631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69.721530377127564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5.6843418860808015E-14</v>
      </c>
      <c r="AJ200" s="14">
        <f>AI200*VLOOKUP('Données projet'!$B$10,Paramètres!$A$1:$I$88,3,0)*VLOOKUP('Données projet'!$B$10,Paramètres!$A$1:$I$88,5,0)</f>
        <v>3.3992364478763198E-14</v>
      </c>
      <c r="AK200" s="14">
        <f t="shared" si="164"/>
        <v>5.790027782444094E-13</v>
      </c>
      <c r="AL200" s="22">
        <f t="shared" si="165"/>
        <v>1.0676332069095257E-12</v>
      </c>
      <c r="AM200" s="62">
        <f t="shared" si="193"/>
        <v>292.31227804946883</v>
      </c>
      <c r="AN200" s="62">
        <f ca="1">AVERAGE(OFFSET($AM$3,0,0,'Données projet'!$E$10+1,1))-AVERAGE(OFFSET($H$3,0,0,'Données projet'!$E$10+1,1))</f>
        <v>231.96474801342879</v>
      </c>
      <c r="AO200" s="62">
        <f t="shared" si="205"/>
        <v>237.75726086383668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projet'!$B$10,Paramètres!$A$1:$I$88,7,0))</f>
        <v>0</v>
      </c>
      <c r="AS200" s="17">
        <f>IF(ISNA(VLOOKUP(A200,'Données projet'!$A$61:$I$81,6,0)),0%,VLOOKUP(A200,'Données projet'!$A$61:$I$81,6,0)*VLOOKUP('Données projet'!$B$10,Paramètres!$A$1:$I$88,7,0))</f>
        <v>0</v>
      </c>
      <c r="AT200" s="17">
        <f>IF(ISNA(VLOOKUP(A200,'Données projet'!$A$61:$I$81,7,0)),0%,VLOOKUP(A200,'Données projet'!$A$61:$I$81,7,0))</f>
        <v>0</v>
      </c>
      <c r="AU200" s="23">
        <f>EXP(-LN(2)/35)*AU199+(1-EXP(-LN(2)/35))/(LN(2)/35)*AQ200*AR200*VLOOKUP('Données projet'!$B$10,Paramètres!$A$1:$I$88,3,0)*0.475*44/12</f>
        <v>6.2675361080937453</v>
      </c>
      <c r="AV200" s="23">
        <f>EXP(-LN(2)/25)*AV199+(1-EXP(-LN(2)/25))/(LN(2)/25)*Calculateur!AQ200*Calculateur!AS200*VLOOKUP('Données projet'!$B$10,Paramètres!$A$1:$I$88,3,0)*0.475*44/12</f>
        <v>1.2538524841623913</v>
      </c>
      <c r="AW200" s="23">
        <f>EXP(-LN(2)/2)*AW199+(1-EXP(-LN(2)/2))/(LN(2)/2)*AQ200*AT200*VLOOKUP('Données projet'!$B$10,Paramètres!$A$1:$I$88,3,0)*0.475*44/12</f>
        <v>0</v>
      </c>
      <c r="AX200" s="23">
        <f t="shared" si="166"/>
        <v>7.5213885922561365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69.721530377127564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6.8212102632969618E-13</v>
      </c>
      <c r="BE200" s="14">
        <f>BD200*VLOOKUP('Données projet'!$B$11,Paramètres!$A$1:$I$88,3,0)*VLOOKUP('Données projet'!$B$11,Paramètres!$A$1:$I$88,5,0)</f>
        <v>3.1923264032229784E-13</v>
      </c>
      <c r="BF200" s="14">
        <f t="shared" si="167"/>
        <v>4.1896839804541558E-12</v>
      </c>
      <c r="BG200" s="22">
        <f t="shared" si="168"/>
        <v>7.8530297811856558E-12</v>
      </c>
      <c r="BH200" s="62">
        <f t="shared" si="194"/>
        <v>292.31227804947559</v>
      </c>
      <c r="BI200" s="62">
        <f ca="1">AVERAGE(OFFSET($BH$3,0,0,'Données projet'!$E$11+1,1))-AVERAGE(OFFSET($H$3,0,0,'Données projet'!$E$11+1,1))</f>
        <v>364.96458059055169</v>
      </c>
      <c r="BJ200" s="62">
        <f t="shared" si="206"/>
        <v>246.27159120786257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projet'!$B$11,Paramètres!$A$1:$I$88,7,0))</f>
        <v>0</v>
      </c>
      <c r="BN200" s="17">
        <f>IF(ISNA(VLOOKUP(A200,'Données projet'!$A$87:$I$107,6,0)),0%,VLOOKUP(A200,'Données projet'!$A$87:$I$107,6,0)*VLOOKUP('Données projet'!$B$11,Paramètres!$A$1:$I$88,7,0))</f>
        <v>0</v>
      </c>
      <c r="BO200" s="17">
        <f>IF(ISNA(VLOOKUP(A200,'Données projet'!$A$87:$I$107,7,0)),0%,VLOOKUP(A200,'Données projet'!$A$87:$I$107,7,0))</f>
        <v>0</v>
      </c>
      <c r="BP200" s="23">
        <f>EXP(-LN(2)/35)*BP199+(1-EXP(-LN(2)/35))/(LN(2)/35)*BL200*BM200*VLOOKUP('Données projet'!$B$11,Paramètres!$A$1:$I$88,3,0)*0.475*44/12</f>
        <v>34.866618479187196</v>
      </c>
      <c r="BQ200" s="23">
        <f>EXP(-LN(2)/25)*BQ199+(1-EXP(-LN(2)/25))/(LN(2)/25)*Calculateur!BL200*Calculateur!BN200*VLOOKUP('Données projet'!$B$11,Paramètres!$A$1:$I$88,3,0)*0.475*44/12</f>
        <v>6.846472062545879</v>
      </c>
      <c r="BR200" s="23">
        <f>EXP(-LN(2)/2)*BR199+(1-EXP(-LN(2)/2))/(LN(2)/2)*BL200*BO200*VLOOKUP('Données projet'!$B$11,Paramètres!$A$1:$I$88,3,0)*0.475*44/12</f>
        <v>0</v>
      </c>
      <c r="BS200" s="24">
        <f t="shared" si="169"/>
        <v>41.713090541733074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69.721530377127564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-1.1368683772161603E-13</v>
      </c>
      <c r="BZ200" s="14">
        <f>BY200*VLOOKUP('Données projet'!$B$12,Paramètres!$A$1:$I$88,3,0)*VLOOKUP('Données projet'!$B$12,Paramètres!$A$1:$I$88,5,0)</f>
        <v>-1.1527845344971866E-13</v>
      </c>
      <c r="CA200" s="14" t="e">
        <f t="shared" si="170"/>
        <v>#NUM!</v>
      </c>
      <c r="CB200" s="22" t="e">
        <f t="shared" si="171"/>
        <v>#NUM!</v>
      </c>
      <c r="CC200" s="62" t="e">
        <f t="shared" si="195"/>
        <v>#NUM!</v>
      </c>
      <c r="CD200" s="62">
        <f ca="1">AVERAGE(OFFSET($CC$3,0,0,'Données projet'!$E$12+1,1))-AVERAGE(OFFSET($H$3,0,0,'Données projet'!$E$12+1,1))</f>
        <v>310.53598044763282</v>
      </c>
      <c r="CE200" s="62">
        <f t="shared" si="207"/>
        <v>322.01096634040596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projet'!$B$12,Paramètres!$A$1:$I$88,7,0))</f>
        <v>0</v>
      </c>
      <c r="CI200" s="17">
        <f>IF(ISNA(VLOOKUP(A200,'Données projet'!$A$113:$I$133,6,0)),0%,VLOOKUP(A200,'Données projet'!$A$113:$I$133,6,0)*VLOOKUP('Données projet'!$B$12,Paramètres!$A$1:$I$88,7,0))</f>
        <v>0</v>
      </c>
      <c r="CJ200" s="17">
        <f>IF(ISNA(VLOOKUP(A200,'Données projet'!$A$113:$I$133,7,0)),0%,VLOOKUP(A200,'Données projet'!$A$113:$I$133,7,0))</f>
        <v>0</v>
      </c>
      <c r="CK200" s="23">
        <f>EXP(-LN(2)/35)*CK199+(1-EXP(-LN(2)/35))/(LN(2)/35)*CG200*CH200*VLOOKUP('Données projet'!$B$12,Paramètres!$A$1:$I$88,3,0)*0.475*44/12</f>
        <v>4.7954279694374851</v>
      </c>
      <c r="CL200" s="23">
        <f>EXP(-LN(2)/25)*CL199+(1-EXP(-LN(2)/25))/(LN(2)/25)*Calculateur!CG200*Calculateur!CI200*VLOOKUP('Données projet'!$B$12,Paramètres!$A$1:$I$88,3,0)*0.475*44/12</f>
        <v>0</v>
      </c>
      <c r="CM200" s="23">
        <f>EXP(-LN(2)/2)*CM199+(1-EXP(-LN(2)/2))/(LN(2)/2)*CG200*CJ200*VLOOKUP('Données projet'!$B$12,Paramètres!$A$1:$I$88,3,0)*0.475*44/12</f>
        <v>0</v>
      </c>
      <c r="CN200" s="24">
        <f t="shared" si="172"/>
        <v>4.7954279694374851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69.721530377127564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projet'!$B$13,Paramètres!$A$1:$I$88,3,0)*VLOOKUP('Données projet'!$B$13,Paramètres!$A$1:$I$88,5,0)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projet'!$B$13,Paramètres!$A$1:$I$88,7,0))</f>
        <v>0</v>
      </c>
      <c r="DD200" s="17">
        <f>IF(ISNA(VLOOKUP(A200,'Données projet'!$A$139:$I$159,6,0)),0%,VLOOKUP(A200,'Données projet'!$A$139:$I$159,6,0)*VLOOKUP('Données projet'!$B$13,Paramètres!$A$1:$I$88,7,0))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projet'!$B$13,Paramètres!$A$1:$I$88,3,0)*0.475*44/12</f>
        <v>#N/A</v>
      </c>
      <c r="DG200" s="23" t="e">
        <f>EXP(-LN(2)/25)*DG199+(1-EXP(-LN(2)/25))/(LN(2)/25)*Calculateur!DB200*Calculateur!DD200*VLOOKUP('Données projet'!$B$13,Paramètres!$A$1:$I$88,3,0)*0.475*44/12</f>
        <v>#N/A</v>
      </c>
      <c r="DH200" s="23" t="e">
        <f>EXP(-LN(2)/2)*DH199+(1-EXP(-LN(2)/2))/(LN(2)/2)*DB200*DE200*VLOOKUP('Données projet'!$B$13,Paramètres!$A$1:$I$88,3,0)*0.475*44/12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69.721530377127564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projet'!$B$14,Paramètres!$A$1:$I$88,3,0)*VLOOKUP('Données projet'!$B$14,Paramètres!$A$1:$I$88,5,0)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projet'!$B$14,Paramètres!$A$1:$I$88,7,0))</f>
        <v>0</v>
      </c>
      <c r="DY200" s="17">
        <f>IF(ISNA(VLOOKUP(A200,'Données projet'!$A$165:$I$185,6,0)),0%,VLOOKUP(A200,'Données projet'!$A$165:$I$185,6,0)*VLOOKUP('Données projet'!$B$14,Paramètres!$A$1:$I$88,7,0))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projet'!$B$14,Paramètres!$A$1:$I$88,3,0)*0.475*44/12</f>
        <v>#N/A</v>
      </c>
      <c r="EB200" s="23" t="e">
        <f>EXP(-LN(2)/25)*EB199+(1-EXP(-LN(2)/25))/(LN(2)/25)*Calculateur!DW200*Calculateur!DY200*VLOOKUP('Données projet'!$B$14,Paramètres!$A$1:$I$88,3,0)*0.475*44/12</f>
        <v>#N/A</v>
      </c>
      <c r="EC200" s="23" t="e">
        <f>EXP(-LN(2)/2)*EC199+(1-EXP(-LN(2)/2))/(LN(2)/2)*DW200*DZ200*VLOOKUP('Données projet'!$B$14,Paramètres!$A$1:$I$88,3,0)*0.475*44/12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69.721530377127564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projet'!$B$15,Paramètres!$A$1:$I$88,3,0)*VLOOKUP('Données projet'!$B$15,Paramètres!$A$1:$I$88,5,0)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projet'!$B$15,Paramètres!$A$1:$I$88,7,0))</f>
        <v>0</v>
      </c>
      <c r="ET200" s="17">
        <f>IF(ISNA(VLOOKUP(A200,'Données projet'!$A$191:$I$211,6,0)),0%,VLOOKUP(A200,'Données projet'!$A$191:$I$211,6,0)*VLOOKUP('Données projet'!$B$15,Paramètres!$A$1:$I$88,7,0))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projet'!$B$15,Paramètres!$A$1:$I$88,3,0)*0.475*44/12</f>
        <v>#N/A</v>
      </c>
      <c r="EW200" s="23" t="e">
        <f>EXP(-LN(2)/25)*EW199+(1-EXP(-LN(2)/25))/(LN(2)/25)*Calculateur!ER200*Calculateur!ET200*VLOOKUP('Données projet'!$B$15,Paramètres!$A$1:$I$88,3,0)*0.475*44/12</f>
        <v>#N/A</v>
      </c>
      <c r="EX200" s="23" t="e">
        <f>EXP(-LN(2)/2)*EX199+(1-EXP(-LN(2)/2))/(LN(2)/2)*ER200*EU200*VLOOKUP('Données projet'!$B$15,Paramètres!$A$1:$I$88,3,0)*0.475*44/12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69.721530377127564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projet'!$B$16,Paramètres!$A$1:$I$88,3,0)*VLOOKUP('Données projet'!$B$16,Paramètres!$A$1:$I$88,5,0)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projet'!$B$16,Paramètres!$A$1:$I$88,7,0))</f>
        <v>0</v>
      </c>
      <c r="FO200" s="17">
        <f>IF(ISNA(VLOOKUP(A200,'Données projet'!$A$217:$I$237,6,0)),0%,VLOOKUP(A200,'Données projet'!$A$217:$I$237,6,0)*VLOOKUP('Données projet'!$B$16,Paramètres!$A$1:$I$88,7,0))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projet'!$B$16,Paramètres!$A$1:$I$88,3,0)*0.475*44/12</f>
        <v>#N/A</v>
      </c>
      <c r="FR200" s="23" t="e">
        <f>EXP(-LN(2)/25)*FR199+(1-EXP(-LN(2)/25))/(LN(2)/25)*Calculateur!FM200*Calculateur!FO200*VLOOKUP('Données projet'!$B$16,Paramètres!$A$1:$I$88,3,0)*0.475*44/12</f>
        <v>#N/A</v>
      </c>
      <c r="FS200" s="23" t="e">
        <f>EXP(-LN(2)/2)*FS199+(1-EXP(-LN(2)/2))/(LN(2)/2)*FM200*FP200*VLOOKUP('Données projet'!$B$16,Paramètres!$A$1:$I$88,3,0)*0.475*44/12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69.721530377127564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projet'!$B$17,Paramètres!$A$1:$I$88,3,0)*VLOOKUP('Données projet'!$B$17,Paramètres!$A$1:$I$88,5,0)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projet'!$B$17,Paramètres!$A$1:$I$88,7,0))</f>
        <v>0</v>
      </c>
      <c r="GJ200" s="17">
        <f>IF(ISNA(VLOOKUP(A200,'Données projet'!$A$243:$I$263,6,0)),0%,VLOOKUP(A200,'Données projet'!$A$243:$I$263,6,0)*VLOOKUP('Données projet'!$B$17,Paramètres!$A$1:$I$88,7,0))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projet'!$B$17,Paramètres!$A$1:$I$88,3,0)*0.475*44/12</f>
        <v>#N/A</v>
      </c>
      <c r="GM200" s="23" t="e">
        <f>EXP(-LN(2)/25)*GM199+(1-EXP(-LN(2)/25))/(LN(2)/25)*Calculateur!GH200*Calculateur!GJ200*VLOOKUP('Données projet'!$B$17,Paramètres!$A$1:$I$88,3,0)*0.475*44/12</f>
        <v>#N/A</v>
      </c>
      <c r="GN200" s="23" t="e">
        <f>EXP(-LN(2)/2)*GN199+(1-EXP(-LN(2)/2))/(LN(2)/2)*GH200*GK200*VLOOKUP('Données projet'!$B$17,Paramètres!$A$1:$I$88,3,0)*0.475*44/12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69.721530377127564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projet'!$B$18,Paramètres!$A$1:$I$88,3,0)*VLOOKUP('Données projet'!$B$18,Paramètres!$A$1:$I$88,5,0)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projet'!$B$18,Paramètres!$A$1:$I$88,7,0))</f>
        <v>0</v>
      </c>
      <c r="HE200" s="17">
        <f>IF(ISNA(VLOOKUP(A200,'Données projet'!$A$269:$I$289,6,0)),0%,VLOOKUP(A200,'Données projet'!$A$269:$I$289,6,0)*VLOOKUP('Données projet'!$B$18,Paramètres!$A$1:$I$88,7,0))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projet'!$B$18,Paramètres!$A$1:$I$88,3,0)*0.475*44/12</f>
        <v>#N/A</v>
      </c>
      <c r="HH200" s="23" t="e">
        <f>EXP(-LN(2)/25)*HH199+(1-EXP(-LN(2)/25))/(LN(2)/25)*Calculateur!HC200*Calculateur!HE200*VLOOKUP('Données projet'!$B$18,Paramètres!$A$1:$I$88,3,0)*0.475*44/12</f>
        <v>#N/A</v>
      </c>
      <c r="HI200" s="23" t="e">
        <f>EXP(-LN(2)/2)*HI199+(1-EXP(-LN(2)/2))/(LN(2)/2)*HC200*HF200*VLOOKUP('Données projet'!$B$18,Paramètres!$A$1:$I$88,3,0)*0.475*44/12</f>
        <v>#N/A</v>
      </c>
      <c r="HJ200" s="24" t="e">
        <f t="shared" si="190"/>
        <v>#N/A</v>
      </c>
    </row>
    <row r="201" spans="1:218" x14ac:dyDescent="0.35">
      <c r="A201" s="11">
        <f>A200+1</f>
        <v>198</v>
      </c>
      <c r="B201" s="77">
        <f>'Scénario référence'!$B$16*5+'Scénario référence'!$B$17*0+'Scénario référence'!$B$18*5</f>
        <v>1.75</v>
      </c>
      <c r="C201" s="20">
        <f>Calculateur!C200+'Scénario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201" s="12">
        <f t="shared" si="202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6.416666666666667</v>
      </c>
      <c r="H201" s="70">
        <f t="shared" si="192"/>
        <v>231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69.726361202519598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3.4106051316484809E-13</v>
      </c>
      <c r="O201" s="14">
        <f>N201*VLOOKUP('Données projet'!$B$9,Paramètres!$A$1:$I$88,3,0)*VLOOKUP('Données projet'!$B$9,Paramètres!$A$1:$I$88,5,0)</f>
        <v>1.9065282685915009E-13</v>
      </c>
      <c r="P201" s="14">
        <f t="shared" si="203"/>
        <v>2.6568987209435707E-12</v>
      </c>
      <c r="Q201" s="22">
        <f t="shared" si="162"/>
        <v>4.959485612423072E-12</v>
      </c>
      <c r="R201" s="62">
        <f t="shared" si="191"/>
        <v>292.32999107591013</v>
      </c>
      <c r="S201" s="62">
        <f ca="1">AVERAGE(OFFSET($R$3,0,0,'Données projet'!$E$9+1,1))-AVERAGE(OFFSET($H$3,0,0,'Données projet'!$E$9+1,1))</f>
        <v>341.05096821796769</v>
      </c>
      <c r="T201" s="62">
        <f t="shared" si="204"/>
        <v>400.72519822215168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projet'!$B$9,Paramètres!$A$1:$I$88,7,0))</f>
        <v>0</v>
      </c>
      <c r="X201" s="17">
        <f>IF(ISNA(VLOOKUP(A201,'Données projet'!$A$35:$I$55,6,0)),0%,VLOOKUP(A201,'Données projet'!$A$35:$I$55,6,0)*VLOOKUP('Données projet'!$B$9,Paramètres!$A$1:$I$88,7,0))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projet'!$B$9,Paramètres!$A$1:$I$88,3,0)*0.475*44/12</f>
        <v>15.581693551987737</v>
      </c>
      <c r="AA201" s="23">
        <f>EXP(-LN(2)/25)*AA200+(1-EXP(-LN(2)/25))/(LN(2)/25)*Calculateur!V201*Calculateur!X201*VLOOKUP('Données projet'!$B$9,Paramètres!$A$1:$I$88,3,0)*0.475*44/12</f>
        <v>2.8880862967982712</v>
      </c>
      <c r="AB201" s="23">
        <f>EXP(-LN(2)/2)*AB200+(1-EXP(-LN(2)/2))/(LN(2)/2)*V201*Y201*VLOOKUP('Données projet'!$B$9,Paramètres!$A$1:$I$88,3,0)*0.475*44/12</f>
        <v>0</v>
      </c>
      <c r="AC201" s="24">
        <f t="shared" si="163"/>
        <v>18.469779848786008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69.726361202519598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5.6843418860808015E-14</v>
      </c>
      <c r="AJ201" s="14">
        <f>AI201*VLOOKUP('Données projet'!$B$10,Paramètres!$A$1:$I$88,3,0)*VLOOKUP('Données projet'!$B$10,Paramètres!$A$1:$I$88,5,0)</f>
        <v>3.3992364478763198E-14</v>
      </c>
      <c r="AK201" s="14">
        <f t="shared" si="164"/>
        <v>5.790027782444094E-13</v>
      </c>
      <c r="AL201" s="22">
        <f t="shared" si="165"/>
        <v>1.0676332069095257E-12</v>
      </c>
      <c r="AM201" s="62">
        <f t="shared" si="193"/>
        <v>292.32999107590626</v>
      </c>
      <c r="AN201" s="62">
        <f ca="1">AVERAGE(OFFSET($AM$3,0,0,'Données projet'!$E$10+1,1))-AVERAGE(OFFSET($H$3,0,0,'Données projet'!$E$10+1,1))</f>
        <v>231.96474801342879</v>
      </c>
      <c r="AO201" s="62">
        <f t="shared" si="205"/>
        <v>237.75726086383668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projet'!$B$10,Paramètres!$A$1:$I$88,7,0))</f>
        <v>0</v>
      </c>
      <c r="AS201" s="17">
        <f>IF(ISNA(VLOOKUP(A201,'Données projet'!$A$61:$I$81,6,0)),0%,VLOOKUP(A201,'Données projet'!$A$61:$I$81,6,0)*VLOOKUP('Données projet'!$B$10,Paramètres!$A$1:$I$88,7,0))</f>
        <v>0</v>
      </c>
      <c r="AT201" s="17">
        <f>IF(ISNA(VLOOKUP(A201,'Données projet'!$A$61:$I$81,7,0)),0%,VLOOKUP(A201,'Données projet'!$A$61:$I$81,7,0))</f>
        <v>0</v>
      </c>
      <c r="AU201" s="23">
        <f>EXP(-LN(2)/35)*AU200+(1-EXP(-LN(2)/35))/(LN(2)/35)*AQ201*AR201*VLOOKUP('Données projet'!$B$10,Paramètres!$A$1:$I$88,3,0)*0.475*44/12</f>
        <v>6.144633547833581</v>
      </c>
      <c r="AV201" s="23">
        <f>EXP(-LN(2)/25)*AV200+(1-EXP(-LN(2)/25))/(LN(2)/25)*Calculateur!AQ201*Calculateur!AS201*VLOOKUP('Données projet'!$B$10,Paramètres!$A$1:$I$88,3,0)*0.475*44/12</f>
        <v>1.2195658220457342</v>
      </c>
      <c r="AW201" s="23">
        <f>EXP(-LN(2)/2)*AW200+(1-EXP(-LN(2)/2))/(LN(2)/2)*AQ201*AT201*VLOOKUP('Données projet'!$B$10,Paramètres!$A$1:$I$88,3,0)*0.475*44/12</f>
        <v>0</v>
      </c>
      <c r="AX201" s="23">
        <f t="shared" si="166"/>
        <v>7.3641993698793149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69.726361202519598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6.8212102632969618E-13</v>
      </c>
      <c r="BE201" s="14">
        <f>BD201*VLOOKUP('Données projet'!$B$11,Paramètres!$A$1:$I$88,3,0)*VLOOKUP('Données projet'!$B$11,Paramètres!$A$1:$I$88,5,0)</f>
        <v>3.1923264032229784E-13</v>
      </c>
      <c r="BF201" s="14">
        <f t="shared" si="167"/>
        <v>4.1896839804541558E-12</v>
      </c>
      <c r="BG201" s="22">
        <f t="shared" si="168"/>
        <v>7.8530297811856558E-12</v>
      </c>
      <c r="BH201" s="62">
        <f t="shared" si="194"/>
        <v>292.32999107591303</v>
      </c>
      <c r="BI201" s="62">
        <f ca="1">AVERAGE(OFFSET($BH$3,0,0,'Données projet'!$E$11+1,1))-AVERAGE(OFFSET($H$3,0,0,'Données projet'!$E$11+1,1))</f>
        <v>364.96458059055169</v>
      </c>
      <c r="BJ201" s="62">
        <f t="shared" si="206"/>
        <v>246.27159120786257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projet'!$B$11,Paramètres!$A$1:$I$88,7,0))</f>
        <v>0</v>
      </c>
      <c r="BN201" s="17">
        <f>IF(ISNA(VLOOKUP(A201,'Données projet'!$A$87:$I$107,6,0)),0%,VLOOKUP(A201,'Données projet'!$A$87:$I$107,6,0)*VLOOKUP('Données projet'!$B$11,Paramètres!$A$1:$I$88,7,0))</f>
        <v>0</v>
      </c>
      <c r="BO201" s="17">
        <f>IF(ISNA(VLOOKUP(A201,'Données projet'!$A$87:$I$107,7,0)),0%,VLOOKUP(A201,'Données projet'!$A$87:$I$107,7,0))</f>
        <v>0</v>
      </c>
      <c r="BP201" s="23">
        <f>EXP(-LN(2)/35)*BP200+(1-EXP(-LN(2)/35))/(LN(2)/35)*BL201*BM201*VLOOKUP('Données projet'!$B$11,Paramètres!$A$1:$I$88,3,0)*0.475*44/12</f>
        <v>34.182905357347714</v>
      </c>
      <c r="BQ201" s="23">
        <f>EXP(-LN(2)/25)*BQ200+(1-EXP(-LN(2)/25))/(LN(2)/25)*Calculateur!BL201*Calculateur!BN201*VLOOKUP('Données projet'!$B$11,Paramètres!$A$1:$I$88,3,0)*0.475*44/12</f>
        <v>6.6592549239552437</v>
      </c>
      <c r="BR201" s="23">
        <f>EXP(-LN(2)/2)*BR200+(1-EXP(-LN(2)/2))/(LN(2)/2)*BL201*BO201*VLOOKUP('Données projet'!$B$11,Paramètres!$A$1:$I$88,3,0)*0.475*44/12</f>
        <v>0</v>
      </c>
      <c r="BS201" s="24">
        <f t="shared" si="169"/>
        <v>40.842160281302959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69.726361202519598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-1.1368683772161603E-13</v>
      </c>
      <c r="BZ201" s="14">
        <f>BY201*VLOOKUP('Données projet'!$B$12,Paramètres!$A$1:$I$88,3,0)*VLOOKUP('Données projet'!$B$12,Paramètres!$A$1:$I$88,5,0)</f>
        <v>-1.1527845344971866E-13</v>
      </c>
      <c r="CA201" s="14" t="e">
        <f t="shared" si="170"/>
        <v>#NUM!</v>
      </c>
      <c r="CB201" s="22" t="e">
        <f t="shared" si="171"/>
        <v>#NUM!</v>
      </c>
      <c r="CC201" s="62" t="e">
        <f t="shared" si="195"/>
        <v>#NUM!</v>
      </c>
      <c r="CD201" s="62">
        <f ca="1">AVERAGE(OFFSET($CC$3,0,0,'Données projet'!$E$12+1,1))-AVERAGE(OFFSET($H$3,0,0,'Données projet'!$E$12+1,1))</f>
        <v>310.53598044763282</v>
      </c>
      <c r="CE201" s="62">
        <f t="shared" si="207"/>
        <v>322.01096634040596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projet'!$B$12,Paramètres!$A$1:$I$88,7,0))</f>
        <v>0</v>
      </c>
      <c r="CI201" s="17">
        <f>IF(ISNA(VLOOKUP(A201,'Données projet'!$A$113:$I$133,6,0)),0%,VLOOKUP(A201,'Données projet'!$A$113:$I$133,6,0)*VLOOKUP('Données projet'!$B$12,Paramètres!$A$1:$I$88,7,0))</f>
        <v>0</v>
      </c>
      <c r="CJ201" s="17">
        <f>IF(ISNA(VLOOKUP(A201,'Données projet'!$A$113:$I$133,7,0)),0%,VLOOKUP(A201,'Données projet'!$A$113:$I$133,7,0))</f>
        <v>0</v>
      </c>
      <c r="CK201" s="23">
        <f>EXP(-LN(2)/35)*CK200+(1-EXP(-LN(2)/35))/(LN(2)/35)*CG201*CH201*VLOOKUP('Données projet'!$B$12,Paramètres!$A$1:$I$88,3,0)*0.475*44/12</f>
        <v>4.7013925518790654</v>
      </c>
      <c r="CL201" s="23">
        <f>EXP(-LN(2)/25)*CL200+(1-EXP(-LN(2)/25))/(LN(2)/25)*Calculateur!CG201*Calculateur!CI201*VLOOKUP('Données projet'!$B$12,Paramètres!$A$1:$I$88,3,0)*0.475*44/12</f>
        <v>0</v>
      </c>
      <c r="CM201" s="23">
        <f>EXP(-LN(2)/2)*CM200+(1-EXP(-LN(2)/2))/(LN(2)/2)*CG201*CJ201*VLOOKUP('Données projet'!$B$12,Paramètres!$A$1:$I$88,3,0)*0.475*44/12</f>
        <v>0</v>
      </c>
      <c r="CN201" s="24">
        <f t="shared" si="172"/>
        <v>4.7013925518790654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69.726361202519598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projet'!$B$13,Paramètres!$A$1:$I$88,3,0)*VLOOKUP('Données projet'!$B$13,Paramètres!$A$1:$I$88,5,0)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projet'!$B$13,Paramètres!$A$1:$I$88,7,0))</f>
        <v>0</v>
      </c>
      <c r="DD201" s="17">
        <f>IF(ISNA(VLOOKUP(A201,'Données projet'!$A$139:$I$159,6,0)),0%,VLOOKUP(A201,'Données projet'!$A$139:$I$159,6,0)*VLOOKUP('Données projet'!$B$13,Paramètres!$A$1:$I$88,7,0))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projet'!$B$13,Paramètres!$A$1:$I$88,3,0)*0.475*44/12</f>
        <v>#N/A</v>
      </c>
      <c r="DG201" s="23" t="e">
        <f>EXP(-LN(2)/25)*DG200+(1-EXP(-LN(2)/25))/(LN(2)/25)*Calculateur!DB201*Calculateur!DD201*VLOOKUP('Données projet'!$B$13,Paramètres!$A$1:$I$88,3,0)*0.475*44/12</f>
        <v>#N/A</v>
      </c>
      <c r="DH201" s="23" t="e">
        <f>EXP(-LN(2)/2)*DH200+(1-EXP(-LN(2)/2))/(LN(2)/2)*DB201*DE201*VLOOKUP('Données projet'!$B$13,Paramètres!$A$1:$I$88,3,0)*0.475*44/12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69.726361202519598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projet'!$B$14,Paramètres!$A$1:$I$88,3,0)*VLOOKUP('Données projet'!$B$14,Paramètres!$A$1:$I$88,5,0)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projet'!$B$14,Paramètres!$A$1:$I$88,7,0))</f>
        <v>0</v>
      </c>
      <c r="DY201" s="17">
        <f>IF(ISNA(VLOOKUP(A201,'Données projet'!$A$165:$I$185,6,0)),0%,VLOOKUP(A201,'Données projet'!$A$165:$I$185,6,0)*VLOOKUP('Données projet'!$B$14,Paramètres!$A$1:$I$88,7,0))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projet'!$B$14,Paramètres!$A$1:$I$88,3,0)*0.475*44/12</f>
        <v>#N/A</v>
      </c>
      <c r="EB201" s="23" t="e">
        <f>EXP(-LN(2)/25)*EB200+(1-EXP(-LN(2)/25))/(LN(2)/25)*Calculateur!DW201*Calculateur!DY201*VLOOKUP('Données projet'!$B$14,Paramètres!$A$1:$I$88,3,0)*0.475*44/12</f>
        <v>#N/A</v>
      </c>
      <c r="EC201" s="23" t="e">
        <f>EXP(-LN(2)/2)*EC200+(1-EXP(-LN(2)/2))/(LN(2)/2)*DW201*DZ201*VLOOKUP('Données projet'!$B$14,Paramètres!$A$1:$I$88,3,0)*0.475*44/12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69.726361202519598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projet'!$B$15,Paramètres!$A$1:$I$88,3,0)*VLOOKUP('Données projet'!$B$15,Paramètres!$A$1:$I$88,5,0)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projet'!$B$15,Paramètres!$A$1:$I$88,7,0))</f>
        <v>0</v>
      </c>
      <c r="ET201" s="17">
        <f>IF(ISNA(VLOOKUP(A201,'Données projet'!$A$191:$I$211,6,0)),0%,VLOOKUP(A201,'Données projet'!$A$191:$I$211,6,0)*VLOOKUP('Données projet'!$B$15,Paramètres!$A$1:$I$88,7,0))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projet'!$B$15,Paramètres!$A$1:$I$88,3,0)*0.475*44/12</f>
        <v>#N/A</v>
      </c>
      <c r="EW201" s="23" t="e">
        <f>EXP(-LN(2)/25)*EW200+(1-EXP(-LN(2)/25))/(LN(2)/25)*Calculateur!ER201*Calculateur!ET201*VLOOKUP('Données projet'!$B$15,Paramètres!$A$1:$I$88,3,0)*0.475*44/12</f>
        <v>#N/A</v>
      </c>
      <c r="EX201" s="23" t="e">
        <f>EXP(-LN(2)/2)*EX200+(1-EXP(-LN(2)/2))/(LN(2)/2)*ER201*EU201*VLOOKUP('Données projet'!$B$15,Paramètres!$A$1:$I$88,3,0)*0.475*44/12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69.726361202519598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projet'!$B$16,Paramètres!$A$1:$I$88,3,0)*VLOOKUP('Données projet'!$B$16,Paramètres!$A$1:$I$88,5,0)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projet'!$B$16,Paramètres!$A$1:$I$88,7,0))</f>
        <v>0</v>
      </c>
      <c r="FO201" s="17">
        <f>IF(ISNA(VLOOKUP(A201,'Données projet'!$A$217:$I$237,6,0)),0%,VLOOKUP(A201,'Données projet'!$A$217:$I$237,6,0)*VLOOKUP('Données projet'!$B$16,Paramètres!$A$1:$I$88,7,0))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projet'!$B$16,Paramètres!$A$1:$I$88,3,0)*0.475*44/12</f>
        <v>#N/A</v>
      </c>
      <c r="FR201" s="23" t="e">
        <f>EXP(-LN(2)/25)*FR200+(1-EXP(-LN(2)/25))/(LN(2)/25)*Calculateur!FM201*Calculateur!FO201*VLOOKUP('Données projet'!$B$16,Paramètres!$A$1:$I$88,3,0)*0.475*44/12</f>
        <v>#N/A</v>
      </c>
      <c r="FS201" s="23" t="e">
        <f>EXP(-LN(2)/2)*FS200+(1-EXP(-LN(2)/2))/(LN(2)/2)*FM201*FP201*VLOOKUP('Données projet'!$B$16,Paramètres!$A$1:$I$88,3,0)*0.475*44/12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69.726361202519598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projet'!$B$17,Paramètres!$A$1:$I$88,3,0)*VLOOKUP('Données projet'!$B$17,Paramètres!$A$1:$I$88,5,0)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projet'!$B$17,Paramètres!$A$1:$I$88,7,0))</f>
        <v>0</v>
      </c>
      <c r="GJ201" s="17">
        <f>IF(ISNA(VLOOKUP(A201,'Données projet'!$A$243:$I$263,6,0)),0%,VLOOKUP(A201,'Données projet'!$A$243:$I$263,6,0)*VLOOKUP('Données projet'!$B$17,Paramètres!$A$1:$I$88,7,0))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projet'!$B$17,Paramètres!$A$1:$I$88,3,0)*0.475*44/12</f>
        <v>#N/A</v>
      </c>
      <c r="GM201" s="23" t="e">
        <f>EXP(-LN(2)/25)*GM200+(1-EXP(-LN(2)/25))/(LN(2)/25)*Calculateur!GH201*Calculateur!GJ201*VLOOKUP('Données projet'!$B$17,Paramètres!$A$1:$I$88,3,0)*0.475*44/12</f>
        <v>#N/A</v>
      </c>
      <c r="GN201" s="23" t="e">
        <f>EXP(-LN(2)/2)*GN200+(1-EXP(-LN(2)/2))/(LN(2)/2)*GH201*GK201*VLOOKUP('Données projet'!$B$17,Paramètres!$A$1:$I$88,3,0)*0.475*44/12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69.726361202519598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projet'!$B$18,Paramètres!$A$1:$I$88,3,0)*VLOOKUP('Données projet'!$B$18,Paramètres!$A$1:$I$88,5,0)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projet'!$B$18,Paramètres!$A$1:$I$88,7,0))</f>
        <v>0</v>
      </c>
      <c r="HE201" s="17">
        <f>IF(ISNA(VLOOKUP(A201,'Données projet'!$A$269:$I$289,6,0)),0%,VLOOKUP(A201,'Données projet'!$A$269:$I$289,6,0)*VLOOKUP('Données projet'!$B$18,Paramètres!$A$1:$I$88,7,0))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projet'!$B$18,Paramètres!$A$1:$I$88,3,0)*0.475*44/12</f>
        <v>#N/A</v>
      </c>
      <c r="HH201" s="23" t="e">
        <f>EXP(-LN(2)/25)*HH200+(1-EXP(-LN(2)/25))/(LN(2)/25)*Calculateur!HC201*Calculateur!HE201*VLOOKUP('Données projet'!$B$18,Paramètres!$A$1:$I$88,3,0)*0.475*44/12</f>
        <v>#N/A</v>
      </c>
      <c r="HI201" s="23" t="e">
        <f>EXP(-LN(2)/2)*HI200+(1-EXP(-LN(2)/2))/(LN(2)/2)*HC201*HF201*VLOOKUP('Données projet'!$B$18,Paramètres!$A$1:$I$88,3,0)*0.475*44/12</f>
        <v>#N/A</v>
      </c>
      <c r="HJ201" s="24" t="e">
        <f t="shared" si="190"/>
        <v>#N/A</v>
      </c>
    </row>
    <row r="202" spans="1:218" x14ac:dyDescent="0.35">
      <c r="A202" s="11">
        <f t="shared" si="161"/>
        <v>199</v>
      </c>
      <c r="B202" s="77">
        <f>'Scénario référence'!$B$16*5+'Scénario référence'!$B$17*0+'Scénario référence'!$B$18*5</f>
        <v>1.75</v>
      </c>
      <c r="C202" s="20">
        <f>Calculateur!C201+'Scénario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202" s="12">
        <f t="shared" si="202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6.416666666666667</v>
      </c>
      <c r="H202" s="70">
        <f t="shared" si="192"/>
        <v>231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69.731108223891169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3.4106051316484809E-13</v>
      </c>
      <c r="O202" s="14">
        <f>N202*VLOOKUP('Données projet'!$B$9,Paramètres!$A$1:$I$88,3,0)*VLOOKUP('Données projet'!$B$9,Paramètres!$A$1:$I$88,5,0)</f>
        <v>1.9065282685915009E-13</v>
      </c>
      <c r="P202" s="14">
        <f t="shared" si="203"/>
        <v>2.6568987209435707E-12</v>
      </c>
      <c r="Q202" s="22">
        <f t="shared" si="162"/>
        <v>4.959485612423072E-12</v>
      </c>
      <c r="R202" s="62">
        <f t="shared" si="191"/>
        <v>292.34739682093925</v>
      </c>
      <c r="S202" s="62">
        <f ca="1">AVERAGE(OFFSET($R$3,0,0,'Données projet'!$E$9+1,1))-AVERAGE(OFFSET($H$3,0,0,'Données projet'!$E$9+1,1))</f>
        <v>341.05096821796769</v>
      </c>
      <c r="T202" s="62">
        <f t="shared" si="204"/>
        <v>400.72519822215168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projet'!$B$9,Paramètres!$A$1:$I$88,7,0))</f>
        <v>0</v>
      </c>
      <c r="X202" s="17">
        <f>IF(ISNA(VLOOKUP(A202,'Données projet'!$A$35:$I$55,6,0)),0%,VLOOKUP(A202,'Données projet'!$A$35:$I$55,6,0)*VLOOKUP('Données projet'!$B$9,Paramètres!$A$1:$I$88,7,0))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projet'!$B$9,Paramètres!$A$1:$I$88,3,0)*0.475*44/12</f>
        <v>15.276146045327893</v>
      </c>
      <c r="AA202" s="23">
        <f>EXP(-LN(2)/25)*AA201+(1-EXP(-LN(2)/25))/(LN(2)/25)*Calculateur!V202*Calculateur!X202*VLOOKUP('Données projet'!$B$9,Paramètres!$A$1:$I$88,3,0)*0.475*44/12</f>
        <v>2.8091114251344651</v>
      </c>
      <c r="AB202" s="23">
        <f>EXP(-LN(2)/2)*AB201+(1-EXP(-LN(2)/2))/(LN(2)/2)*V202*Y202*VLOOKUP('Données projet'!$B$9,Paramètres!$A$1:$I$88,3,0)*0.475*44/12</f>
        <v>0</v>
      </c>
      <c r="AC202" s="24">
        <f t="shared" si="163"/>
        <v>18.085257470462359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69.731108223891169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5.6843418860808015E-14</v>
      </c>
      <c r="AJ202" s="14">
        <f>AI202*VLOOKUP('Données projet'!$B$10,Paramètres!$A$1:$I$88,3,0)*VLOOKUP('Données projet'!$B$10,Paramètres!$A$1:$I$88,5,0)</f>
        <v>3.3992364478763198E-14</v>
      </c>
      <c r="AK202" s="14">
        <f t="shared" si="164"/>
        <v>5.790027782444094E-13</v>
      </c>
      <c r="AL202" s="22">
        <f t="shared" si="165"/>
        <v>1.0676332069095257E-12</v>
      </c>
      <c r="AM202" s="62">
        <f t="shared" si="193"/>
        <v>292.34739682093539</v>
      </c>
      <c r="AN202" s="62">
        <f ca="1">AVERAGE(OFFSET($AM$3,0,0,'Données projet'!$E$10+1,1))-AVERAGE(OFFSET($H$3,0,0,'Données projet'!$E$10+1,1))</f>
        <v>231.96474801342879</v>
      </c>
      <c r="AO202" s="62">
        <f t="shared" si="205"/>
        <v>237.75726086383668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projet'!$B$10,Paramètres!$A$1:$I$88,7,0))</f>
        <v>0</v>
      </c>
      <c r="AS202" s="17">
        <f>IF(ISNA(VLOOKUP(A202,'Données projet'!$A$61:$I$81,6,0)),0%,VLOOKUP(A202,'Données projet'!$A$61:$I$81,6,0)*VLOOKUP('Données projet'!$B$10,Paramètres!$A$1:$I$88,7,0))</f>
        <v>0</v>
      </c>
      <c r="AT202" s="17">
        <f>IF(ISNA(VLOOKUP(A202,'Données projet'!$A$61:$I$81,7,0)),0%,VLOOKUP(A202,'Données projet'!$A$61:$I$81,7,0))</f>
        <v>0</v>
      </c>
      <c r="AU202" s="23">
        <f>EXP(-LN(2)/35)*AU201+(1-EXP(-LN(2)/35))/(LN(2)/35)*AQ202*AR202*VLOOKUP('Données projet'!$B$10,Paramètres!$A$1:$I$88,3,0)*0.475*44/12</f>
        <v>6.0241410318169581</v>
      </c>
      <c r="AV202" s="23">
        <f>EXP(-LN(2)/25)*AV201+(1-EXP(-LN(2)/25))/(LN(2)/25)*Calculateur!AQ202*Calculateur!AS202*VLOOKUP('Données projet'!$B$10,Paramètres!$A$1:$I$88,3,0)*0.475*44/12</f>
        <v>1.1862167305077143</v>
      </c>
      <c r="AW202" s="23">
        <f>EXP(-LN(2)/2)*AW201+(1-EXP(-LN(2)/2))/(LN(2)/2)*AQ202*AT202*VLOOKUP('Données projet'!$B$10,Paramètres!$A$1:$I$88,3,0)*0.475*44/12</f>
        <v>0</v>
      </c>
      <c r="AX202" s="23">
        <f t="shared" si="166"/>
        <v>7.2103577623246728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69.731108223891169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6.8212102632969618E-13</v>
      </c>
      <c r="BE202" s="14">
        <f>BD202*VLOOKUP('Données projet'!$B$11,Paramètres!$A$1:$I$88,3,0)*VLOOKUP('Données projet'!$B$11,Paramètres!$A$1:$I$88,5,0)</f>
        <v>3.1923264032229784E-13</v>
      </c>
      <c r="BF202" s="14">
        <f t="shared" si="167"/>
        <v>4.1896839804541558E-12</v>
      </c>
      <c r="BG202" s="22">
        <f t="shared" si="168"/>
        <v>7.8530297811856558E-12</v>
      </c>
      <c r="BH202" s="62">
        <f t="shared" si="194"/>
        <v>292.34739682094215</v>
      </c>
      <c r="BI202" s="62">
        <f ca="1">AVERAGE(OFFSET($BH$3,0,0,'Données projet'!$E$11+1,1))-AVERAGE(OFFSET($H$3,0,0,'Données projet'!$E$11+1,1))</f>
        <v>364.96458059055169</v>
      </c>
      <c r="BJ202" s="62">
        <f t="shared" si="206"/>
        <v>246.27159120786257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projet'!$B$11,Paramètres!$A$1:$I$88,7,0))</f>
        <v>0</v>
      </c>
      <c r="BN202" s="17">
        <f>IF(ISNA(VLOOKUP(A202,'Données projet'!$A$87:$I$107,6,0)),0%,VLOOKUP(A202,'Données projet'!$A$87:$I$107,6,0)*VLOOKUP('Données projet'!$B$11,Paramètres!$A$1:$I$88,7,0))</f>
        <v>0</v>
      </c>
      <c r="BO202" s="17">
        <f>IF(ISNA(VLOOKUP(A202,'Données projet'!$A$87:$I$107,7,0)),0%,VLOOKUP(A202,'Données projet'!$A$87:$I$107,7,0))</f>
        <v>0</v>
      </c>
      <c r="BP202" s="23">
        <f>EXP(-LN(2)/35)*BP201+(1-EXP(-LN(2)/35))/(LN(2)/35)*BL202*BM202*VLOOKUP('Données projet'!$B$11,Paramètres!$A$1:$I$88,3,0)*0.475*44/12</f>
        <v>33.512599432803675</v>
      </c>
      <c r="BQ202" s="23">
        <f>EXP(-LN(2)/25)*BQ201+(1-EXP(-LN(2)/25))/(LN(2)/25)*Calculateur!BL202*Calculateur!BN202*VLOOKUP('Données projet'!$B$11,Paramètres!$A$1:$I$88,3,0)*0.475*44/12</f>
        <v>6.4771572478646906</v>
      </c>
      <c r="BR202" s="23">
        <f>EXP(-LN(2)/2)*BR201+(1-EXP(-LN(2)/2))/(LN(2)/2)*BL202*BO202*VLOOKUP('Données projet'!$B$11,Paramètres!$A$1:$I$88,3,0)*0.475*44/12</f>
        <v>0</v>
      </c>
      <c r="BS202" s="24">
        <f t="shared" si="169"/>
        <v>39.989756680668364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69.731108223891169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-1.1368683772161603E-13</v>
      </c>
      <c r="BZ202" s="14">
        <f>BY202*VLOOKUP('Données projet'!$B$12,Paramètres!$A$1:$I$88,3,0)*VLOOKUP('Données projet'!$B$12,Paramètres!$A$1:$I$88,5,0)</f>
        <v>-1.1527845344971866E-13</v>
      </c>
      <c r="CA202" s="14" t="e">
        <f t="shared" si="170"/>
        <v>#NUM!</v>
      </c>
      <c r="CB202" s="22" t="e">
        <f t="shared" si="171"/>
        <v>#NUM!</v>
      </c>
      <c r="CC202" s="62" t="e">
        <f t="shared" si="195"/>
        <v>#NUM!</v>
      </c>
      <c r="CD202" s="62">
        <f ca="1">AVERAGE(OFFSET($CC$3,0,0,'Données projet'!$E$12+1,1))-AVERAGE(OFFSET($H$3,0,0,'Données projet'!$E$12+1,1))</f>
        <v>310.53598044763282</v>
      </c>
      <c r="CE202" s="62">
        <f t="shared" si="207"/>
        <v>322.01096634040596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projet'!$B$12,Paramètres!$A$1:$I$88,7,0))</f>
        <v>0</v>
      </c>
      <c r="CI202" s="17">
        <f>IF(ISNA(VLOOKUP(A202,'Données projet'!$A$113:$I$133,6,0)),0%,VLOOKUP(A202,'Données projet'!$A$113:$I$133,6,0)*VLOOKUP('Données projet'!$B$12,Paramètres!$A$1:$I$88,7,0))</f>
        <v>0</v>
      </c>
      <c r="CJ202" s="17">
        <f>IF(ISNA(VLOOKUP(A202,'Données projet'!$A$113:$I$133,7,0)),0%,VLOOKUP(A202,'Données projet'!$A$113:$I$133,7,0))</f>
        <v>0</v>
      </c>
      <c r="CK202" s="23">
        <f>EXP(-LN(2)/35)*CK201+(1-EXP(-LN(2)/35))/(LN(2)/35)*CG202*CH202*VLOOKUP('Données projet'!$B$12,Paramètres!$A$1:$I$88,3,0)*0.475*44/12</f>
        <v>4.6092011115030251</v>
      </c>
      <c r="CL202" s="23">
        <f>EXP(-LN(2)/25)*CL201+(1-EXP(-LN(2)/25))/(LN(2)/25)*Calculateur!CG202*Calculateur!CI202*VLOOKUP('Données projet'!$B$12,Paramètres!$A$1:$I$88,3,0)*0.475*44/12</f>
        <v>0</v>
      </c>
      <c r="CM202" s="23">
        <f>EXP(-LN(2)/2)*CM201+(1-EXP(-LN(2)/2))/(LN(2)/2)*CG202*CJ202*VLOOKUP('Données projet'!$B$12,Paramètres!$A$1:$I$88,3,0)*0.475*44/12</f>
        <v>0</v>
      </c>
      <c r="CN202" s="24">
        <f t="shared" si="172"/>
        <v>4.6092011115030251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69.731108223891169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projet'!$B$13,Paramètres!$A$1:$I$88,3,0)*VLOOKUP('Données projet'!$B$13,Paramètres!$A$1:$I$88,5,0)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projet'!$B$13,Paramètres!$A$1:$I$88,7,0))</f>
        <v>0</v>
      </c>
      <c r="DD202" s="17">
        <f>IF(ISNA(VLOOKUP(A202,'Données projet'!$A$139:$I$159,6,0)),0%,VLOOKUP(A202,'Données projet'!$A$139:$I$159,6,0)*VLOOKUP('Données projet'!$B$13,Paramètres!$A$1:$I$88,7,0))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projet'!$B$13,Paramètres!$A$1:$I$88,3,0)*0.475*44/12</f>
        <v>#N/A</v>
      </c>
      <c r="DG202" s="23" t="e">
        <f>EXP(-LN(2)/25)*DG201+(1-EXP(-LN(2)/25))/(LN(2)/25)*Calculateur!DB202*Calculateur!DD202*VLOOKUP('Données projet'!$B$13,Paramètres!$A$1:$I$88,3,0)*0.475*44/12</f>
        <v>#N/A</v>
      </c>
      <c r="DH202" s="23" t="e">
        <f>EXP(-LN(2)/2)*DH201+(1-EXP(-LN(2)/2))/(LN(2)/2)*DB202*DE202*VLOOKUP('Données projet'!$B$13,Paramètres!$A$1:$I$88,3,0)*0.475*44/12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69.731108223891169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projet'!$B$14,Paramètres!$A$1:$I$88,3,0)*VLOOKUP('Données projet'!$B$14,Paramètres!$A$1:$I$88,5,0)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projet'!$B$14,Paramètres!$A$1:$I$88,7,0))</f>
        <v>0</v>
      </c>
      <c r="DY202" s="17">
        <f>IF(ISNA(VLOOKUP(A202,'Données projet'!$A$165:$I$185,6,0)),0%,VLOOKUP(A202,'Données projet'!$A$165:$I$185,6,0)*VLOOKUP('Données projet'!$B$14,Paramètres!$A$1:$I$88,7,0))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projet'!$B$14,Paramètres!$A$1:$I$88,3,0)*0.475*44/12</f>
        <v>#N/A</v>
      </c>
      <c r="EB202" s="23" t="e">
        <f>EXP(-LN(2)/25)*EB201+(1-EXP(-LN(2)/25))/(LN(2)/25)*Calculateur!DW202*Calculateur!DY202*VLOOKUP('Données projet'!$B$14,Paramètres!$A$1:$I$88,3,0)*0.475*44/12</f>
        <v>#N/A</v>
      </c>
      <c r="EC202" s="23" t="e">
        <f>EXP(-LN(2)/2)*EC201+(1-EXP(-LN(2)/2))/(LN(2)/2)*DW202*DZ202*VLOOKUP('Données projet'!$B$14,Paramètres!$A$1:$I$88,3,0)*0.475*44/12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69.731108223891169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projet'!$B$15,Paramètres!$A$1:$I$88,3,0)*VLOOKUP('Données projet'!$B$15,Paramètres!$A$1:$I$88,5,0)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projet'!$B$15,Paramètres!$A$1:$I$88,7,0))</f>
        <v>0</v>
      </c>
      <c r="ET202" s="17">
        <f>IF(ISNA(VLOOKUP(A202,'Données projet'!$A$191:$I$211,6,0)),0%,VLOOKUP(A202,'Données projet'!$A$191:$I$211,6,0)*VLOOKUP('Données projet'!$B$15,Paramètres!$A$1:$I$88,7,0))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projet'!$B$15,Paramètres!$A$1:$I$88,3,0)*0.475*44/12</f>
        <v>#N/A</v>
      </c>
      <c r="EW202" s="23" t="e">
        <f>EXP(-LN(2)/25)*EW201+(1-EXP(-LN(2)/25))/(LN(2)/25)*Calculateur!ER202*Calculateur!ET202*VLOOKUP('Données projet'!$B$15,Paramètres!$A$1:$I$88,3,0)*0.475*44/12</f>
        <v>#N/A</v>
      </c>
      <c r="EX202" s="23" t="e">
        <f>EXP(-LN(2)/2)*EX201+(1-EXP(-LN(2)/2))/(LN(2)/2)*ER202*EU202*VLOOKUP('Données projet'!$B$15,Paramètres!$A$1:$I$88,3,0)*0.475*44/12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69.731108223891169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projet'!$B$16,Paramètres!$A$1:$I$88,3,0)*VLOOKUP('Données projet'!$B$16,Paramètres!$A$1:$I$88,5,0)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projet'!$B$16,Paramètres!$A$1:$I$88,7,0))</f>
        <v>0</v>
      </c>
      <c r="FO202" s="17">
        <f>IF(ISNA(VLOOKUP(A202,'Données projet'!$A$217:$I$237,6,0)),0%,VLOOKUP(A202,'Données projet'!$A$217:$I$237,6,0)*VLOOKUP('Données projet'!$B$16,Paramètres!$A$1:$I$88,7,0))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projet'!$B$16,Paramètres!$A$1:$I$88,3,0)*0.475*44/12</f>
        <v>#N/A</v>
      </c>
      <c r="FR202" s="23" t="e">
        <f>EXP(-LN(2)/25)*FR201+(1-EXP(-LN(2)/25))/(LN(2)/25)*Calculateur!FM202*Calculateur!FO202*VLOOKUP('Données projet'!$B$16,Paramètres!$A$1:$I$88,3,0)*0.475*44/12</f>
        <v>#N/A</v>
      </c>
      <c r="FS202" s="23" t="e">
        <f>EXP(-LN(2)/2)*FS201+(1-EXP(-LN(2)/2))/(LN(2)/2)*FM202*FP202*VLOOKUP('Données projet'!$B$16,Paramètres!$A$1:$I$88,3,0)*0.475*44/12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69.731108223891169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projet'!$B$17,Paramètres!$A$1:$I$88,3,0)*VLOOKUP('Données projet'!$B$17,Paramètres!$A$1:$I$88,5,0)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projet'!$B$17,Paramètres!$A$1:$I$88,7,0))</f>
        <v>0</v>
      </c>
      <c r="GJ202" s="17">
        <f>IF(ISNA(VLOOKUP(A202,'Données projet'!$A$243:$I$263,6,0)),0%,VLOOKUP(A202,'Données projet'!$A$243:$I$263,6,0)*VLOOKUP('Données projet'!$B$17,Paramètres!$A$1:$I$88,7,0))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projet'!$B$17,Paramètres!$A$1:$I$88,3,0)*0.475*44/12</f>
        <v>#N/A</v>
      </c>
      <c r="GM202" s="23" t="e">
        <f>EXP(-LN(2)/25)*GM201+(1-EXP(-LN(2)/25))/(LN(2)/25)*Calculateur!GH202*Calculateur!GJ202*VLOOKUP('Données projet'!$B$17,Paramètres!$A$1:$I$88,3,0)*0.475*44/12</f>
        <v>#N/A</v>
      </c>
      <c r="GN202" s="23" t="e">
        <f>EXP(-LN(2)/2)*GN201+(1-EXP(-LN(2)/2))/(LN(2)/2)*GH202*GK202*VLOOKUP('Données projet'!$B$17,Paramètres!$A$1:$I$88,3,0)*0.475*44/12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69.731108223891169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projet'!$B$18,Paramètres!$A$1:$I$88,3,0)*VLOOKUP('Données projet'!$B$18,Paramètres!$A$1:$I$88,5,0)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projet'!$B$18,Paramètres!$A$1:$I$88,7,0))</f>
        <v>0</v>
      </c>
      <c r="HE202" s="17">
        <f>IF(ISNA(VLOOKUP(A202,'Données projet'!$A$269:$I$289,6,0)),0%,VLOOKUP(A202,'Données projet'!$A$269:$I$289,6,0)*VLOOKUP('Données projet'!$B$18,Paramètres!$A$1:$I$88,7,0))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projet'!$B$18,Paramètres!$A$1:$I$88,3,0)*0.475*44/12</f>
        <v>#N/A</v>
      </c>
      <c r="HH202" s="23" t="e">
        <f>EXP(-LN(2)/25)*HH201+(1-EXP(-LN(2)/25))/(LN(2)/25)*Calculateur!HC202*Calculateur!HE202*VLOOKUP('Données projet'!$B$18,Paramètres!$A$1:$I$88,3,0)*0.475*44/12</f>
        <v>#N/A</v>
      </c>
      <c r="HI202" s="23" t="e">
        <f>EXP(-LN(2)/2)*HI201+(1-EXP(-LN(2)/2))/(LN(2)/2)*HC202*HF202*VLOOKUP('Données projet'!$B$18,Paramètres!$A$1:$I$88,3,0)*0.475*44/12</f>
        <v>#N/A</v>
      </c>
      <c r="HJ202" s="24" t="e">
        <f t="shared" si="190"/>
        <v>#N/A</v>
      </c>
    </row>
    <row r="203" spans="1:218" ht="15" thickBot="1" x14ac:dyDescent="0.4">
      <c r="A203" s="11">
        <f>A202+1</f>
        <v>200</v>
      </c>
      <c r="B203" s="77">
        <f>'Scénario référence'!$B$16*5+'Scénario référence'!$B$17*0+'Scénario référence'!$B$18*5</f>
        <v>1.75</v>
      </c>
      <c r="C203" s="20">
        <f>Calculateur!C202+'Scénario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203" s="12">
        <f t="shared" si="202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61.25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6.416666666666667</v>
      </c>
      <c r="H203" s="70">
        <f t="shared" si="192"/>
        <v>231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69.735772895054708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3.4106051316484809E-13</v>
      </c>
      <c r="O203" s="14">
        <f>N203*VLOOKUP('Données projet'!$B$9,Paramètres!$A$1:$I$88,3,0)*VLOOKUP('Données projet'!$B$9,Paramètres!$A$1:$I$88,5,0)</f>
        <v>1.9065282685915009E-13</v>
      </c>
      <c r="P203" s="14">
        <f t="shared" si="203"/>
        <v>2.6568987209435707E-12</v>
      </c>
      <c r="Q203" s="22">
        <f t="shared" si="162"/>
        <v>4.959485612423072E-12</v>
      </c>
      <c r="R203" s="62">
        <f t="shared" si="191"/>
        <v>292.36450061520554</v>
      </c>
      <c r="S203" s="62">
        <f ca="1">AVERAGE(OFFSET($R$3,0,0,'Données projet'!$E$9+1,1))-AVERAGE(OFFSET($H$3,0,0,'Données projet'!$E$9+1,1))</f>
        <v>341.05096821796769</v>
      </c>
      <c r="T203" s="62">
        <f t="shared" si="204"/>
        <v>400.72519822215168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projet'!$B$9,Paramètres!$A$1:$I$88,7,0))</f>
        <v>0</v>
      </c>
      <c r="X203" s="17">
        <f>IF(ISNA(VLOOKUP(A203,'Données projet'!$A$35:$I$55,6,0)),0%,VLOOKUP(A203,'Données projet'!$A$35:$I$55,6,0)*VLOOKUP('Données projet'!$B$9,Paramètres!$A$1:$I$88,7,0))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projet'!$B$9,Paramètres!$A$1:$I$88,3,0)*0.475*44/12</f>
        <v>14.976590138908071</v>
      </c>
      <c r="AA203" s="23">
        <f>EXP(-LN(2)/25)*AA202+(1-EXP(-LN(2)/25))/(LN(2)/25)*Calculateur!V203*Calculateur!X203*VLOOKUP('Données projet'!$B$9,Paramètres!$A$1:$I$88,3,0)*0.475*44/12</f>
        <v>2.7322961254894138</v>
      </c>
      <c r="AB203" s="23">
        <f>EXP(-LN(2)/2)*AB202+(1-EXP(-LN(2)/2))/(LN(2)/2)*V203*Y203*VLOOKUP('Données projet'!$B$9,Paramètres!$A$1:$I$88,3,0)*0.475*44/12</f>
        <v>0</v>
      </c>
      <c r="AC203" s="24">
        <f t="shared" si="163"/>
        <v>17.708886264397485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69.735772895054708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5.6843418860808015E-14</v>
      </c>
      <c r="AJ203" s="14">
        <f>AI203*VLOOKUP('Données projet'!$B$10,Paramètres!$A$1:$I$88,3,0)*VLOOKUP('Données projet'!$B$10,Paramètres!$A$1:$I$88,5,0)</f>
        <v>3.3992364478763198E-14</v>
      </c>
      <c r="AK203" s="14">
        <f t="shared" si="164"/>
        <v>5.790027782444094E-13</v>
      </c>
      <c r="AL203" s="22">
        <f t="shared" si="165"/>
        <v>1.0676332069095257E-12</v>
      </c>
      <c r="AM203" s="62">
        <f t="shared" si="193"/>
        <v>292.36450061520168</v>
      </c>
      <c r="AN203" s="62">
        <f ca="1">AVERAGE(OFFSET($AM$3,0,0,'Données projet'!$E$10+1,1))-AVERAGE(OFFSET($H$3,0,0,'Données projet'!$E$10+1,1))</f>
        <v>231.96474801342879</v>
      </c>
      <c r="AO203" s="62">
        <f t="shared" si="205"/>
        <v>237.75726086383668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projet'!$B$10,Paramètres!$A$1:$I$88,7,0))</f>
        <v>0</v>
      </c>
      <c r="AS203" s="17">
        <f>IF(ISNA(VLOOKUP(A203,'Données projet'!$A$61:$I$81,6,0)),0%,VLOOKUP(A203,'Données projet'!$A$61:$I$81,6,0)*VLOOKUP('Données projet'!$B$10,Paramètres!$A$1:$I$88,7,0))</f>
        <v>0</v>
      </c>
      <c r="AT203" s="17">
        <f>IF(ISNA(VLOOKUP(A203,'Données projet'!$A$61:$I$81,7,0)),0%,VLOOKUP(A203,'Données projet'!$A$61:$I$81,7,0))</f>
        <v>0</v>
      </c>
      <c r="AU203" s="23">
        <f>EXP(-LN(2)/35)*AU202+(1-EXP(-LN(2)/35))/(LN(2)/35)*AQ203*AR203*VLOOKUP('Données projet'!$B$10,Paramètres!$A$1:$I$88,3,0)*0.475*44/12</f>
        <v>5.9060113005462433</v>
      </c>
      <c r="AV203" s="23">
        <f>EXP(-LN(2)/25)*AV202+(1-EXP(-LN(2)/25))/(LN(2)/25)*Calculateur!AQ203*Calculateur!AS203*VLOOKUP('Données projet'!$B$10,Paramètres!$A$1:$I$88,3,0)*0.475*44/12</f>
        <v>1.153779571631554</v>
      </c>
      <c r="AW203" s="23">
        <f>EXP(-LN(2)/2)*AW202+(1-EXP(-LN(2)/2))/(LN(2)/2)*AQ203*AT203*VLOOKUP('Données projet'!$B$10,Paramètres!$A$1:$I$88,3,0)*0.475*44/12</f>
        <v>0</v>
      </c>
      <c r="AX203" s="23">
        <f t="shared" si="166"/>
        <v>7.0597908721777971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69.735772895054708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6.8212102632969618E-13</v>
      </c>
      <c r="BE203" s="14">
        <f>BD203*VLOOKUP('Données projet'!$B$11,Paramètres!$A$1:$I$88,3,0)*VLOOKUP('Données projet'!$B$11,Paramètres!$A$1:$I$88,5,0)</f>
        <v>3.1923264032229784E-13</v>
      </c>
      <c r="BF203" s="14">
        <f t="shared" si="167"/>
        <v>4.1896839804541558E-12</v>
      </c>
      <c r="BG203" s="22">
        <f t="shared" si="168"/>
        <v>7.8530297811856558E-12</v>
      </c>
      <c r="BH203" s="62">
        <f t="shared" si="194"/>
        <v>292.36450061520844</v>
      </c>
      <c r="BI203" s="62">
        <f ca="1">AVERAGE(OFFSET($BH$3,0,0,'Données projet'!$E$11+1,1))-AVERAGE(OFFSET($H$3,0,0,'Données projet'!$E$11+1,1))</f>
        <v>364.96458059055169</v>
      </c>
      <c r="BJ203" s="62">
        <f t="shared" si="206"/>
        <v>246.27159120786257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projet'!$B$11,Paramètres!$A$1:$I$88,7,0))</f>
        <v>0</v>
      </c>
      <c r="BN203" s="17">
        <f>IF(ISNA(VLOOKUP(A203,'Données projet'!$A$87:$I$107,6,0)),0%,VLOOKUP(A203,'Données projet'!$A$87:$I$107,6,0)*VLOOKUP('Données projet'!$B$11,Paramètres!$A$1:$I$88,7,0))</f>
        <v>0</v>
      </c>
      <c r="BO203" s="17">
        <f>IF(ISNA(VLOOKUP(A203,'Données projet'!$A$87:$I$107,7,0)),0%,VLOOKUP(A203,'Données projet'!$A$87:$I$107,7,0))</f>
        <v>0</v>
      </c>
      <c r="BP203" s="23">
        <f>EXP(-LN(2)/35)*BP202+(1-EXP(-LN(2)/35))/(LN(2)/35)*BL203*BM203*VLOOKUP('Données projet'!$B$11,Paramètres!$A$1:$I$88,3,0)*0.475*44/12</f>
        <v>32.855437798593698</v>
      </c>
      <c r="BQ203" s="23">
        <f>EXP(-LN(2)/25)*BQ202+(1-EXP(-LN(2)/25))/(LN(2)/25)*Calculateur!BL203*Calculateur!BN203*VLOOKUP('Données projet'!$B$11,Paramètres!$A$1:$I$88,3,0)*0.475*44/12</f>
        <v>6.3000390423029344</v>
      </c>
      <c r="BR203" s="23">
        <f>EXP(-LN(2)/2)*BR202+(1-EXP(-LN(2)/2))/(LN(2)/2)*BL203*BO203*VLOOKUP('Données projet'!$B$11,Paramètres!$A$1:$I$88,3,0)*0.475*44/12</f>
        <v>0</v>
      </c>
      <c r="BS203" s="24">
        <f t="shared" si="169"/>
        <v>39.155476840896632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69.735772895054708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-1.1368683772161603E-13</v>
      </c>
      <c r="BZ203" s="14">
        <f>BY203*VLOOKUP('Données projet'!$B$12,Paramètres!$A$1:$I$88,3,0)*VLOOKUP('Données projet'!$B$12,Paramètres!$A$1:$I$88,5,0)</f>
        <v>-1.1527845344971866E-13</v>
      </c>
      <c r="CA203" s="14" t="e">
        <f t="shared" si="170"/>
        <v>#NUM!</v>
      </c>
      <c r="CB203" s="22" t="e">
        <f t="shared" si="171"/>
        <v>#NUM!</v>
      </c>
      <c r="CC203" s="62" t="e">
        <f t="shared" si="195"/>
        <v>#NUM!</v>
      </c>
      <c r="CD203" s="62">
        <f ca="1">AVERAGE(OFFSET($CC$3,0,0,'Données projet'!$E$12+1,1))-AVERAGE(OFFSET($H$3,0,0,'Données projet'!$E$12+1,1))</f>
        <v>310.53598044763282</v>
      </c>
      <c r="CE203" s="62">
        <f t="shared" si="207"/>
        <v>322.01096634040596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projet'!$B$12,Paramètres!$A$1:$I$88,7,0))</f>
        <v>0</v>
      </c>
      <c r="CI203" s="17">
        <f>IF(ISNA(VLOOKUP(A203,'Données projet'!$A$113:$I$133,6,0)),0%,VLOOKUP(A203,'Données projet'!$A$113:$I$133,6,0)*VLOOKUP('Données projet'!$B$12,Paramètres!$A$1:$I$88,7,0))</f>
        <v>0</v>
      </c>
      <c r="CJ203" s="17">
        <f>IF(ISNA(VLOOKUP(A203,'Données projet'!$A$113:$I$133,7,0)),0%,VLOOKUP(A203,'Données projet'!$A$113:$I$133,7,0))</f>
        <v>0</v>
      </c>
      <c r="CK203" s="23">
        <f>EXP(-LN(2)/35)*CK202+(1-EXP(-LN(2)/35))/(LN(2)/35)*CG203*CH203*VLOOKUP('Données projet'!$B$12,Paramètres!$A$1:$I$88,3,0)*0.475*44/12</f>
        <v>4.5188174890415329</v>
      </c>
      <c r="CL203" s="23">
        <f>EXP(-LN(2)/25)*CL202+(1-EXP(-LN(2)/25))/(LN(2)/25)*Calculateur!CG203*Calculateur!CI203*VLOOKUP('Données projet'!$B$12,Paramètres!$A$1:$I$88,3,0)*0.475*44/12</f>
        <v>0</v>
      </c>
      <c r="CM203" s="23">
        <f>EXP(-LN(2)/2)*CM202+(1-EXP(-LN(2)/2))/(LN(2)/2)*CG203*CJ203*VLOOKUP('Données projet'!$B$12,Paramètres!$A$1:$I$88,3,0)*0.475*44/12</f>
        <v>0</v>
      </c>
      <c r="CN203" s="24">
        <f t="shared" si="172"/>
        <v>4.5188174890415329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69.735772895054708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projet'!$B$13,Paramètres!$A$1:$I$88,3,0)*VLOOKUP('Données projet'!$B$13,Paramètres!$A$1:$I$88,5,0)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projet'!$B$13,Paramètres!$A$1:$I$88,7,0))</f>
        <v>0</v>
      </c>
      <c r="DD203" s="17">
        <f>IF(ISNA(VLOOKUP(A203,'Données projet'!$A$139:$I$159,6,0)),0%,VLOOKUP(A203,'Données projet'!$A$139:$I$159,6,0)*VLOOKUP('Données projet'!$B$13,Paramètres!$A$1:$I$88,7,0))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projet'!$B$13,Paramètres!$A$1:$I$88,3,0)*0.475*44/12</f>
        <v>#N/A</v>
      </c>
      <c r="DG203" s="23" t="e">
        <f>EXP(-LN(2)/25)*DG202+(1-EXP(-LN(2)/25))/(LN(2)/25)*Calculateur!DB203*Calculateur!DD203*VLOOKUP('Données projet'!$B$13,Paramètres!$A$1:$I$88,3,0)*0.475*44/12</f>
        <v>#N/A</v>
      </c>
      <c r="DH203" s="23" t="e">
        <f>EXP(-LN(2)/2)*DH202+(1-EXP(-LN(2)/2))/(LN(2)/2)*DB203*DE203*VLOOKUP('Données projet'!$B$13,Paramètres!$A$1:$I$88,3,0)*0.475*44/12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69.735772895054708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projet'!$B$14,Paramètres!$A$1:$I$88,3,0)*VLOOKUP('Données projet'!$B$14,Paramètres!$A$1:$I$88,5,0)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projet'!$B$14,Paramètres!$A$1:$I$88,7,0))</f>
        <v>0</v>
      </c>
      <c r="DY203" s="17">
        <f>IF(ISNA(VLOOKUP(A203,'Données projet'!$A$165:$I$185,6,0)),0%,VLOOKUP(A203,'Données projet'!$A$165:$I$185,6,0)*VLOOKUP('Données projet'!$B$14,Paramètres!$A$1:$I$88,7,0))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projet'!$B$14,Paramètres!$A$1:$I$88,3,0)*0.475*44/12</f>
        <v>#N/A</v>
      </c>
      <c r="EB203" s="23" t="e">
        <f>EXP(-LN(2)/25)*EB202+(1-EXP(-LN(2)/25))/(LN(2)/25)*Calculateur!DW203*Calculateur!DY203*VLOOKUP('Données projet'!$B$14,Paramètres!$A$1:$I$88,3,0)*0.475*44/12</f>
        <v>#N/A</v>
      </c>
      <c r="EC203" s="23" t="e">
        <f>EXP(-LN(2)/2)*EC202+(1-EXP(-LN(2)/2))/(LN(2)/2)*DW203*DZ203*VLOOKUP('Données projet'!$B$14,Paramètres!$A$1:$I$88,3,0)*0.475*44/12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69.735772895054708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projet'!$B$15,Paramètres!$A$1:$I$88,3,0)*VLOOKUP('Données projet'!$B$15,Paramètres!$A$1:$I$88,5,0)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projet'!$B$15,Paramètres!$A$1:$I$88,7,0))</f>
        <v>0</v>
      </c>
      <c r="ET203" s="17">
        <f>IF(ISNA(VLOOKUP(A203,'Données projet'!$A$191:$I$211,6,0)),0%,VLOOKUP(A203,'Données projet'!$A$191:$I$211,6,0)*VLOOKUP('Données projet'!$B$15,Paramètres!$A$1:$I$88,7,0))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projet'!$B$15,Paramètres!$A$1:$I$88,3,0)*0.475*44/12</f>
        <v>#N/A</v>
      </c>
      <c r="EW203" s="23" t="e">
        <f>EXP(-LN(2)/25)*EW202+(1-EXP(-LN(2)/25))/(LN(2)/25)*Calculateur!ER203*Calculateur!ET203*VLOOKUP('Données projet'!$B$15,Paramètres!$A$1:$I$88,3,0)*0.475*44/12</f>
        <v>#N/A</v>
      </c>
      <c r="EX203" s="23" t="e">
        <f>EXP(-LN(2)/2)*EX202+(1-EXP(-LN(2)/2))/(LN(2)/2)*ER203*EU203*VLOOKUP('Données projet'!$B$15,Paramètres!$A$1:$I$88,3,0)*0.475*44/12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69.735772895054708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projet'!$B$16,Paramètres!$A$1:$I$88,3,0)*VLOOKUP('Données projet'!$B$16,Paramètres!$A$1:$I$88,5,0)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projet'!$B$16,Paramètres!$A$1:$I$88,7,0))</f>
        <v>0</v>
      </c>
      <c r="FO203" s="17">
        <f>IF(ISNA(VLOOKUP(A203,'Données projet'!$A$217:$I$237,6,0)),0%,VLOOKUP(A203,'Données projet'!$A$217:$I$237,6,0)*VLOOKUP('Données projet'!$B$16,Paramètres!$A$1:$I$88,7,0))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projet'!$B$16,Paramètres!$A$1:$I$88,3,0)*0.475*44/12</f>
        <v>#N/A</v>
      </c>
      <c r="FR203" s="23" t="e">
        <f>EXP(-LN(2)/25)*FR202+(1-EXP(-LN(2)/25))/(LN(2)/25)*Calculateur!FM203*Calculateur!FO203*VLOOKUP('Données projet'!$B$16,Paramètres!$A$1:$I$88,3,0)*0.475*44/12</f>
        <v>#N/A</v>
      </c>
      <c r="FS203" s="23" t="e">
        <f>EXP(-LN(2)/2)*FS202+(1-EXP(-LN(2)/2))/(LN(2)/2)*FM203*FP203*VLOOKUP('Données projet'!$B$16,Paramètres!$A$1:$I$88,3,0)*0.475*44/12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69.735772895054708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projet'!$B$17,Paramètres!$A$1:$I$88,3,0)*VLOOKUP('Données projet'!$B$17,Paramètres!$A$1:$I$88,5,0)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projet'!$B$17,Paramètres!$A$1:$I$88,7,0))</f>
        <v>0</v>
      </c>
      <c r="GJ203" s="17">
        <f>IF(ISNA(VLOOKUP(A203,'Données projet'!$A$243:$I$263,6,0)),0%,VLOOKUP(A203,'Données projet'!$A$243:$I$263,6,0)*VLOOKUP('Données projet'!$B$17,Paramètres!$A$1:$I$88,7,0))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projet'!$B$17,Paramètres!$A$1:$I$88,3,0)*0.475*44/12</f>
        <v>#N/A</v>
      </c>
      <c r="GM203" s="23" t="e">
        <f>EXP(-LN(2)/25)*GM202+(1-EXP(-LN(2)/25))/(LN(2)/25)*Calculateur!GH203*Calculateur!GJ203*VLOOKUP('Données projet'!$B$17,Paramètres!$A$1:$I$88,3,0)*0.475*44/12</f>
        <v>#N/A</v>
      </c>
      <c r="GN203" s="23" t="e">
        <f>EXP(-LN(2)/2)*GN202+(1-EXP(-LN(2)/2))/(LN(2)/2)*GH203*GK203*VLOOKUP('Données projet'!$B$17,Paramètres!$A$1:$I$88,3,0)*0.475*44/12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69.735772895054708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projet'!$B$18,Paramètres!$A$1:$I$88,3,0)*VLOOKUP('Données projet'!$B$18,Paramètres!$A$1:$I$88,5,0)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projet'!$B$18,Paramètres!$A$1:$I$88,7,0))</f>
        <v>0</v>
      </c>
      <c r="HE203" s="17">
        <f>IF(ISNA(VLOOKUP(A203,'Données projet'!$A$269:$I$289,6,0)),0%,VLOOKUP(A203,'Données projet'!$A$269:$I$289,6,0)*VLOOKUP('Données projet'!$B$18,Paramètres!$A$1:$I$88,7,0))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projet'!$B$18,Paramètres!$A$1:$I$88,3,0)*0.475*44/12</f>
        <v>#N/A</v>
      </c>
      <c r="HH203" s="23" t="e">
        <f>EXP(-LN(2)/25)*HH202+(1-EXP(-LN(2)/25))/(LN(2)/25)*Calculateur!HC203*Calculateur!HE203*VLOOKUP('Données projet'!$B$18,Paramètres!$A$1:$I$88,3,0)*0.475*44/12</f>
        <v>#N/A</v>
      </c>
      <c r="HI203" s="23" t="e">
        <f>EXP(-LN(2)/2)*HI202+(1-EXP(-LN(2)/2))/(LN(2)/2)*HC203*HF203*VLOOKUP('Données projet'!$B$18,Paramètres!$A$1:$I$88,3,0)*0.475*44/12</f>
        <v>#N/A</v>
      </c>
      <c r="HJ203" s="24" t="e">
        <f t="shared" si="190"/>
        <v>#N/A</v>
      </c>
    </row>
    <row r="204" spans="1:218" ht="15" thickBot="1" x14ac:dyDescent="0.4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294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294</v>
      </c>
      <c r="BA204" s="87" t="s">
        <v>294</v>
      </c>
      <c r="BV204" s="87" t="s">
        <v>294</v>
      </c>
      <c r="CQ204" s="87" t="s">
        <v>294</v>
      </c>
      <c r="DL204" s="87" t="s">
        <v>294</v>
      </c>
      <c r="EG204" s="87" t="s">
        <v>294</v>
      </c>
      <c r="FB204" s="87" t="s">
        <v>294</v>
      </c>
      <c r="FW204" s="87" t="s">
        <v>294</v>
      </c>
      <c r="GR204" s="87" t="s">
        <v>294</v>
      </c>
    </row>
    <row r="205" spans="1:218" ht="15" thickBot="1" x14ac:dyDescent="0.4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1.2477420770391454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>
        <f>EXP(LN('Données projet'!B62)/'Données projet'!A62)</f>
        <v>1.2894390039345114</v>
      </c>
      <c r="BA205" s="88">
        <f>EXP(LN('Données projet'!B88)/'Données projet'!A88)</f>
        <v>1.132010517921799</v>
      </c>
      <c r="BV205" s="88">
        <f>EXP(LN('Données projet'!B114)/'Données projet'!A114)</f>
        <v>1.0963915175379866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pijpqe0Ylsjs9EpvAY4m52gXTBEEy40gXYONLP605lBROE4I+gEWLO8HbzDEOY09qTOgOqydyeGgVqRPK8zZ3g==" saltValue="1tsCNl6Hms155TjQS5tvm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4"/>
  <sheetViews>
    <sheetView workbookViewId="0">
      <selection activeCell="E10" sqref="E10"/>
    </sheetView>
  </sheetViews>
  <sheetFormatPr baseColWidth="10" defaultColWidth="11.453125" defaultRowHeight="14.5" x14ac:dyDescent="0.35"/>
  <cols>
    <col min="1" max="1" width="23.453125" style="5" bestFit="1" customWidth="1"/>
    <col min="2" max="2" width="27.7265625" style="5" bestFit="1" customWidth="1"/>
    <col min="3" max="3" width="11.81640625" style="5" bestFit="1" customWidth="1"/>
    <col min="4" max="4" width="40" style="5" bestFit="1" customWidth="1"/>
    <col min="5" max="5" width="11.81640625" style="5" bestFit="1" customWidth="1"/>
    <col min="6" max="6" width="13.7265625" style="5" bestFit="1" customWidth="1"/>
    <col min="7" max="7" width="11.453125" style="5" bestFit="1" customWidth="1"/>
    <col min="8" max="8" width="39" style="5" bestFit="1" customWidth="1"/>
    <col min="9" max="9" width="16.7265625" style="5" customWidth="1"/>
    <col min="10" max="14" width="11.453125" style="5"/>
    <col min="15" max="15" width="23.453125" style="5" bestFit="1" customWidth="1"/>
    <col min="16" max="16384" width="11.453125" style="5"/>
  </cols>
  <sheetData>
    <row r="1" spans="1:16" ht="44" thickBot="1" x14ac:dyDescent="0.4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3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1" t="s">
        <v>238</v>
      </c>
      <c r="P2" s="130">
        <v>0</v>
      </c>
    </row>
    <row r="3" spans="1:16" ht="15" thickBot="1" x14ac:dyDescent="0.4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2"/>
      <c r="P3" s="137">
        <v>0.2</v>
      </c>
    </row>
    <row r="4" spans="1:16" ht="15" thickBot="1" x14ac:dyDescent="0.4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3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1" t="s">
        <v>237</v>
      </c>
      <c r="P5" s="130">
        <v>0</v>
      </c>
    </row>
    <row r="6" spans="1:16" x14ac:dyDescent="0.3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3"/>
      <c r="P6" s="138">
        <v>0.05</v>
      </c>
    </row>
    <row r="7" spans="1:16" x14ac:dyDescent="0.3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3"/>
      <c r="P7" s="138">
        <v>0.1</v>
      </c>
    </row>
    <row r="8" spans="1:16" ht="15" thickBot="1" x14ac:dyDescent="0.4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2"/>
      <c r="P8" s="137">
        <v>0.15</v>
      </c>
    </row>
    <row r="9" spans="1:16" ht="15" thickBot="1" x14ac:dyDescent="0.4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3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1" t="s">
        <v>236</v>
      </c>
      <c r="P10" s="130">
        <v>0</v>
      </c>
    </row>
    <row r="11" spans="1:16" ht="15" thickBot="1" x14ac:dyDescent="0.4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2"/>
      <c r="P11" s="137">
        <v>0.1</v>
      </c>
    </row>
    <row r="12" spans="1:16" x14ac:dyDescent="0.3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3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3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3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3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3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3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3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3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3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3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3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3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3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3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3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3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3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3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3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3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3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3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3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3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3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3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3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3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3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3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3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3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3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3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3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3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3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3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3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3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3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3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3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3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3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3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3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3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3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3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3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3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3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3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3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3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3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3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3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3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3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3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3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3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3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3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3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3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3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3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3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3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3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3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35">
      <c r="A87" s="131" t="s">
        <v>148</v>
      </c>
      <c r="B87" s="139"/>
      <c r="C87" s="133">
        <v>0.42</v>
      </c>
      <c r="D87" s="133" t="s">
        <v>161</v>
      </c>
      <c r="E87" s="133">
        <v>1.3</v>
      </c>
      <c r="F87" s="134" t="s">
        <v>274</v>
      </c>
      <c r="G87" s="140"/>
      <c r="H87" s="139"/>
      <c r="I87" s="141"/>
    </row>
    <row r="88" spans="1:14" ht="15" thickBot="1" x14ac:dyDescent="0.4">
      <c r="A88" s="142" t="s">
        <v>149</v>
      </c>
      <c r="B88" s="143"/>
      <c r="C88" s="144">
        <v>0.56999999999999995</v>
      </c>
      <c r="D88" s="145" t="s">
        <v>161</v>
      </c>
      <c r="E88" s="144">
        <v>1.56</v>
      </c>
      <c r="F88" s="144" t="s">
        <v>274</v>
      </c>
      <c r="G88" s="143"/>
      <c r="H88" s="143"/>
      <c r="I88" s="146"/>
    </row>
    <row r="92" spans="1:14" x14ac:dyDescent="0.35">
      <c r="A92" s="131" t="s">
        <v>208</v>
      </c>
    </row>
    <row r="93" spans="1:14" x14ac:dyDescent="0.35">
      <c r="A93" s="131" t="s">
        <v>209</v>
      </c>
    </row>
    <row r="94" spans="1:14" x14ac:dyDescent="0.35">
      <c r="A94" s="131" t="s">
        <v>210</v>
      </c>
    </row>
  </sheetData>
  <sheetProtection algorithmName="SHA-512" hashValue="SU8v9sh0HK2j7Ogy/cb6KacbfRqtnO7n52wtgLVAit1FvWCcc+9YsrQFKwVx34OtTH0HMtzU1UNx2LBAmhOgWA==" saltValue="Ik5XPr131wfHnZW4R2rluw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zoomScale="85" zoomScaleNormal="85" workbookViewId="0">
      <selection activeCell="I23" sqref="I23"/>
    </sheetView>
  </sheetViews>
  <sheetFormatPr baseColWidth="10" defaultColWidth="11.453125" defaultRowHeight="14.5" x14ac:dyDescent="0.35"/>
  <cols>
    <col min="1" max="1" width="22.81640625" style="1" bestFit="1" customWidth="1"/>
    <col min="2" max="2" width="10.54296875" style="1" bestFit="1" customWidth="1"/>
    <col min="3" max="3" width="15.54296875" style="1" bestFit="1" customWidth="1"/>
    <col min="4" max="4" width="13.453125" style="1" bestFit="1" customWidth="1"/>
    <col min="5" max="8" width="11.453125" style="1"/>
    <col min="9" max="13" width="11.453125" style="65"/>
    <col min="14" max="15" width="11.453125" style="1"/>
    <col min="16" max="17" width="13.453125" style="1" customWidth="1"/>
    <col min="18" max="16384" width="11.453125" style="1"/>
  </cols>
  <sheetData>
    <row r="1" spans="1:62" ht="15" thickBot="1" x14ac:dyDescent="0.4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6.5" thickBot="1" x14ac:dyDescent="0.65">
      <c r="A2" s="302" t="s">
        <v>271</v>
      </c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4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3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" thickBot="1" x14ac:dyDescent="0.4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58.5" thickBot="1" x14ac:dyDescent="0.4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35">
      <c r="A6" s="154" t="str">
        <f>IF('Données projet'!$B$9="","",'Données projet'!$B$9)</f>
        <v>Douglas</v>
      </c>
      <c r="B6" s="155">
        <f>'Données projet'!D9</f>
        <v>1.04</v>
      </c>
      <c r="C6" s="156">
        <f ca="1">IF(OR('Données projet'!B9="",'Données projet'!C9="",'Données projet'!C9=0%),0,Calculateur!S3)</f>
        <v>341.05096821796769</v>
      </c>
      <c r="D6" s="156">
        <f>IF(OR('Données projet'!B9="",'Données projet'!C9="",'Données projet'!C9=0%),0,Calculateur!T3)</f>
        <v>400.72519822215168</v>
      </c>
      <c r="E6" s="156">
        <f ca="1">MIN(C6,D6)</f>
        <v>341.05096821796769</v>
      </c>
      <c r="F6" s="156">
        <f ca="1">E6*B6</f>
        <v>354.69300694668641</v>
      </c>
      <c r="G6" s="156">
        <f ca="1">F6*(100%-'Données projet'!$C$24)*(100%-'Données projet'!$C$25)*(100%-'Données projet'!$C$26)*(100%-'Données projet'!$C$27)</f>
        <v>319.22370625201779</v>
      </c>
      <c r="H6" s="157">
        <f>IF(OR('Données projet'!B9="",'Données projet'!C9="",'Données projet'!C9=0%),0,AVERAGE(Calculateur!$AC$3:$AC$33)*B6)</f>
        <v>4.0665097436900286</v>
      </c>
      <c r="I6" s="158">
        <f>H6*(100%-'Données projet'!$C$24)*(100%-'Données projet'!$C$25)*(100%-'Données projet'!$C$26)*(100%-'Données projet'!$C$27)</f>
        <v>3.6598587693210258</v>
      </c>
      <c r="J6" s="159">
        <f>IF(OR('Données projet'!B9="",'Données projet'!C9="",'Données projet'!C9=0%),0,SUM(Calculateur!$V$3:$V$33)*VLOOKUP('Données projet'!$B$9,Paramètres!$A$1:$I$88,9,0)*B6)</f>
        <v>26.384800000000002</v>
      </c>
      <c r="K6" s="160">
        <f>J6*(100%-'Données projet'!$C$24)*(100%-'Données projet'!$C$25)*(100%-'Données projet'!$C$26)*(100%-'Données projet'!$C$27)</f>
        <v>23.746320000000001</v>
      </c>
      <c r="L6" s="161">
        <f ca="1">G6+I6+K6</f>
        <v>346.62988502133885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35">
      <c r="A7" s="162" t="str">
        <f>IF('Données projet'!$B$10="","",'Données projet'!$B$10)</f>
        <v>Pin maritime</v>
      </c>
      <c r="B7" s="163">
        <f>'Données projet'!D10</f>
        <v>1.3</v>
      </c>
      <c r="C7" s="156">
        <f ca="1">IF(OR('Données projet'!B10="",'Données projet'!C10="",'Données projet'!C10=0%),0,Calculateur!AN3)</f>
        <v>231.96474801342879</v>
      </c>
      <c r="D7" s="156">
        <f>IF(OR('Données projet'!B10="",'Données projet'!C10="",'Données projet'!C10=0%),0,Calculateur!AO3)</f>
        <v>237.75726086383668</v>
      </c>
      <c r="E7" s="156">
        <f t="shared" ref="E7:E15" ca="1" si="0">MIN(C7,D7)</f>
        <v>231.96474801342879</v>
      </c>
      <c r="F7" s="156">
        <f t="shared" ref="F7:F15" ca="1" si="1">E7*B7</f>
        <v>301.55417241745744</v>
      </c>
      <c r="G7" s="156">
        <f ca="1">F7*(100%-'Données projet'!$C$24)*(100%-'Données projet'!$C$25)*(100%-'Données projet'!$C$26)*(100%-'Données projet'!$C$27)</f>
        <v>271.3987551757117</v>
      </c>
      <c r="H7" s="164">
        <f>IF(OR('Données projet'!B10="",'Données projet'!C10="",'Données projet'!C10=0%),0,AVERAGE(Calculateur!$AX$3:$AX$33)*B7)</f>
        <v>5.8272281911797146</v>
      </c>
      <c r="I7" s="158">
        <f>H7*(100%-'Données projet'!$C$24)*(100%-'Données projet'!$C$25)*(100%-'Données projet'!$C$26)*(100%-'Données projet'!$C$27)</f>
        <v>5.2445053720617434</v>
      </c>
      <c r="J7" s="159">
        <f>IF(OR('Données projet'!B10="",'Données projet'!C10="",'Données projet'!C10=0%),0,SUM(Calculateur!$AQ$3:$AQ$33)*VLOOKUP('Données projet'!$B$10,Paramètres!$A$1:$I$88,9,0)*B7)</f>
        <v>49.471499999999999</v>
      </c>
      <c r="K7" s="160">
        <f>J7*(100%-'Données projet'!$C$24)*(100%-'Données projet'!$C$25)*(100%-'Données projet'!$C$26)*(100%-'Données projet'!$C$27)</f>
        <v>44.524349999999998</v>
      </c>
      <c r="L7" s="161">
        <f t="shared" ref="L7:L15" ca="1" si="2">G7+I7+K7</f>
        <v>321.16761054777339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35">
      <c r="A8" s="162" t="str">
        <f>IF('Données projet'!$B$11="","",'Données projet'!$B$11)</f>
        <v>Cèdre de l'Atlas</v>
      </c>
      <c r="B8" s="163">
        <f>'Données projet'!D11</f>
        <v>1.3</v>
      </c>
      <c r="C8" s="156">
        <f ca="1">IF(OR('Données projet'!B11="",'Données projet'!C11="",'Données projet'!C11=0%),0,Calculateur!BI3)</f>
        <v>364.96458059055169</v>
      </c>
      <c r="D8" s="156">
        <f>IF(OR('Données projet'!B11="",'Données projet'!C11="",'Données projet'!C11=0%),0,Calculateur!BJ3)</f>
        <v>246.27159120786257</v>
      </c>
      <c r="E8" s="156">
        <f t="shared" ca="1" si="0"/>
        <v>246.27159120786257</v>
      </c>
      <c r="F8" s="156">
        <f t="shared" ca="1" si="1"/>
        <v>320.15306857022136</v>
      </c>
      <c r="G8" s="156">
        <f ca="1">F8*(100%-'Données projet'!$C$24)*(100%-'Données projet'!$C$25)*(100%-'Données projet'!$C$26)*(100%-'Données projet'!$C$27)</f>
        <v>288.13776171319921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projet'!$B$11,Paramètres!$A$1:$I$88,9,0)*B8)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ca="1" si="2"/>
        <v>288.13776171319921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35">
      <c r="A9" s="162" t="str">
        <f>IF('Données projet'!$B$12="","",'Données projet'!$B$12)</f>
        <v>Chêne pubescent</v>
      </c>
      <c r="B9" s="163">
        <f>'Données projet'!D12</f>
        <v>0.34</v>
      </c>
      <c r="C9" s="156">
        <f ca="1">IF(OR('Données projet'!B12="",'Données projet'!C12="",'Données projet'!C12=0%),0,Calculateur!CD3)</f>
        <v>310.53598044763282</v>
      </c>
      <c r="D9" s="156">
        <f>IF(OR('Données projet'!B12="",'Données projet'!C12="",'Données projet'!C12=0%),0,Calculateur!CE3)</f>
        <v>322.01096634040596</v>
      </c>
      <c r="E9" s="156">
        <f t="shared" ca="1" si="0"/>
        <v>310.53598044763282</v>
      </c>
      <c r="F9" s="156">
        <f t="shared" ca="1" si="1"/>
        <v>105.58223335219516</v>
      </c>
      <c r="G9" s="156">
        <f ca="1">F9*(100%-'Données projet'!$C$24)*(100%-'Données projet'!$C$25)*(100%-'Données projet'!$C$26)*(100%-'Données projet'!$C$27)</f>
        <v>95.024010016975652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projet'!$B$12,Paramètres!$A$1:$I$88,9,0)*B9)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ca="1" si="2"/>
        <v>95.024010016975652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3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projet'!$B$13,Paramètres!$A$1:$I$88,9,0)*B10)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3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projet'!$B$14,Paramètres!$A$1:$I$88,9,0)*B11)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3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projet'!$B$15,Paramètres!$A$1:$I$88,9,0)*B12)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3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projet'!$B$16,Paramètres!$A$1:$I$88,9,0)*B13)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3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projet'!$B$17,Paramètres!$A$1:$I$88,9,0)*B14)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" thickBot="1" x14ac:dyDescent="0.4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projet'!$B$18,Paramètres!$A$1:$I$88,9,0)*B15)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" thickBot="1" x14ac:dyDescent="0.4">
      <c r="A16" s="226"/>
      <c r="B16" s="233"/>
      <c r="C16" s="234"/>
      <c r="D16" s="25"/>
      <c r="E16" s="25"/>
      <c r="F16" s="174">
        <f t="shared" ref="F16:L16" ca="1" si="3">SUM(F6:F15)</f>
        <v>1081.9824812865604</v>
      </c>
      <c r="G16" s="175">
        <f t="shared" ca="1" si="3"/>
        <v>973.7842331579044</v>
      </c>
      <c r="H16" s="176">
        <f t="shared" si="3"/>
        <v>9.8937379348697441</v>
      </c>
      <c r="I16" s="176">
        <f t="shared" si="3"/>
        <v>8.9043641413827697</v>
      </c>
      <c r="J16" s="177">
        <f t="shared" si="3"/>
        <v>75.856300000000005</v>
      </c>
      <c r="K16" s="177">
        <f t="shared" si="3"/>
        <v>68.270669999999996</v>
      </c>
      <c r="L16" s="178">
        <f t="shared" ca="1" si="3"/>
        <v>1050.9592672992871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35">
      <c r="A17" s="226"/>
      <c r="B17" s="233"/>
      <c r="C17" s="234"/>
      <c r="D17" s="231"/>
      <c r="E17" s="231"/>
      <c r="F17" s="314" t="s">
        <v>246</v>
      </c>
      <c r="G17" s="315"/>
      <c r="H17" s="315"/>
      <c r="I17" s="315"/>
      <c r="J17" s="315"/>
      <c r="K17" s="315"/>
      <c r="L17" s="315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35">
      <c r="A18" s="226"/>
      <c r="B18" s="233"/>
      <c r="C18" s="234"/>
      <c r="D18" s="231"/>
      <c r="E18" s="231"/>
      <c r="F18" s="316"/>
      <c r="G18" s="316"/>
      <c r="H18" s="316"/>
      <c r="I18" s="316"/>
      <c r="J18" s="316"/>
      <c r="K18" s="316"/>
      <c r="L18" s="316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3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" thickBot="1" x14ac:dyDescent="0.4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" thickBot="1" x14ac:dyDescent="0.4">
      <c r="A21" s="179" t="str">
        <f>A6</f>
        <v>Douglas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3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3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3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3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3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3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3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3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3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3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3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3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3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3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3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3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" thickBot="1" x14ac:dyDescent="0.4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" thickBot="1" x14ac:dyDescent="0.4">
      <c r="A39" s="179" t="str">
        <f>A7</f>
        <v>Pin maritime</v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3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3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3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3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3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3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3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3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3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3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3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3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3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3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3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3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" thickBot="1" x14ac:dyDescent="0.4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" thickBot="1" x14ac:dyDescent="0.4">
      <c r="A57" s="179" t="str">
        <f>A8</f>
        <v>Cèdre de l'Atlas</v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3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3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3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3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3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3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3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3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3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3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3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3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3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3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3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3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3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" thickBot="1" x14ac:dyDescent="0.4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" thickBot="1" x14ac:dyDescent="0.4">
      <c r="A76" s="179" t="str">
        <f>A9</f>
        <v>Chêne pubescent</v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3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3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3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3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3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3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3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3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3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3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3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3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3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3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3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3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" thickBot="1" x14ac:dyDescent="0.4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" thickBot="1" x14ac:dyDescent="0.4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3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3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3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3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3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3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3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3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3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3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3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3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3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3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3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3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" thickBot="1" x14ac:dyDescent="0.4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" thickBot="1" x14ac:dyDescent="0.4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3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3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3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3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3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3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3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3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3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3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3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3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3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3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3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3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" thickBot="1" x14ac:dyDescent="0.4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" thickBot="1" x14ac:dyDescent="0.4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3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3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3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3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3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3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3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3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3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3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3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3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3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3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3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3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" thickBot="1" x14ac:dyDescent="0.4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" thickBot="1" x14ac:dyDescent="0.4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3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3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3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3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3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3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3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3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3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3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3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3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3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3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3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3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" thickBot="1" x14ac:dyDescent="0.4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" thickBot="1" x14ac:dyDescent="0.4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3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3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3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3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3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3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3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3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3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3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3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3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3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3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3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3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" thickBot="1" x14ac:dyDescent="0.4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" thickBot="1" x14ac:dyDescent="0.4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3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3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3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3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3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3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3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3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3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3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3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3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3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3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3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3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3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3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3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3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3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3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3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3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3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3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3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3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3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3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3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3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3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3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3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3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3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3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3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3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3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3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3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3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3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3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3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3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3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3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3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3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3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3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3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3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3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3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3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3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3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3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3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3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3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3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3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3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3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3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3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3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3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3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3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3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3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3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3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3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3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3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3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3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3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3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3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3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3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3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3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3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3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3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3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3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3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3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3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3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3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3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3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3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3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3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3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3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3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3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3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3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3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3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3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3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3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3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3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3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3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3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3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3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3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3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3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3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3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3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3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3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3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3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3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3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3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3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3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3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3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3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3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3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3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3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3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3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3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3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3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3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3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3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3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3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3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3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3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3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3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3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3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3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3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3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3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3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3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3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3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3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35">
      <c r="I357" s="3"/>
      <c r="J357" s="3"/>
      <c r="K357" s="3"/>
      <c r="L357" s="3"/>
      <c r="M357" s="3"/>
    </row>
  </sheetData>
  <sheetProtection algorithmName="SHA-512" hashValue="lC9C/XHAr7uhq9UB/+5lGwCOtGNX6mpYUa9QfBsZAPKgWiW8PhyxW4px6LELycl6bAXquLbVNGeNjZI52f1EpA==" saltValue="wbvPzkOtGyEAPIHFcu2Eww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F2" zoomScale="85" zoomScaleNormal="85" workbookViewId="0">
      <selection activeCell="O19" sqref="O19"/>
    </sheetView>
  </sheetViews>
  <sheetFormatPr baseColWidth="10" defaultColWidth="11.453125" defaultRowHeight="14.5" x14ac:dyDescent="0.35"/>
  <cols>
    <col min="1" max="1" width="11.453125" style="1"/>
    <col min="2" max="2" width="30.81640625" style="1" bestFit="1" customWidth="1"/>
    <col min="3" max="3" width="18.1796875" style="1" bestFit="1" customWidth="1"/>
    <col min="4" max="5" width="11.453125" style="1"/>
    <col min="6" max="6" width="14" style="3" customWidth="1"/>
    <col min="7" max="7" width="17.54296875" style="3" customWidth="1"/>
    <col min="8" max="8" width="21.7265625" style="1" customWidth="1"/>
    <col min="9" max="9" width="37" style="1" customWidth="1"/>
    <col min="10" max="10" width="11.453125" style="1"/>
    <col min="11" max="11" width="8.81640625" style="1" customWidth="1"/>
    <col min="12" max="12" width="11.453125" style="1"/>
    <col min="13" max="13" width="21" style="1" customWidth="1"/>
    <col min="14" max="16" width="11.453125" style="1"/>
    <col min="17" max="17" width="8" style="1" customWidth="1"/>
    <col min="18" max="18" width="11.453125" style="1"/>
    <col min="19" max="19" width="31" style="1" customWidth="1"/>
    <col min="20" max="20" width="18.1796875" style="1" customWidth="1"/>
    <col min="21" max="21" width="16.453125" style="1" customWidth="1"/>
    <col min="22" max="22" width="17.81640625" style="1" customWidth="1"/>
    <col min="23" max="16384" width="11.453125" style="1"/>
  </cols>
  <sheetData>
    <row r="1" spans="1:42" ht="15" thickBot="1" x14ac:dyDescent="0.4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6.5" thickBot="1" x14ac:dyDescent="0.65">
      <c r="A2" s="5"/>
      <c r="B2" s="302" t="s">
        <v>272</v>
      </c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4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3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35">
      <c r="A4" s="99"/>
      <c r="B4" s="99"/>
      <c r="C4" s="99"/>
      <c r="D4" s="99"/>
      <c r="E4" s="99"/>
      <c r="G4" s="180"/>
      <c r="H4" s="334" t="s">
        <v>316</v>
      </c>
      <c r="I4" s="334"/>
      <c r="K4" s="331" t="s">
        <v>253</v>
      </c>
      <c r="L4" s="332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3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" thickBot="1" x14ac:dyDescent="0.4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6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23" t="s">
        <v>311</v>
      </c>
      <c r="S7" s="324"/>
      <c r="T7" s="324"/>
      <c r="U7" s="324"/>
      <c r="V7" s="325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3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35">
      <c r="A9" s="260" t="s">
        <v>312</v>
      </c>
      <c r="C9" s="25"/>
      <c r="D9" s="25"/>
      <c r="E9" s="25"/>
      <c r="F9" s="261"/>
      <c r="G9" s="260" t="s">
        <v>315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35">
      <c r="A10" s="260" t="s">
        <v>318</v>
      </c>
      <c r="C10" s="25"/>
      <c r="D10" s="25"/>
      <c r="E10" s="25"/>
      <c r="F10" s="261"/>
      <c r="G10" s="260" t="s">
        <v>317</v>
      </c>
      <c r="J10" s="214"/>
      <c r="K10" s="225"/>
      <c r="O10" s="25"/>
      <c r="P10" s="25"/>
      <c r="Q10" s="265"/>
      <c r="R10" s="25"/>
      <c r="S10" s="185" t="str">
        <f>B14</f>
        <v>Douglas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-914.67676169890001</v>
      </c>
      <c r="U10" s="190">
        <f>'Données projet'!D9</f>
        <v>1.04</v>
      </c>
      <c r="V10" s="189">
        <f>U10*T10</f>
        <v>-951.26383216685599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35">
      <c r="A11" s="260" t="s">
        <v>313</v>
      </c>
      <c r="B11" s="25"/>
      <c r="C11" s="25"/>
      <c r="D11" s="25"/>
      <c r="E11" s="25"/>
      <c r="F11" s="261"/>
      <c r="G11" s="260" t="s">
        <v>314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>Pin maritime</v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-473.09502720582338</v>
      </c>
      <c r="U11" s="190">
        <f>'Données projet'!D10</f>
        <v>1.3</v>
      </c>
      <c r="V11" s="189">
        <f t="shared" ref="V11" si="0">U11*T11</f>
        <v>-615.02353536757039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3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>Cèdre de l'Atlas</v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-2016.1160361474822</v>
      </c>
      <c r="U12" s="190">
        <f>'Données projet'!D11</f>
        <v>1.3</v>
      </c>
      <c r="V12" s="189">
        <f t="shared" ref="V12:V19" si="1">U12*T12</f>
        <v>-2620.9508469917268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3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>Chêne pubescent</v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193.90610252361239</v>
      </c>
      <c r="U13" s="190">
        <f>'Données projet'!D12</f>
        <v>0.34</v>
      </c>
      <c r="V13" s="189">
        <f t="shared" si="1"/>
        <v>65.928074858028211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35">
      <c r="A14" s="49" t="s">
        <v>165</v>
      </c>
      <c r="B14" s="186" t="str">
        <f>IF('Données projet'!$B$9="","",'Données projet'!$B$9)</f>
        <v>Douglas</v>
      </c>
      <c r="C14" s="5"/>
      <c r="D14" s="5"/>
      <c r="E14" s="5"/>
      <c r="F14" s="261"/>
      <c r="G14" s="221"/>
      <c r="H14" s="185" t="s">
        <v>178</v>
      </c>
      <c r="I14" s="185" t="s">
        <v>291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35">
      <c r="A15" s="5"/>
      <c r="B15" s="5"/>
      <c r="C15" s="5"/>
      <c r="D15" s="5"/>
      <c r="E15" s="5"/>
      <c r="F15" s="261"/>
      <c r="G15" s="335" t="s">
        <v>319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3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287</v>
      </c>
      <c r="F16" s="261"/>
      <c r="G16" s="335"/>
      <c r="H16" s="203"/>
      <c r="I16" s="204"/>
      <c r="J16" s="216"/>
      <c r="K16" s="225"/>
      <c r="L16" s="331" t="s">
        <v>254</v>
      </c>
      <c r="M16" s="332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35">
      <c r="A17" s="210">
        <v>0</v>
      </c>
      <c r="B17" s="213" t="s">
        <v>132</v>
      </c>
      <c r="C17" s="212" t="s">
        <v>132</v>
      </c>
      <c r="D17" s="211" t="s">
        <v>132</v>
      </c>
      <c r="E17" s="206">
        <v>603.20000000000005</v>
      </c>
      <c r="F17" s="261"/>
      <c r="G17" s="335"/>
      <c r="J17" s="216"/>
      <c r="K17" s="225"/>
      <c r="L17" s="289" t="s">
        <v>290</v>
      </c>
      <c r="M17" s="291"/>
      <c r="N17" s="187">
        <f>VLOOKUP(N16,Calculateur!$A$2:$H$153,3,0)/VLOOKUP('Scénario référence'!$G$15,Paramètres!A1:I88,3,0)/VLOOKUP('Scénario référence'!$G$15,Paramètres!A1:I88,5,0)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35">
      <c r="A18" s="210">
        <v>1</v>
      </c>
      <c r="B18" s="213" t="s">
        <v>132</v>
      </c>
      <c r="C18" s="212" t="s">
        <v>132</v>
      </c>
      <c r="D18" s="211" t="s">
        <v>132</v>
      </c>
      <c r="E18" s="206">
        <v>2932.8</v>
      </c>
      <c r="F18" s="261"/>
      <c r="G18" s="335"/>
      <c r="J18" s="216"/>
      <c r="K18" s="225"/>
      <c r="L18" s="289" t="s">
        <v>255</v>
      </c>
      <c r="M18" s="291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35">
      <c r="A19" s="210">
        <v>2</v>
      </c>
      <c r="B19" s="213" t="s">
        <v>132</v>
      </c>
      <c r="C19" s="212" t="s">
        <v>132</v>
      </c>
      <c r="D19" s="211" t="s">
        <v>132</v>
      </c>
      <c r="E19" s="206">
        <v>208</v>
      </c>
      <c r="G19" s="335"/>
      <c r="H19" s="232" t="s">
        <v>178</v>
      </c>
      <c r="I19" s="232" t="s">
        <v>288</v>
      </c>
      <c r="J19" s="260"/>
      <c r="K19" s="183"/>
      <c r="L19" s="331" t="s">
        <v>289</v>
      </c>
      <c r="M19" s="332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35">
      <c r="A20" s="210">
        <v>3</v>
      </c>
      <c r="B20" s="213" t="s">
        <v>132</v>
      </c>
      <c r="C20" s="212" t="s">
        <v>132</v>
      </c>
      <c r="D20" s="211" t="s">
        <v>132</v>
      </c>
      <c r="E20" s="206">
        <v>416</v>
      </c>
      <c r="G20" s="335"/>
      <c r="H20" s="203">
        <v>0</v>
      </c>
      <c r="I20" s="204">
        <v>18</v>
      </c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35">
      <c r="A21" s="210">
        <v>4</v>
      </c>
      <c r="B21" s="213" t="s">
        <v>132</v>
      </c>
      <c r="C21" s="212" t="s">
        <v>132</v>
      </c>
      <c r="D21" s="211" t="s">
        <v>132</v>
      </c>
      <c r="E21" s="206">
        <v>208</v>
      </c>
      <c r="H21" s="203">
        <v>1</v>
      </c>
      <c r="I21" s="204">
        <v>18</v>
      </c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35">
      <c r="A22" s="210">
        <v>5</v>
      </c>
      <c r="B22" s="213" t="s">
        <v>132</v>
      </c>
      <c r="C22" s="212" t="s">
        <v>132</v>
      </c>
      <c r="D22" s="211" t="s">
        <v>132</v>
      </c>
      <c r="E22" s="206"/>
      <c r="H22" s="203">
        <v>2</v>
      </c>
      <c r="I22" s="204">
        <v>18</v>
      </c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35">
      <c r="A23" s="192">
        <f>'Données projet'!A36</f>
        <v>25</v>
      </c>
      <c r="B23" s="193">
        <f>'Données projet'!D36</f>
        <v>59</v>
      </c>
      <c r="C23" s="206">
        <v>11</v>
      </c>
      <c r="D23" s="194">
        <f>B23*C23</f>
        <v>649</v>
      </c>
      <c r="E23" s="206"/>
      <c r="F23" s="261"/>
      <c r="H23" s="203">
        <v>3</v>
      </c>
      <c r="I23" s="204">
        <v>18</v>
      </c>
      <c r="K23" s="225"/>
      <c r="L23" s="333" t="s">
        <v>260</v>
      </c>
      <c r="M23" s="333"/>
      <c r="N23" s="333"/>
      <c r="O23" s="25"/>
      <c r="P23" s="25"/>
      <c r="Q23" s="265"/>
      <c r="R23" s="25"/>
      <c r="S23" s="185" t="s">
        <v>264</v>
      </c>
      <c r="T23" s="328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-5513.2935969641785</v>
      </c>
      <c r="U23" s="328"/>
      <c r="V23" s="328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35">
      <c r="A24" s="192">
        <f>'Données projet'!A37</f>
        <v>32</v>
      </c>
      <c r="B24" s="193">
        <f>'Données projet'!D37</f>
        <v>79</v>
      </c>
      <c r="C24" s="206">
        <v>23</v>
      </c>
      <c r="D24" s="194">
        <f t="shared" ref="D24:D42" si="2">B24*C24</f>
        <v>1817</v>
      </c>
      <c r="E24" s="206"/>
      <c r="F24" s="264"/>
      <c r="H24" s="203">
        <v>4</v>
      </c>
      <c r="I24" s="204">
        <v>18</v>
      </c>
      <c r="K24" s="225"/>
      <c r="O24" s="25"/>
      <c r="P24" s="25"/>
      <c r="Q24" s="265"/>
      <c r="R24" s="25"/>
      <c r="S24" s="185" t="s">
        <v>261</v>
      </c>
      <c r="T24" s="329">
        <f ca="1">'Scénario référence'!$B$8*$M$30*'Données projet'!$C$5+('Scénario référence'!B9+'Scénario référence'!B10+'Scénario référence'!F8+'Scénario référence'!F9)*$N$19/(1+M4)^N16*'Données projet'!$C$5</f>
        <v>11712.228568840053</v>
      </c>
      <c r="U24" s="329"/>
      <c r="V24" s="329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35">
      <c r="A25" s="192">
        <f>'Données projet'!A38</f>
        <v>39</v>
      </c>
      <c r="B25" s="193">
        <f>'Données projet'!D38</f>
        <v>80</v>
      </c>
      <c r="C25" s="206">
        <v>22.999999999999996</v>
      </c>
      <c r="D25" s="194">
        <f t="shared" si="2"/>
        <v>1839.9999999999998</v>
      </c>
      <c r="E25" s="206"/>
      <c r="F25" s="264"/>
      <c r="G25" s="1"/>
      <c r="H25" s="203">
        <v>5</v>
      </c>
      <c r="I25" s="204">
        <v>18</v>
      </c>
      <c r="K25" s="225"/>
      <c r="L25" s="271" t="s">
        <v>285</v>
      </c>
      <c r="M25" s="271"/>
      <c r="N25" s="271"/>
      <c r="O25" s="271"/>
      <c r="P25" s="205">
        <v>136</v>
      </c>
      <c r="Q25" s="265"/>
      <c r="R25" s="25"/>
      <c r="S25" s="198" t="s">
        <v>266</v>
      </c>
      <c r="T25" s="330">
        <f ca="1">T23-T24</f>
        <v>-17225.522165804232</v>
      </c>
      <c r="U25" s="330"/>
      <c r="V25" s="330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35">
      <c r="A26" s="192">
        <f>'Données projet'!A39</f>
        <v>46</v>
      </c>
      <c r="B26" s="193">
        <f>'Données projet'!D39</f>
        <v>86</v>
      </c>
      <c r="C26" s="206">
        <v>22.999999999999996</v>
      </c>
      <c r="D26" s="194">
        <f t="shared" si="2"/>
        <v>1977.9999999999998</v>
      </c>
      <c r="E26" s="206"/>
      <c r="F26" s="264"/>
      <c r="G26" s="259"/>
      <c r="H26" s="203">
        <v>6</v>
      </c>
      <c r="I26" s="204">
        <v>18</v>
      </c>
      <c r="K26" s="225"/>
      <c r="L26" s="317" t="s">
        <v>258</v>
      </c>
      <c r="M26" s="318"/>
      <c r="N26" s="318"/>
      <c r="O26" s="318"/>
      <c r="P26" s="319"/>
      <c r="Q26" s="265"/>
      <c r="R26" s="25"/>
      <c r="S26" s="198" t="s">
        <v>265</v>
      </c>
      <c r="T26" s="327" t="str">
        <f ca="1">IF(T25&lt;0,"Votre projet est additionnel","Votre projet n'est pas additionnel")</f>
        <v>Votre projet est additionnel</v>
      </c>
      <c r="U26" s="327"/>
      <c r="V26" s="327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35">
      <c r="A27" s="192">
        <f>'Données projet'!A40</f>
        <v>53</v>
      </c>
      <c r="B27" s="193">
        <f>'Données projet'!D40</f>
        <v>80</v>
      </c>
      <c r="C27" s="206">
        <v>47</v>
      </c>
      <c r="D27" s="194">
        <f t="shared" si="2"/>
        <v>3760</v>
      </c>
      <c r="E27" s="206"/>
      <c r="F27" s="264"/>
      <c r="G27" s="259"/>
      <c r="H27" s="203">
        <v>7</v>
      </c>
      <c r="I27" s="204">
        <v>18</v>
      </c>
      <c r="K27" s="225"/>
      <c r="L27" s="320"/>
      <c r="M27" s="321"/>
      <c r="N27" s="321"/>
      <c r="O27" s="321"/>
      <c r="P27" s="322"/>
      <c r="Q27" s="265"/>
      <c r="R27" s="25"/>
      <c r="S27" s="326" t="s">
        <v>267</v>
      </c>
      <c r="T27" s="326"/>
      <c r="U27" s="326"/>
      <c r="V27" s="326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35">
      <c r="A28" s="192">
        <f>'Données projet'!A41</f>
        <v>60</v>
      </c>
      <c r="B28" s="193">
        <f>'Données projet'!D41</f>
        <v>97</v>
      </c>
      <c r="C28" s="206">
        <v>46.999999999999993</v>
      </c>
      <c r="D28" s="194">
        <f t="shared" si="2"/>
        <v>4558.9999999999991</v>
      </c>
      <c r="E28" s="206"/>
      <c r="F28" s="264"/>
      <c r="G28" s="222"/>
      <c r="H28" s="203">
        <v>8</v>
      </c>
      <c r="I28" s="204">
        <v>18</v>
      </c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35">
      <c r="A29" s="192">
        <f>'Données projet'!A42</f>
        <v>67</v>
      </c>
      <c r="B29" s="193">
        <f>'Données projet'!D42</f>
        <v>521</v>
      </c>
      <c r="C29" s="206">
        <v>47</v>
      </c>
      <c r="D29" s="194">
        <f t="shared" si="2"/>
        <v>24487</v>
      </c>
      <c r="E29" s="206"/>
      <c r="F29" s="264"/>
      <c r="G29" s="218"/>
      <c r="H29" s="203">
        <v>9</v>
      </c>
      <c r="I29" s="204">
        <v>18</v>
      </c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3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>
        <v>10</v>
      </c>
      <c r="I30" s="204">
        <v>18</v>
      </c>
      <c r="K30" s="195"/>
      <c r="L30" s="185" t="s">
        <v>259</v>
      </c>
      <c r="M30" s="196">
        <f ca="1">SUM(OFFSET($P$33,0,0,MIN('Données projet'!$E$9:$E$18)+1,1))</f>
        <v>2942.7709971959935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3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>
        <v>11</v>
      </c>
      <c r="I31" s="204">
        <v>18</v>
      </c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3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>
        <v>12</v>
      </c>
      <c r="I32" s="204">
        <v>18</v>
      </c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3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>
        <v>13</v>
      </c>
      <c r="I33" s="204">
        <v>18</v>
      </c>
      <c r="K33" s="183"/>
      <c r="L33" s="5"/>
      <c r="M33" s="5"/>
      <c r="N33" s="5"/>
      <c r="O33" s="207">
        <v>0</v>
      </c>
      <c r="P33" s="197">
        <f t="shared" ref="P33:P64" si="3">$P$25/(1+$M$4)^O33</f>
        <v>136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3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>
        <v>14</v>
      </c>
      <c r="I34" s="204">
        <v>18</v>
      </c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130.14354066985646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3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>
        <v>15</v>
      </c>
      <c r="I35" s="204">
        <v>18</v>
      </c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124.53927336828372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3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>
        <v>16</v>
      </c>
      <c r="I36" s="204">
        <v>18</v>
      </c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119.17633815146768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3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>
        <v>17</v>
      </c>
      <c r="I37" s="204">
        <v>18</v>
      </c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114.04434272867722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3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>
        <v>18</v>
      </c>
      <c r="I38" s="204">
        <v>18</v>
      </c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109.13334232409304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3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>
        <v>19</v>
      </c>
      <c r="I39" s="204">
        <v>18</v>
      </c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104.43382040583069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3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>
        <v>20</v>
      </c>
      <c r="I40" s="204">
        <v>18</v>
      </c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99.936670244814039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3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>
        <v>21</v>
      </c>
      <c r="I41" s="204">
        <v>18</v>
      </c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95.633177267764665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3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>
        <v>22</v>
      </c>
      <c r="I42" s="204">
        <v>18</v>
      </c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91.515002170109739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35">
      <c r="A43" s="199"/>
      <c r="B43" s="199"/>
      <c r="C43" s="199"/>
      <c r="D43" s="256"/>
      <c r="E43" s="256"/>
      <c r="F43" s="269"/>
      <c r="G43" s="218"/>
      <c r="H43" s="203">
        <v>23</v>
      </c>
      <c r="I43" s="204">
        <v>18</v>
      </c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87.574164756085892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35">
      <c r="A44" s="5"/>
      <c r="B44" s="5"/>
      <c r="C44" s="5"/>
      <c r="D44" s="5"/>
      <c r="E44" s="5"/>
      <c r="F44" s="261"/>
      <c r="G44" s="218"/>
      <c r="H44" s="203">
        <v>24</v>
      </c>
      <c r="I44" s="204">
        <v>18</v>
      </c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83.803028474723334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35">
      <c r="A45" s="49" t="s">
        <v>166</v>
      </c>
      <c r="B45" s="186" t="str">
        <f>IF('Données projet'!$B$10="","",'Données projet'!$B$10)</f>
        <v>Pin maritime</v>
      </c>
      <c r="C45" s="5"/>
      <c r="D45" s="5"/>
      <c r="E45" s="5"/>
      <c r="F45" s="261"/>
      <c r="G45" s="218"/>
      <c r="H45" s="203">
        <v>25</v>
      </c>
      <c r="I45" s="204">
        <v>18</v>
      </c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80.194285621744839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35">
      <c r="A46" s="5"/>
      <c r="B46" s="5"/>
      <c r="C46" s="5"/>
      <c r="D46" s="5"/>
      <c r="E46" s="5"/>
      <c r="F46" s="261"/>
      <c r="G46" s="218"/>
      <c r="H46" s="203">
        <v>26</v>
      </c>
      <c r="I46" s="204">
        <v>18</v>
      </c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76.740943178703191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3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287</v>
      </c>
      <c r="F47" s="262"/>
      <c r="G47" s="218"/>
      <c r="H47" s="203">
        <v>27</v>
      </c>
      <c r="I47" s="204">
        <v>18</v>
      </c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73.436309261916946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3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>
        <v>28</v>
      </c>
      <c r="I48" s="204">
        <v>18</v>
      </c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70.273980154944439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35">
      <c r="A49" s="210">
        <v>1</v>
      </c>
      <c r="B49" s="213" t="s">
        <v>132</v>
      </c>
      <c r="C49" s="212" t="s">
        <v>132</v>
      </c>
      <c r="D49" s="211" t="s">
        <v>132</v>
      </c>
      <c r="E49" s="206">
        <f>(1600*0.7)*1.3</f>
        <v>1456</v>
      </c>
      <c r="F49" s="262"/>
      <c r="G49" s="219"/>
      <c r="H49" s="203">
        <v>29</v>
      </c>
      <c r="I49" s="204">
        <v>18</v>
      </c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67.24782789946839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35">
      <c r="A50" s="210">
        <v>2</v>
      </c>
      <c r="B50" s="213" t="s">
        <v>132</v>
      </c>
      <c r="C50" s="212" t="s">
        <v>132</v>
      </c>
      <c r="D50" s="211" t="s">
        <v>132</v>
      </c>
      <c r="E50" s="206">
        <v>325</v>
      </c>
      <c r="G50" s="221"/>
      <c r="H50" s="203">
        <v>30</v>
      </c>
      <c r="I50" s="204">
        <v>18</v>
      </c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64.351988420543918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35">
      <c r="A51" s="210">
        <v>3</v>
      </c>
      <c r="B51" s="213" t="s">
        <v>132</v>
      </c>
      <c r="C51" s="212" t="s">
        <v>132</v>
      </c>
      <c r="D51" s="211" t="s">
        <v>132</v>
      </c>
      <c r="E51" s="206">
        <v>455</v>
      </c>
      <c r="G51" s="221"/>
      <c r="H51" s="203">
        <v>31</v>
      </c>
      <c r="I51" s="204">
        <v>18</v>
      </c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61.580850163199926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3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>
        <v>32</v>
      </c>
      <c r="I52" s="204">
        <v>18</v>
      </c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58.929043218373138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3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>
        <v>33</v>
      </c>
      <c r="I53" s="204">
        <v>18</v>
      </c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56.391428917103497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35">
      <c r="A54" s="192">
        <f>'Données projet'!A62</f>
        <v>16</v>
      </c>
      <c r="B54" s="193">
        <f>'Données projet'!D62</f>
        <v>7.6</v>
      </c>
      <c r="C54" s="206">
        <v>26</v>
      </c>
      <c r="D54" s="191">
        <f>B54*C54</f>
        <v>197.6</v>
      </c>
      <c r="E54" s="206"/>
      <c r="F54" s="263"/>
      <c r="G54" s="222"/>
      <c r="H54" s="203">
        <v>34</v>
      </c>
      <c r="I54" s="204">
        <v>18</v>
      </c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53.963089872826309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35">
      <c r="A55" s="192">
        <f>'Données projet'!A63</f>
        <v>20</v>
      </c>
      <c r="B55" s="193">
        <f>'Données projet'!D63</f>
        <v>13.8</v>
      </c>
      <c r="C55" s="206">
        <v>26.65</v>
      </c>
      <c r="D55" s="191">
        <f t="shared" ref="D55:D73" si="4">B55*C55</f>
        <v>367.77</v>
      </c>
      <c r="E55" s="206"/>
      <c r="F55" s="263"/>
      <c r="G55" s="222"/>
      <c r="H55" s="203">
        <v>35</v>
      </c>
      <c r="I55" s="204">
        <v>18</v>
      </c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51.639320452465384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35">
      <c r="A56" s="192">
        <f>'Données projet'!A64</f>
        <v>24</v>
      </c>
      <c r="B56" s="193">
        <f>'Données projet'!D64</f>
        <v>19.7</v>
      </c>
      <c r="C56" s="206">
        <v>26.650000000000002</v>
      </c>
      <c r="D56" s="191">
        <f t="shared" si="4"/>
        <v>525.005</v>
      </c>
      <c r="E56" s="206"/>
      <c r="F56" s="263"/>
      <c r="G56" s="222"/>
      <c r="H56" s="203">
        <v>36</v>
      </c>
      <c r="I56" s="204">
        <v>18</v>
      </c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49.41561765786161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35">
      <c r="A57" s="192">
        <f>'Données projet'!A65</f>
        <v>28</v>
      </c>
      <c r="B57" s="193">
        <f>'Données projet'!D65</f>
        <v>23.4</v>
      </c>
      <c r="C57" s="206">
        <v>26.650000000000002</v>
      </c>
      <c r="D57" s="191">
        <f t="shared" si="4"/>
        <v>623.61</v>
      </c>
      <c r="E57" s="206"/>
      <c r="F57" s="263"/>
      <c r="G57" s="222"/>
      <c r="H57" s="203">
        <v>37</v>
      </c>
      <c r="I57" s="204">
        <v>18</v>
      </c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47.287672399867581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35">
      <c r="A58" s="192">
        <f>'Données projet'!A66</f>
        <v>34</v>
      </c>
      <c r="B58" s="193">
        <f>'Données projet'!D66</f>
        <v>38.299999999999997</v>
      </c>
      <c r="C58" s="206">
        <v>29.900000000000006</v>
      </c>
      <c r="D58" s="191">
        <f t="shared" si="4"/>
        <v>1145.17</v>
      </c>
      <c r="E58" s="206"/>
      <c r="F58" s="263"/>
      <c r="G58" s="222"/>
      <c r="H58" s="203">
        <v>38</v>
      </c>
      <c r="I58" s="204">
        <v>18</v>
      </c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45.25136114819864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35">
      <c r="A59" s="192">
        <f>'Données projet'!A67</f>
        <v>40</v>
      </c>
      <c r="B59" s="193">
        <f>'Données projet'!D67</f>
        <v>30.9</v>
      </c>
      <c r="C59" s="206">
        <v>29.9</v>
      </c>
      <c r="D59" s="191">
        <f t="shared" si="4"/>
        <v>923.91</v>
      </c>
      <c r="E59" s="206"/>
      <c r="F59" s="263"/>
      <c r="G59" s="222"/>
      <c r="H59" s="203">
        <v>39</v>
      </c>
      <c r="I59" s="204">
        <v>18</v>
      </c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43.302737940859956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35">
      <c r="A60" s="192">
        <f>'Données projet'!A68</f>
        <v>46</v>
      </c>
      <c r="B60" s="193">
        <f>'Données projet'!D68</f>
        <v>22.9</v>
      </c>
      <c r="C60" s="206">
        <v>29.900000000000002</v>
      </c>
      <c r="D60" s="191">
        <f t="shared" si="4"/>
        <v>684.71</v>
      </c>
      <c r="E60" s="206"/>
      <c r="F60" s="263"/>
      <c r="G60" s="223"/>
      <c r="H60" s="203">
        <v>40</v>
      </c>
      <c r="I60" s="204">
        <v>18</v>
      </c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41.438026737665027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35">
      <c r="A61" s="192">
        <f>'Données projet'!A69</f>
        <v>54</v>
      </c>
      <c r="B61" s="193">
        <f>'Données projet'!D69</f>
        <v>22.4</v>
      </c>
      <c r="C61" s="206">
        <v>44.2</v>
      </c>
      <c r="D61" s="191">
        <f t="shared" si="4"/>
        <v>990.08</v>
      </c>
      <c r="E61" s="206"/>
      <c r="F61" s="263"/>
      <c r="G61" s="223"/>
      <c r="H61" s="203">
        <v>41</v>
      </c>
      <c r="I61" s="204">
        <v>18</v>
      </c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39.653614103028744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35">
      <c r="A62" s="192">
        <f>'Données projet'!A70</f>
        <v>62</v>
      </c>
      <c r="B62" s="193">
        <f>'Données projet'!D70</f>
        <v>9.4</v>
      </c>
      <c r="C62" s="206">
        <v>44.2</v>
      </c>
      <c r="D62" s="191">
        <f t="shared" si="4"/>
        <v>415.48</v>
      </c>
      <c r="E62" s="206"/>
      <c r="F62" s="263"/>
      <c r="G62" s="223"/>
      <c r="H62" s="203">
        <v>42</v>
      </c>
      <c r="I62" s="204">
        <v>18</v>
      </c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37.946042203855257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35">
      <c r="A63" s="192">
        <f>'Données projet'!A71</f>
        <v>70</v>
      </c>
      <c r="B63" s="193">
        <f>'Données projet'!D71</f>
        <v>261.10000000000002</v>
      </c>
      <c r="C63" s="206">
        <v>44.199999999999996</v>
      </c>
      <c r="D63" s="191">
        <f t="shared" si="4"/>
        <v>11540.62</v>
      </c>
      <c r="E63" s="206"/>
      <c r="F63" s="263"/>
      <c r="G63" s="223"/>
      <c r="H63" s="203">
        <v>43</v>
      </c>
      <c r="I63" s="204">
        <v>18</v>
      </c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36.312002108952406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3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>
        <v>44</v>
      </c>
      <c r="I64" s="204">
        <v>18</v>
      </c>
      <c r="J64" s="224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3"/>
        <v>34.748327376987945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3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>
        <v>45</v>
      </c>
      <c r="I65" s="204">
        <v>18</v>
      </c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5">$P$25/(1+$M$4)^O65</f>
        <v>33.251987920562641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3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>
        <v>46</v>
      </c>
      <c r="I66" s="204">
        <v>18</v>
      </c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5"/>
        <v>31.820084134509713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3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>
        <v>47</v>
      </c>
      <c r="I67" s="204">
        <v>18</v>
      </c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5"/>
        <v>30.44984127704279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3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>
        <v>48</v>
      </c>
      <c r="I68" s="204">
        <v>18</v>
      </c>
      <c r="J68" s="201"/>
      <c r="K68" s="183"/>
      <c r="L68" s="5"/>
      <c r="M68" s="5"/>
      <c r="N68" s="5"/>
      <c r="O68" s="207">
        <f>IF(O67+1&lt;=MIN('Données projet'!$E$9:$E$18),O67+1,"STOP")</f>
        <v>35</v>
      </c>
      <c r="P68" s="197">
        <f t="shared" si="5"/>
        <v>29.138604092863915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3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>
        <v>49</v>
      </c>
      <c r="I69" s="204">
        <v>18</v>
      </c>
      <c r="J69" s="201"/>
      <c r="K69" s="183"/>
      <c r="L69" s="5"/>
      <c r="M69" s="5"/>
      <c r="N69" s="5"/>
      <c r="O69" s="207">
        <f>IF(O68+1&lt;=MIN('Données projet'!$E$9:$E$18),O68+1,"STOP")</f>
        <v>36</v>
      </c>
      <c r="P69" s="197">
        <f t="shared" si="5"/>
        <v>27.883831667812363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3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>
        <v>50</v>
      </c>
      <c r="I70" s="204">
        <v>18</v>
      </c>
      <c r="J70" s="201"/>
      <c r="K70" s="183"/>
      <c r="L70" s="5"/>
      <c r="M70" s="5"/>
      <c r="N70" s="5"/>
      <c r="O70" s="207">
        <f>IF(O69+1&lt;=MIN('Données projet'!$E$9:$E$18),O69+1,"STOP")</f>
        <v>37</v>
      </c>
      <c r="P70" s="197">
        <f t="shared" si="5"/>
        <v>26.683092505083604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3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>
        <v>51</v>
      </c>
      <c r="I71" s="204">
        <v>18</v>
      </c>
      <c r="J71" s="201"/>
      <c r="K71" s="183"/>
      <c r="L71" s="5"/>
      <c r="M71" s="5"/>
      <c r="N71" s="5"/>
      <c r="O71" s="207">
        <f>IF(O70+1&lt;=MIN('Données projet'!$E$9:$E$18),O70+1,"STOP")</f>
        <v>38</v>
      </c>
      <c r="P71" s="197">
        <f t="shared" si="5"/>
        <v>25.534059813477135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3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>
        <v>52</v>
      </c>
      <c r="I72" s="204">
        <v>18</v>
      </c>
      <c r="J72" s="5"/>
      <c r="K72" s="183"/>
      <c r="L72" s="5"/>
      <c r="M72" s="5"/>
      <c r="N72" s="5"/>
      <c r="O72" s="207">
        <f>IF(O71+1&lt;=MIN('Données projet'!$E$9:$E$18),O71+1,"STOP")</f>
        <v>39</v>
      </c>
      <c r="P72" s="197">
        <f t="shared" si="5"/>
        <v>24.434506998542712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3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>
        <v>53</v>
      </c>
      <c r="I73" s="204">
        <v>18</v>
      </c>
      <c r="J73" s="5"/>
      <c r="K73" s="183"/>
      <c r="L73" s="5"/>
      <c r="M73" s="5"/>
      <c r="N73" s="5"/>
      <c r="O73" s="207">
        <f>IF(O72+1&lt;=MIN('Données projet'!$E$9:$E$18),O72+1,"STOP")</f>
        <v>40</v>
      </c>
      <c r="P73" s="197">
        <f t="shared" si="5"/>
        <v>23.38230334788777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35">
      <c r="A74" s="5"/>
      <c r="B74" s="5"/>
      <c r="C74" s="5"/>
      <c r="D74" s="5"/>
      <c r="E74" s="5"/>
      <c r="F74" s="261"/>
      <c r="G74" s="223"/>
      <c r="H74" s="203">
        <v>54</v>
      </c>
      <c r="I74" s="204">
        <v>18</v>
      </c>
      <c r="J74" s="5"/>
      <c r="K74" s="183"/>
      <c r="L74" s="5"/>
      <c r="M74" s="5"/>
      <c r="N74" s="5"/>
      <c r="O74" s="207">
        <f>IF(O73+1&lt;=MIN('Données projet'!$E$9:$E$18),O73+1,"STOP")</f>
        <v>41</v>
      </c>
      <c r="P74" s="197">
        <f t="shared" si="5"/>
        <v>22.37540990228495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35">
      <c r="A75" s="5"/>
      <c r="B75" s="5"/>
      <c r="C75" s="5"/>
      <c r="D75" s="5"/>
      <c r="E75" s="5"/>
      <c r="F75" s="261"/>
      <c r="G75" s="223"/>
      <c r="H75" s="203">
        <v>55</v>
      </c>
      <c r="I75" s="204">
        <v>18</v>
      </c>
      <c r="J75" s="5"/>
      <c r="K75" s="183"/>
      <c r="L75" s="5"/>
      <c r="M75" s="5"/>
      <c r="N75" s="5"/>
      <c r="O75" s="207">
        <f>IF(O74+1&lt;=MIN('Données projet'!$E$9:$E$18),O74+1,"STOP")</f>
        <v>42</v>
      </c>
      <c r="P75" s="197">
        <f t="shared" si="5"/>
        <v>21.411875504578902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35">
      <c r="A76" s="49" t="s">
        <v>167</v>
      </c>
      <c r="B76" s="186" t="str">
        <f>IF('Données projet'!B11="","",'Données projet'!B11)</f>
        <v>Cèdre de l'Atlas</v>
      </c>
      <c r="C76" s="5"/>
      <c r="D76" s="5"/>
      <c r="E76" s="5"/>
      <c r="F76" s="261"/>
      <c r="G76" s="223"/>
      <c r="H76" s="203">
        <v>56</v>
      </c>
      <c r="I76" s="204">
        <v>18</v>
      </c>
      <c r="J76" s="5"/>
      <c r="K76" s="183"/>
      <c r="L76" s="5"/>
      <c r="M76" s="5"/>
      <c r="N76" s="5"/>
      <c r="O76" s="207">
        <f>IF(O75+1&lt;=MIN('Données projet'!$E$9:$E$18),O75+1,"STOP")</f>
        <v>43</v>
      </c>
      <c r="P76" s="197">
        <f t="shared" si="5"/>
        <v>20.489833018735791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35">
      <c r="A77" s="5"/>
      <c r="B77" s="5"/>
      <c r="C77" s="5"/>
      <c r="D77" s="5"/>
      <c r="E77" s="5"/>
      <c r="F77" s="261"/>
      <c r="G77" s="223"/>
      <c r="H77" s="203">
        <v>57</v>
      </c>
      <c r="I77" s="204">
        <v>18</v>
      </c>
      <c r="J77" s="5"/>
      <c r="K77" s="183"/>
      <c r="L77" s="5"/>
      <c r="M77" s="5"/>
      <c r="N77" s="5"/>
      <c r="O77" s="207">
        <f>IF(O76+1&lt;=MIN('Données projet'!$E$9:$E$18),O76+1,"STOP")</f>
        <v>44</v>
      </c>
      <c r="P77" s="197">
        <f t="shared" si="5"/>
        <v>19.607495711708896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3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287</v>
      </c>
      <c r="F78" s="262"/>
      <c r="G78" s="223"/>
      <c r="H78" s="203">
        <v>58</v>
      </c>
      <c r="I78" s="204">
        <v>18</v>
      </c>
      <c r="J78" s="5"/>
      <c r="K78" s="183"/>
      <c r="L78" s="5"/>
      <c r="M78" s="5"/>
      <c r="N78" s="5"/>
      <c r="O78" s="207">
        <f>IF(O77+1&lt;=MIN('Données projet'!$E$9:$E$18),O77+1,"STOP")</f>
        <v>45</v>
      </c>
      <c r="P78" s="197">
        <f t="shared" si="5"/>
        <v>18.763153791108991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3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>
        <v>59</v>
      </c>
      <c r="I79" s="204">
        <v>18</v>
      </c>
      <c r="J79" s="5"/>
      <c r="K79" s="183"/>
      <c r="L79" s="5"/>
      <c r="M79" s="5"/>
      <c r="N79" s="5"/>
      <c r="O79" s="207">
        <f>IF(O78+1&lt;=MIN('Données projet'!$E$9:$E$18),O78+1,"STOP")</f>
        <v>46</v>
      </c>
      <c r="P79" s="197">
        <f t="shared" si="5"/>
        <v>17.955171091970328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35">
      <c r="A80" s="210">
        <v>1</v>
      </c>
      <c r="B80" s="213" t="s">
        <v>132</v>
      </c>
      <c r="C80" s="212" t="s">
        <v>132</v>
      </c>
      <c r="D80" s="211" t="s">
        <v>132</v>
      </c>
      <c r="E80" s="206">
        <f>(1100*1.8)*1.3</f>
        <v>2574</v>
      </c>
      <c r="F80" s="262"/>
      <c r="G80" s="221"/>
      <c r="H80" s="203">
        <v>60</v>
      </c>
      <c r="I80" s="204">
        <v>18</v>
      </c>
      <c r="J80" s="5"/>
      <c r="K80" s="183"/>
      <c r="L80" s="5"/>
      <c r="M80" s="5"/>
      <c r="N80" s="5"/>
      <c r="O80" s="207">
        <f>IF(O79+1&lt;=MIN('Données projet'!$E$9:$E$18),O79+1,"STOP")</f>
        <v>47</v>
      </c>
      <c r="P80" s="197">
        <f t="shared" si="5"/>
        <v>17.181981906191702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35">
      <c r="A81" s="210">
        <v>2</v>
      </c>
      <c r="B81" s="213" t="s">
        <v>132</v>
      </c>
      <c r="C81" s="212" t="s">
        <v>132</v>
      </c>
      <c r="D81" s="211" t="s">
        <v>132</v>
      </c>
      <c r="E81" s="206">
        <f>(250+350+450)*1.3</f>
        <v>1365</v>
      </c>
      <c r="G81" s="221"/>
      <c r="H81" s="203"/>
      <c r="I81" s="204"/>
      <c r="J81" s="5"/>
      <c r="K81" s="183"/>
      <c r="L81" s="5"/>
      <c r="M81" s="5"/>
      <c r="N81" s="5"/>
      <c r="O81" s="207">
        <f>IF(O80+1&lt;=MIN('Données projet'!$E$9:$E$18),O80+1,"STOP")</f>
        <v>48</v>
      </c>
      <c r="P81" s="197">
        <f t="shared" si="5"/>
        <v>16.442087948508814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35">
      <c r="A82" s="210">
        <v>3</v>
      </c>
      <c r="B82" s="213" t="s">
        <v>132</v>
      </c>
      <c r="C82" s="212" t="s">
        <v>132</v>
      </c>
      <c r="D82" s="211" t="s">
        <v>132</v>
      </c>
      <c r="E82" s="206">
        <v>455</v>
      </c>
      <c r="F82" s="262"/>
      <c r="G82" s="221"/>
      <c r="H82" s="203"/>
      <c r="I82" s="204"/>
      <c r="J82" s="5"/>
      <c r="K82" s="183"/>
      <c r="L82" s="5"/>
      <c r="M82" s="5"/>
      <c r="N82" s="5"/>
      <c r="O82" s="207">
        <f>IF(O81+1&lt;=MIN('Données projet'!$E$9:$E$18),O81+1,"STOP")</f>
        <v>49</v>
      </c>
      <c r="P82" s="197">
        <f t="shared" si="5"/>
        <v>15.734055453118479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35">
      <c r="A83" s="210">
        <v>4</v>
      </c>
      <c r="B83" s="213" t="s">
        <v>132</v>
      </c>
      <c r="C83" s="212" t="s">
        <v>132</v>
      </c>
      <c r="D83" s="211" t="s">
        <v>132</v>
      </c>
      <c r="E83" s="206">
        <v>325</v>
      </c>
      <c r="F83" s="262"/>
      <c r="G83" s="221"/>
      <c r="H83" s="203"/>
      <c r="I83" s="204"/>
      <c r="J83" s="5"/>
      <c r="K83" s="183"/>
      <c r="L83" s="5"/>
      <c r="M83" s="5"/>
      <c r="N83" s="5"/>
      <c r="O83" s="207">
        <f>IF(O82+1&lt;=MIN('Données projet'!$E$9:$E$18),O82+1,"STOP")</f>
        <v>50</v>
      </c>
      <c r="P83" s="197">
        <f t="shared" si="5"/>
        <v>15.056512395328692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3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>
        <f>IF(O83+1&lt;=MIN('Données projet'!$E$9:$E$18),O83+1,"STOP")</f>
        <v>51</v>
      </c>
      <c r="P84" s="197">
        <f t="shared" si="5"/>
        <v>14.408145832850424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35">
      <c r="A85" s="192">
        <f>'Données projet'!A88</f>
        <v>46</v>
      </c>
      <c r="B85" s="193">
        <f>'Données projet'!D88</f>
        <v>102</v>
      </c>
      <c r="C85" s="206">
        <v>52</v>
      </c>
      <c r="D85" s="191">
        <f>B85*C85</f>
        <v>5304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>
        <f>IF(O84+1&lt;=MIN('Données projet'!$E$9:$E$18),O84+1,"STOP")</f>
        <v>52</v>
      </c>
      <c r="P85" s="197">
        <f t="shared" si="5"/>
        <v>13.787699361579355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35">
      <c r="A86" s="192">
        <f>'Données projet'!A89</f>
        <v>56</v>
      </c>
      <c r="B86" s="193">
        <f>'Données projet'!D89</f>
        <v>91</v>
      </c>
      <c r="C86" s="206">
        <v>62.4</v>
      </c>
      <c r="D86" s="191">
        <f t="shared" ref="D86:D104" si="6">B86*C86</f>
        <v>5678.4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>
        <f>IF(O85+1&lt;=MIN('Données projet'!$E$9:$E$18),O85+1,"STOP")</f>
        <v>53</v>
      </c>
      <c r="P86" s="197">
        <f t="shared" si="5"/>
        <v>13.193970680937182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35">
      <c r="A87" s="192">
        <f>'Données projet'!A90</f>
        <v>66</v>
      </c>
      <c r="B87" s="193">
        <f>'Données projet'!D90</f>
        <v>101</v>
      </c>
      <c r="C87" s="206">
        <v>62.4</v>
      </c>
      <c r="D87" s="191">
        <f t="shared" si="6"/>
        <v>6302.4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>
        <f>IF(O86+1&lt;=MIN('Données projet'!$E$9:$E$18),O86+1,"STOP")</f>
        <v>54</v>
      </c>
      <c r="P87" s="197">
        <f t="shared" si="5"/>
        <v>12.625809264054725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35">
      <c r="A88" s="192">
        <f>'Données projet'!A91</f>
        <v>76</v>
      </c>
      <c r="B88" s="193">
        <f>'Données projet'!D91</f>
        <v>106</v>
      </c>
      <c r="C88" s="206">
        <v>62.4</v>
      </c>
      <c r="D88" s="191">
        <f t="shared" si="6"/>
        <v>6614.4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>
        <f>IF(O87+1&lt;=MIN('Données projet'!$E$9:$E$18),O87+1,"STOP")</f>
        <v>55</v>
      </c>
      <c r="P88" s="197">
        <f t="shared" si="5"/>
        <v>12.082114128282031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35">
      <c r="A89" s="192">
        <f>'Données projet'!A92</f>
        <v>86</v>
      </c>
      <c r="B89" s="193">
        <f>'Données projet'!D92</f>
        <v>108</v>
      </c>
      <c r="C89" s="206">
        <v>62.4</v>
      </c>
      <c r="D89" s="191">
        <f t="shared" si="6"/>
        <v>6739.2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>
        <f>IF(O88+1&lt;=MIN('Données projet'!$E$9:$E$18),O88+1,"STOP")</f>
        <v>56</v>
      </c>
      <c r="P89" s="197">
        <f t="shared" si="5"/>
        <v>11.561831701705296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35">
      <c r="A90" s="192">
        <f>'Données projet'!A93</f>
        <v>95</v>
      </c>
      <c r="B90" s="193">
        <f>'Données projet'!D93</f>
        <v>103</v>
      </c>
      <c r="C90" s="206">
        <v>62.4</v>
      </c>
      <c r="D90" s="191">
        <f t="shared" si="6"/>
        <v>6427.2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>
        <f>IF(O89+1&lt;=MIN('Données projet'!$E$9:$E$18),O89+1,"STOP")</f>
        <v>57</v>
      </c>
      <c r="P90" s="197">
        <f t="shared" si="5"/>
        <v>11.063953781536171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35">
      <c r="A91" s="192">
        <f>'Données projet'!A94</f>
        <v>105</v>
      </c>
      <c r="B91" s="193">
        <f>'Données projet'!D94</f>
        <v>580</v>
      </c>
      <c r="C91" s="206">
        <v>62.4</v>
      </c>
      <c r="D91" s="191">
        <f t="shared" si="6"/>
        <v>36192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>
        <f>IF(O90+1&lt;=MIN('Données projet'!$E$9:$E$18),O90+1,"STOP")</f>
        <v>58</v>
      </c>
      <c r="P91" s="197">
        <f t="shared" si="5"/>
        <v>10.587515580417389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3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>
        <f>IF(O91+1&lt;=MIN('Données projet'!$E$9:$E$18),O91+1,"STOP")</f>
        <v>59</v>
      </c>
      <c r="P92" s="197">
        <f t="shared" si="5"/>
        <v>10.131593856858746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3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>
        <f>IF(O92+1&lt;=MIN('Données projet'!$E$9:$E$18),O92+1,"STOP")</f>
        <v>60</v>
      </c>
      <c r="P93" s="197">
        <f t="shared" si="5"/>
        <v>9.6953051261806191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3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str">
        <f>IF(O93+1&lt;=MIN('Données projet'!$E$9:$E$18),O93+1,"STOP")</f>
        <v>STOP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3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3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3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3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3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3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3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3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3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3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3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3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35">
      <c r="A107" s="49" t="s">
        <v>168</v>
      </c>
      <c r="B107" s="186" t="str">
        <f>IF('Données projet'!B12="","",'Données projet'!B12)</f>
        <v>Chêne pubescent</v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3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3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287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3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35">
      <c r="A111" s="210">
        <v>1</v>
      </c>
      <c r="B111" s="213" t="s">
        <v>132</v>
      </c>
      <c r="C111" s="212" t="s">
        <v>132</v>
      </c>
      <c r="D111" s="211" t="s">
        <v>132</v>
      </c>
      <c r="E111" s="206">
        <f>(3155/0.34)*0.34</f>
        <v>3155</v>
      </c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35">
      <c r="A112" s="210">
        <v>2</v>
      </c>
      <c r="B112" s="213" t="s">
        <v>132</v>
      </c>
      <c r="C112" s="212" t="s">
        <v>132</v>
      </c>
      <c r="D112" s="211" t="s">
        <v>132</v>
      </c>
      <c r="E112" s="206">
        <f>(250+350+450)*0.34</f>
        <v>357</v>
      </c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35">
      <c r="A113" s="210">
        <v>3</v>
      </c>
      <c r="B113" s="213" t="s">
        <v>132</v>
      </c>
      <c r="C113" s="212" t="s">
        <v>132</v>
      </c>
      <c r="D113" s="211" t="s">
        <v>132</v>
      </c>
      <c r="E113" s="206">
        <v>119.00000000000001</v>
      </c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35">
      <c r="A114" s="210">
        <v>4</v>
      </c>
      <c r="B114" s="213" t="s">
        <v>132</v>
      </c>
      <c r="C114" s="212" t="s">
        <v>132</v>
      </c>
      <c r="D114" s="211" t="s">
        <v>132</v>
      </c>
      <c r="E114" s="206">
        <v>85</v>
      </c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3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35">
      <c r="A116" s="192">
        <f>'Données projet'!A114</f>
        <v>60</v>
      </c>
      <c r="B116" s="193">
        <f>'Données projet'!D114</f>
        <v>250.00000204724259</v>
      </c>
      <c r="C116" s="206">
        <v>10.879999910904003</v>
      </c>
      <c r="D116" s="191">
        <f>B116*C116</f>
        <v>2720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3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3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3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3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3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3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3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3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3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3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3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3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3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3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3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3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3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3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3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3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3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3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3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3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287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3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3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3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3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3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3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3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3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3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3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3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3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3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3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3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3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3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3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3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3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3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3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3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3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3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3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3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3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3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3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3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287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3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3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3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3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3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3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3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3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3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3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3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3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3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3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3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3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3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3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3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3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3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3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3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3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3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3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3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3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3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3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3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287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3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3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3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3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3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3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3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3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3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3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3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3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3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3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3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3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3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3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3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3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3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3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3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3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3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3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3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3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3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3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3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287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3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3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3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3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3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3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3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3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3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3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3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3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3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3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3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3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3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3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3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3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3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3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3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3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3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3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3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3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3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3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3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287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3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3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3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3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3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3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3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3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3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3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3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3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3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3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3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3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3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3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3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3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3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3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3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3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3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3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3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3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3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3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3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287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3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3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3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3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3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3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3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3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3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3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3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3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3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3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3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3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3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3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3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3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3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3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3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3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3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3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3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3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3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3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3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3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3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3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3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3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3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3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3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3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3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3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3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3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3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3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3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3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3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3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3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3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3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3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3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3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3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3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3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3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3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3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3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3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3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3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3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3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3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3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3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3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3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3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3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3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3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3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3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3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3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3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3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3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3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3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3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3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3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3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3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3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3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3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3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3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3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3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3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3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3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3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3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3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3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3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3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3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3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3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3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3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3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3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3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3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3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3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3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3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3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3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3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3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3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3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3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3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3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3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3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3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3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3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3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3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3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3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3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3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3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3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3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3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3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3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3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3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3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3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3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3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3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3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3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3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3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3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3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3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3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3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3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3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3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3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3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3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3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3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3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3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3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3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3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3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3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3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3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3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3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3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3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3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3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3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3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3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3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3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3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3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3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3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3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3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3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3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3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3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3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3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3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3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3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3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3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3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3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3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3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3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3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3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3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3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3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3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3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3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3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3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3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3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3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3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3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3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3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3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3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3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3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3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3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3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3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3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3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3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3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3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3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3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3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3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3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3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3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3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3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3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3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3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3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3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3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okQo/kRoK/jfjuAaoMyM0XgB43xLErDOlD6fNnDn0anV8vgxgJ3BLEeIxbFf97SrUUnRqs6xEX05XlNiXHoWag==" saltValue="+h6Xbsy8Ch1n1hTXPTafZw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ablond@neosylva.fr</cp:lastModifiedBy>
  <dcterms:created xsi:type="dcterms:W3CDTF">2021-02-01T08:22:39Z</dcterms:created>
  <dcterms:modified xsi:type="dcterms:W3CDTF">2021-11-26T11:05:20Z</dcterms:modified>
</cp:coreProperties>
</file>