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NIF/Label Bas Carbone/2- Dossiers en cours/GRAND OUEST (PB)/2GOUA-122/Dossier octobre 2024/"/>
    </mc:Choice>
  </mc:AlternateContent>
  <xr:revisionPtr revIDLastSave="63" documentId="8_{34926FF8-D8CC-43E9-9171-5F96D5BB904C}" xr6:coauthVersionLast="47" xr6:coauthVersionMax="47" xr10:uidLastSave="{1FB2BAB9-D2A6-4371-BA2A-C690E6AFA620}"/>
  <bookViews>
    <workbookView xWindow="-120" yWindow="-163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9" i="6" l="1"/>
  <c r="E81" i="6" s="1"/>
  <c r="E48" i="6"/>
  <c r="E17" i="6"/>
  <c r="E50" i="6"/>
  <c r="E82" i="6"/>
  <c r="E80" i="6"/>
  <c r="E51" i="6"/>
  <c r="E49" i="6"/>
  <c r="E19" i="6" l="1"/>
  <c r="E18" i="6"/>
  <c r="E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I20" i="6" l="1"/>
  <c r="I24" i="6"/>
  <c r="I22" i="6"/>
  <c r="U30" i="6"/>
  <c r="V10" i="6"/>
  <c r="P67" i="6"/>
  <c r="H19" i="2"/>
  <c r="D20" i="2"/>
  <c r="G20" i="2" s="1"/>
  <c r="P40" i="6"/>
  <c r="U31" i="6" l="1"/>
  <c r="U33" i="6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BC181" i="2" l="1" a="1"/>
  <c r="BC181" i="2" s="1"/>
  <c r="BC68" i="2" a="1"/>
  <c r="BC68" i="2" s="1"/>
  <c r="AH151" i="2" a="1"/>
  <c r="AH151" i="2" s="1"/>
  <c r="AH62" i="2" a="1"/>
  <c r="AH62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178" i="2"/>
  <c r="AN50" i="2"/>
  <c r="AN32" i="2"/>
  <c r="AN89" i="2"/>
  <c r="AN28" i="2"/>
  <c r="AN17" i="2"/>
  <c r="AN105" i="2"/>
  <c r="AN86" i="2"/>
  <c r="AN143" i="2"/>
  <c r="AN145" i="2"/>
  <c r="AN93" i="2"/>
  <c r="AN124" i="2"/>
  <c r="AN125" i="2"/>
  <c r="AN162" i="2"/>
  <c r="AN111" i="2"/>
  <c r="AN84" i="2"/>
  <c r="AN55" i="2"/>
  <c r="AN71" i="2"/>
  <c r="AN164" i="2"/>
  <c r="AN152" i="2"/>
  <c r="AN52" i="2"/>
  <c r="AN154" i="2"/>
  <c r="AN69" i="2"/>
  <c r="AN33" i="2"/>
  <c r="AN172" i="2"/>
  <c r="AN199" i="2"/>
  <c r="AN42" i="2"/>
  <c r="AN80" i="2"/>
  <c r="AN54" i="2"/>
  <c r="AN85" i="2"/>
  <c r="AN82" i="2"/>
  <c r="AN120" i="2"/>
  <c r="AN73" i="2"/>
  <c r="AN158" i="2"/>
  <c r="AN70" i="2"/>
  <c r="AN127" i="2"/>
  <c r="AN10" i="2"/>
  <c r="AN40" i="2"/>
  <c r="AN182" i="2"/>
  <c r="AN91" i="2"/>
  <c r="AN114" i="2"/>
  <c r="AN11" i="2"/>
  <c r="AN15" i="2"/>
  <c r="AN167" i="2"/>
  <c r="AN48" i="2"/>
  <c r="AN190" i="2"/>
  <c r="AN104" i="2"/>
  <c r="AN151" i="2"/>
  <c r="AN102" i="2"/>
  <c r="AN31" i="2"/>
  <c r="AN123" i="2"/>
  <c r="AN128" i="2"/>
  <c r="AN94" i="2"/>
  <c r="AN27" i="2"/>
  <c r="AN131" i="2"/>
  <c r="AN148" i="2"/>
  <c r="AN181" i="2"/>
  <c r="AN168" i="2"/>
  <c r="AN169" i="2"/>
  <c r="AN177" i="2"/>
  <c r="AN35" i="2"/>
  <c r="AN59" i="2"/>
  <c r="AN130" i="2"/>
  <c r="AN4" i="2"/>
  <c r="AN135" i="2"/>
  <c r="AN160" i="2"/>
  <c r="AN138" i="2"/>
  <c r="AN18" i="2"/>
  <c r="AN46" i="2"/>
  <c r="AN98" i="2"/>
  <c r="AN157" i="2"/>
  <c r="AN97" i="2"/>
  <c r="AN147" i="2"/>
  <c r="AN115" i="2"/>
  <c r="AN45" i="2"/>
  <c r="AN96" i="2"/>
  <c r="AN180" i="2"/>
  <c r="AN7" i="2"/>
  <c r="AN61" i="2"/>
  <c r="AN129" i="2"/>
  <c r="AN112" i="2"/>
  <c r="AN38" i="2"/>
  <c r="AN201" i="2"/>
  <c r="AN140" i="2"/>
  <c r="AN159" i="2"/>
  <c r="AN66" i="2"/>
  <c r="AN26" i="2"/>
  <c r="AN62" i="2"/>
  <c r="AN188" i="2"/>
  <c r="AN166" i="2"/>
  <c r="AN141" i="2"/>
  <c r="AN75" i="2"/>
  <c r="AN95" i="2"/>
  <c r="AN134" i="2"/>
  <c r="AN16" i="2"/>
  <c r="AN187" i="2"/>
  <c r="AN58" i="2"/>
  <c r="AN77" i="2"/>
  <c r="AN122" i="2"/>
  <c r="AN196" i="2"/>
  <c r="AN20" i="2"/>
  <c r="AN101" i="2"/>
  <c r="AN121" i="2"/>
  <c r="AN179" i="2"/>
  <c r="AN21" i="2"/>
  <c r="AN41" i="2"/>
  <c r="AN107" i="2"/>
  <c r="AN109" i="2"/>
  <c r="AN126" i="2"/>
  <c r="AN170" i="2"/>
  <c r="AN60" i="2"/>
  <c r="AN13" i="2"/>
  <c r="AN137" i="2"/>
  <c r="AN119" i="2"/>
  <c r="AN72" i="2"/>
  <c r="AN47" i="2"/>
  <c r="AN155" i="2"/>
  <c r="AN198" i="2"/>
  <c r="AN200" i="2"/>
  <c r="AN175" i="2"/>
  <c r="AN136" i="2"/>
  <c r="AN156" i="2"/>
  <c r="AN51" i="2"/>
  <c r="AN5" i="2"/>
  <c r="AN37" i="2"/>
  <c r="AN176" i="2"/>
  <c r="AN78" i="2"/>
  <c r="AN22" i="2"/>
  <c r="AN90" i="2"/>
  <c r="AN146" i="2"/>
  <c r="AN99" i="2"/>
  <c r="AN39" i="2"/>
  <c r="AN183" i="2"/>
  <c r="AN191" i="2"/>
  <c r="AN161" i="2"/>
  <c r="AN12" i="2"/>
  <c r="AN34" i="2"/>
  <c r="AN203" i="2"/>
  <c r="AN76" i="2"/>
  <c r="AN117" i="2"/>
  <c r="AN88" i="2"/>
  <c r="AN189" i="2"/>
  <c r="AN79" i="2"/>
  <c r="AN43" i="2"/>
  <c r="AN44" i="2"/>
  <c r="AN132" i="2"/>
  <c r="AN153" i="2"/>
  <c r="AN173" i="2"/>
  <c r="AN67" i="2"/>
  <c r="AN194" i="2"/>
  <c r="AN106" i="2"/>
  <c r="AN144" i="2"/>
  <c r="AN6" i="2"/>
  <c r="AN25" i="2"/>
  <c r="AN81" i="2"/>
  <c r="AN83" i="2"/>
  <c r="AN184" i="2"/>
  <c r="AN9" i="2"/>
  <c r="AN195" i="2"/>
  <c r="AN23" i="2"/>
  <c r="AN165" i="2"/>
  <c r="AN193" i="2"/>
  <c r="AN36" i="2"/>
  <c r="AN14" i="2"/>
  <c r="AN108" i="2"/>
  <c r="AN118" i="2"/>
  <c r="AN171" i="2"/>
  <c r="AN202" i="2"/>
  <c r="AN142" i="2"/>
  <c r="AN53" i="2"/>
  <c r="AN113" i="2"/>
  <c r="AN68" i="2"/>
  <c r="AN3" i="2"/>
  <c r="C7" i="4" s="1"/>
  <c r="E7" i="4" s="1"/>
  <c r="F7" i="4" s="1"/>
  <c r="G7" i="4" s="1"/>
  <c r="L7" i="4" s="1"/>
  <c r="AN103" i="2"/>
  <c r="AN74" i="2"/>
  <c r="AN149" i="2"/>
  <c r="AN197" i="2"/>
  <c r="AN65" i="2"/>
  <c r="AN139" i="2"/>
  <c r="AN49" i="2"/>
  <c r="AN64" i="2"/>
  <c r="AN8" i="2"/>
  <c r="AN150" i="2"/>
  <c r="AN92" i="2"/>
  <c r="AN110" i="2"/>
  <c r="AN174" i="2"/>
  <c r="AN133" i="2"/>
  <c r="AN57" i="2"/>
  <c r="AN186" i="2"/>
  <c r="AN87" i="2"/>
  <c r="AN192" i="2"/>
  <c r="AN56" i="2"/>
  <c r="AN24" i="2"/>
  <c r="AN30" i="2"/>
  <c r="AN163" i="2"/>
  <c r="AN29" i="2"/>
  <c r="AN116" i="2"/>
  <c r="AN19" i="2"/>
  <c r="AN63" i="2"/>
  <c r="AN18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tc={57DFB3A9-0B40-4DC9-B366-DC0468CEE9EE}</author>
    <author>tc={9D081124-5187-4809-AD03-BE66912E2FAB}</author>
    <author>tc={A9B731B4-057C-4565-BA03-2FE2C7EEB8EC}</author>
    <author>tc={0ADEC8C3-9748-45F8-BC8A-72867AF60626}</author>
    <author>tc={0150869F-6E6A-4A20-A630-2ED066CE59A4}</author>
    <author>tc={9B50EE60-CC89-44A8-AC0C-FEAC054E5B9B}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à partir de la 6e année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57DFB3A9-0B40-4DC9-B366-DC0468CEE9E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9D081124-5187-4809-AD03-BE66912E2FAB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A9B731B4-057C-4565-BA03-2FE2C7EEB8E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0ADEC8C3-9748-45F8-BC8A-72867AF6062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0150869F-6E6A-4A20-A630-2ED066CE59A4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9B50EE60-CC89-44A8-AC0C-FEAC054E5B9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<sst xmlns="http://schemas.openxmlformats.org/spreadsheetml/2006/main" count="1178" uniqueCount="329">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</sst>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DEE06CE7-431A-4C41-A708-AF1996C44CBC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239.64842231953807</c:v>
                </c:pt>
                <c:pt idx="32">
                  <c:v>255.0033723682819</c:v>
                </c:pt>
                <c:pt idx="33">
                  <c:v>270.33740172409563</c:v>
                </c:pt>
                <c:pt idx="34">
                  <c:v>285.65186421008156</c:v>
                </c:pt>
                <c:pt idx="35">
                  <c:v>300.94795659170251</c:v>
                </c:pt>
                <c:pt idx="36">
                  <c:v>316.22674402277079</c:v>
                </c:pt>
                <c:pt idx="37">
                  <c:v>333.24699934003382</c:v>
                </c:pt>
                <c:pt idx="38">
                  <c:v>350.24810019036448</c:v>
                </c:pt>
                <c:pt idx="39">
                  <c:v>367.23110697168204</c:v>
                </c:pt>
                <c:pt idx="40">
                  <c:v>384.19697401526679</c:v>
                </c:pt>
                <c:pt idx="41">
                  <c:v>401.14656450778028</c:v>
                </c:pt>
                <c:pt idx="42">
                  <c:v>418.08066275933976</c:v>
                </c:pt>
                <c:pt idx="43">
                  <c:v>253.82189207718497</c:v>
                </c:pt>
                <c:pt idx="44">
                  <c:v>269.50657509328352</c:v>
                </c:pt>
                <c:pt idx="45">
                  <c:v>285.17071673248148</c:v>
                </c:pt>
                <c:pt idx="46">
                  <c:v>300.81560417042863</c:v>
                </c:pt>
                <c:pt idx="47">
                  <c:v>316.48601990443689</c:v>
                </c:pt>
                <c:pt idx="48">
                  <c:v>332.1392510711803</c:v>
                </c:pt>
                <c:pt idx="49">
                  <c:v>347.77622150490652</c:v>
                </c:pt>
                <c:pt idx="50">
                  <c:v>267.56453407241469</c:v>
                </c:pt>
                <c:pt idx="51">
                  <c:v>282.04023978215281</c:v>
                </c:pt>
                <c:pt idx="52">
                  <c:v>296.49930129675232</c:v>
                </c:pt>
                <c:pt idx="53">
                  <c:v>310.94264467119581</c:v>
                </c:pt>
                <c:pt idx="54">
                  <c:v>325.96564369687246</c:v>
                </c:pt>
                <c:pt idx="55">
                  <c:v>340.97335280521577</c:v>
                </c:pt>
                <c:pt idx="56">
                  <c:v>355.96653970474659</c:v>
                </c:pt>
                <c:pt idx="57">
                  <c:v>297.2281004543517</c:v>
                </c:pt>
                <c:pt idx="58">
                  <c:v>311.31629401755214</c:v>
                </c:pt>
                <c:pt idx="59">
                  <c:v>325.39034406673767</c:v>
                </c:pt>
                <c:pt idx="60">
                  <c:v>339.45094855776011</c:v>
                </c:pt>
                <c:pt idx="61">
                  <c:v>353.98977164080446</c:v>
                </c:pt>
                <c:pt idx="62">
                  <c:v>368.51551555740826</c:v>
                </c:pt>
                <c:pt idx="63">
                  <c:v>383.0287684267314</c:v>
                </c:pt>
                <c:pt idx="64">
                  <c:v>325.5308039084689</c:v>
                </c:pt>
                <c:pt idx="65">
                  <c:v>339.08185825915484</c:v>
                </c:pt>
                <c:pt idx="66">
                  <c:v>352.62099976210402</c:v>
                </c:pt>
                <c:pt idx="67">
                  <c:v>366.14875028847399</c:v>
                </c:pt>
                <c:pt idx="68">
                  <c:v>380.03952145792931</c:v>
                </c:pt>
                <c:pt idx="69">
                  <c:v>393.91924985771954</c:v>
                </c:pt>
                <c:pt idx="70">
                  <c:v>407.78837937152525</c:v>
                </c:pt>
                <c:pt idx="71">
                  <c:v>421.64732122736717</c:v>
                </c:pt>
                <c:pt idx="72">
                  <c:v>354.25160485356236</c:v>
                </c:pt>
                <c:pt idx="73">
                  <c:v>367.01233837264954</c:v>
                </c:pt>
                <c:pt idx="74">
                  <c:v>379.76338822931893</c:v>
                </c:pt>
                <c:pt idx="75">
                  <c:v>392.50512541059123</c:v>
                </c:pt>
                <c:pt idx="76">
                  <c:v>405.49832055062035</c:v>
                </c:pt>
                <c:pt idx="77">
                  <c:v>418.48251854071395</c:v>
                </c:pt>
                <c:pt idx="78">
                  <c:v>431.45803786445941</c:v>
                </c:pt>
                <c:pt idx="79">
                  <c:v>444.42517628710794</c:v>
                </c:pt>
                <c:pt idx="80">
                  <c:v>379.43930963036888</c:v>
                </c:pt>
                <c:pt idx="81">
                  <c:v>391.45499946443937</c:v>
                </c:pt>
                <c:pt idx="82">
                  <c:v>403.46269077532975</c:v>
                </c:pt>
                <c:pt idx="83">
                  <c:v>415.46265518984279</c:v>
                </c:pt>
                <c:pt idx="84">
                  <c:v>427.59477436037213</c:v>
                </c:pt>
                <c:pt idx="85">
                  <c:v>439.71949376175138</c:v>
                </c:pt>
                <c:pt idx="86">
                  <c:v>451.83704619496643</c:v>
                </c:pt>
                <c:pt idx="87">
                  <c:v>463.94765095548405</c:v>
                </c:pt>
                <c:pt idx="88">
                  <c:v>398.18586786276904</c:v>
                </c:pt>
                <c:pt idx="89">
                  <c:v>409.34109550336797</c:v>
                </c:pt>
                <c:pt idx="90">
                  <c:v>420.48975949433253</c:v>
                </c:pt>
                <c:pt idx="91">
                  <c:v>431.6320584224988</c:v>
                </c:pt>
                <c:pt idx="92">
                  <c:v>442.84845256935597</c:v>
                </c:pt>
                <c:pt idx="93">
                  <c:v>454.05876085334563</c:v>
                </c:pt>
                <c:pt idx="94">
                  <c:v>465.26315472237746</c:v>
                </c:pt>
                <c:pt idx="95">
                  <c:v>476.46179669257441</c:v>
                </c:pt>
                <c:pt idx="96">
                  <c:v>249.9050869391364</c:v>
                </c:pt>
                <c:pt idx="97">
                  <c:v>257.48201521428518</c:v>
                </c:pt>
                <c:pt idx="98">
                  <c:v>265.0539025214984</c:v>
                </c:pt>
                <c:pt idx="99">
                  <c:v>272.62091334809503</c:v>
                </c:pt>
                <c:pt idx="100">
                  <c:v>280.18320229421875</c:v>
                </c:pt>
                <c:pt idx="101">
                  <c:v>287.6822614921353</c:v>
                </c:pt>
                <c:pt idx="102">
                  <c:v>295.17694930150839</c:v>
                </c:pt>
                <c:pt idx="103">
                  <c:v>302.66739248827355</c:v>
                </c:pt>
                <c:pt idx="104">
                  <c:v>310.15371102522892</c:v>
                </c:pt>
                <c:pt idx="105">
                  <c:v>317.63601861488416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3.2013545215281631</c:v>
                </c:pt>
                <c:pt idx="2">
                  <c:v>3.975083519455092</c:v>
                </c:pt>
                <c:pt idx="3">
                  <c:v>4.9365265690177713</c:v>
                </c:pt>
                <c:pt idx="4">
                  <c:v>6.1313877975862825</c:v>
                </c:pt>
                <c:pt idx="5">
                  <c:v>7.6165363309343936</c:v>
                </c:pt>
                <c:pt idx="6">
                  <c:v>9.4627421838924661</c:v>
                </c:pt>
                <c:pt idx="7">
                  <c:v>11.758084459033951</c:v>
                </c:pt>
                <c:pt idx="8">
                  <c:v>14.612197492265354</c:v>
                </c:pt>
                <c:pt idx="9">
                  <c:v>18.161561489451767</c:v>
                </c:pt>
                <c:pt idx="10">
                  <c:v>22.576095226778609</c:v>
                </c:pt>
                <c:pt idx="11">
                  <c:v>28.067372049582474</c:v>
                </c:pt>
                <c:pt idx="12">
                  <c:v>34.898859833525911</c:v>
                </c:pt>
                <c:pt idx="13">
                  <c:v>43.398684680485282</c:v>
                </c:pt>
                <c:pt idx="14">
                  <c:v>53.975541793951841</c:v>
                </c:pt>
                <c:pt idx="15">
                  <c:v>67.138531314061879</c:v>
                </c:pt>
                <c:pt idx="16">
                  <c:v>79.716765984526432</c:v>
                </c:pt>
                <c:pt idx="17">
                  <c:v>92.244595844645289</c:v>
                </c:pt>
                <c:pt idx="18">
                  <c:v>104.72985124964315</c:v>
                </c:pt>
                <c:pt idx="19">
                  <c:v>117.17833344816485</c:v>
                </c:pt>
                <c:pt idx="20">
                  <c:v>129.59450566158588</c:v>
                </c:pt>
                <c:pt idx="21">
                  <c:v>119.84152926671668</c:v>
                </c:pt>
                <c:pt idx="22">
                  <c:v>134.46424353098067</c:v>
                </c:pt>
                <c:pt idx="23">
                  <c:v>149.04862274326868</c:v>
                </c:pt>
                <c:pt idx="24">
                  <c:v>163.59894980144816</c:v>
                </c:pt>
                <c:pt idx="25">
                  <c:v>178.11868194628323</c:v>
                </c:pt>
                <c:pt idx="26">
                  <c:v>160.51517972277688</c:v>
                </c:pt>
                <c:pt idx="27">
                  <c:v>175.92057051227542</c:v>
                </c:pt>
                <c:pt idx="28">
                  <c:v>191.29429384952866</c:v>
                </c:pt>
                <c:pt idx="29">
                  <c:v>206.63925413557971</c:v>
                </c:pt>
                <c:pt idx="30">
                  <c:v>221.95788870113014</c:v>
                </c:pt>
                <c:pt idx="31">
                  <c:v>200.94289182717046</c:v>
                </c:pt>
                <c:pt idx="32">
                  <c:v>217.14616554866123</c:v>
                </c:pt>
                <c:pt idx="33">
                  <c:v>233.32164253354551</c:v>
                </c:pt>
                <c:pt idx="34">
                  <c:v>249.47152135339448</c:v>
                </c:pt>
                <c:pt idx="35">
                  <c:v>265.59769251928265</c:v>
                </c:pt>
                <c:pt idx="36">
                  <c:v>240.30839815246273</c:v>
                </c:pt>
                <c:pt idx="37">
                  <c:v>256.44780875667249</c:v>
                </c:pt>
                <c:pt idx="38">
                  <c:v>272.5642493587099</c:v>
                </c:pt>
                <c:pt idx="39">
                  <c:v>288.65926934113531</c:v>
                </c:pt>
                <c:pt idx="40">
                  <c:v>304.73423115701877</c:v>
                </c:pt>
                <c:pt idx="41">
                  <c:v>277.35142797945304</c:v>
                </c:pt>
                <c:pt idx="42">
                  <c:v>293.44034996889724</c:v>
                </c:pt>
                <c:pt idx="43">
                  <c:v>309.50958762804549</c:v>
                </c:pt>
                <c:pt idx="44">
                  <c:v>325.56030671869604</c:v>
                </c:pt>
                <c:pt idx="45">
                  <c:v>341.59354866525376</c:v>
                </c:pt>
                <c:pt idx="46">
                  <c:v>312.54759725153446</c:v>
                </c:pt>
                <c:pt idx="47">
                  <c:v>329.02840087393741</c:v>
                </c:pt>
                <c:pt idx="48">
                  <c:v>345.49099163191642</c:v>
                </c:pt>
                <c:pt idx="49">
                  <c:v>361.93635936439591</c:v>
                </c:pt>
                <c:pt idx="50">
                  <c:v>378.36539662842591</c:v>
                </c:pt>
                <c:pt idx="51">
                  <c:v>346.35695848873138</c:v>
                </c:pt>
                <c:pt idx="52">
                  <c:v>361.93635936439574</c:v>
                </c:pt>
                <c:pt idx="53">
                  <c:v>377.50110417225505</c:v>
                </c:pt>
                <c:pt idx="54">
                  <c:v>393.05188217941821</c:v>
                </c:pt>
                <c:pt idx="55">
                  <c:v>408.58932367001074</c:v>
                </c:pt>
                <c:pt idx="56">
                  <c:v>376.63676862375206</c:v>
                </c:pt>
                <c:pt idx="57">
                  <c:v>392.18830551891324</c:v>
                </c:pt>
                <c:pt idx="58">
                  <c:v>407.72647230225516</c:v>
                </c:pt>
                <c:pt idx="59">
                  <c:v>423.2518501321984</c:v>
                </c:pt>
                <c:pt idx="60">
                  <c:v>438.76497406308459</c:v>
                </c:pt>
                <c:pt idx="61">
                  <c:v>406.43212123270081</c:v>
                </c:pt>
                <c:pt idx="62">
                  <c:v>421.527422697134</c:v>
                </c:pt>
                <c:pt idx="63">
                  <c:v>436.61108755732977</c:v>
                </c:pt>
                <c:pt idx="64">
                  <c:v>451.68357434526939</c:v>
                </c:pt>
                <c:pt idx="65">
                  <c:v>466.74530850225352</c:v>
                </c:pt>
                <c:pt idx="66">
                  <c:v>433.59526300436556</c:v>
                </c:pt>
                <c:pt idx="67">
                  <c:v>447.80883549913892</c:v>
                </c:pt>
                <c:pt idx="68">
                  <c:v>462.0127547557633</c:v>
                </c:pt>
                <c:pt idx="69">
                  <c:v>476.20735929225475</c:v>
                </c:pt>
                <c:pt idx="70">
                  <c:v>490.39296580436979</c:v>
                </c:pt>
                <c:pt idx="71">
                  <c:v>457.27916621968069</c:v>
                </c:pt>
                <c:pt idx="72">
                  <c:v>471.47683944067609</c:v>
                </c:pt>
                <c:pt idx="73">
                  <c:v>485.66541136738351</c:v>
                </c:pt>
                <c:pt idx="74">
                  <c:v>499.84518527975439</c:v>
                </c:pt>
                <c:pt idx="75">
                  <c:v>514.0164458520336</c:v>
                </c:pt>
                <c:pt idx="76">
                  <c:v>480.07704059887783</c:v>
                </c:pt>
                <c:pt idx="77">
                  <c:v>493.40090557274078</c:v>
                </c:pt>
                <c:pt idx="78">
                  <c:v>506.71714576007918</c:v>
                </c:pt>
                <c:pt idx="79">
                  <c:v>520.02598972417468</c:v>
                </c:pt>
                <c:pt idx="80">
                  <c:v>533.32765337796275</c:v>
                </c:pt>
                <c:pt idx="81">
                  <c:v>500.70428912785269</c:v>
                </c:pt>
                <c:pt idx="82">
                  <c:v>513.15781891487723</c:v>
                </c:pt>
                <c:pt idx="83">
                  <c:v>525.60496890923457</c:v>
                </c:pt>
                <c:pt idx="84">
                  <c:v>538.04591145801066</c:v>
                </c:pt>
                <c:pt idx="85">
                  <c:v>550.48081028975685</c:v>
                </c:pt>
                <c:pt idx="86">
                  <c:v>519.59678538037394</c:v>
                </c:pt>
                <c:pt idx="87">
                  <c:v>531.61170588461891</c:v>
                </c:pt>
                <c:pt idx="88">
                  <c:v>543.62091435600757</c:v>
                </c:pt>
                <c:pt idx="89">
                  <c:v>555.62455474096134</c:v>
                </c:pt>
                <c:pt idx="90">
                  <c:v>567.62276426035055</c:v>
                </c:pt>
                <c:pt idx="91">
                  <c:v>531.6117058846188</c:v>
                </c:pt>
                <c:pt idx="92">
                  <c:v>538.47480076592262</c:v>
                </c:pt>
                <c:pt idx="93">
                  <c:v>545.33605775741501</c:v>
                </c:pt>
                <c:pt idx="94">
                  <c:v>552.19550325198713</c:v>
                </c:pt>
                <c:pt idx="95">
                  <c:v>559.05316293312751</c:v>
                </c:pt>
                <c:pt idx="96">
                  <c:v>565.90906180264858</c:v>
                </c:pt>
                <c:pt idx="97">
                  <c:v>572.76322420699773</c:v>
                </c:pt>
                <c:pt idx="98">
                  <c:v>579.61567386224544</c:v>
                </c:pt>
                <c:pt idx="99">
                  <c:v>586.46643387782842</c:v>
                </c:pt>
                <c:pt idx="100">
                  <c:v>593.31552677912623</c:v>
                </c:pt>
                <c:pt idx="101">
                  <c:v>560.98156139993341</c:v>
                </c:pt>
                <c:pt idx="102">
                  <c:v>567.19434879973255</c:v>
                </c:pt>
                <c:pt idx="103">
                  <c:v>573.40571375824436</c:v>
                </c:pt>
                <c:pt idx="104">
                  <c:v>579.61567386224522</c:v>
                </c:pt>
                <c:pt idx="105">
                  <c:v>585.82424629081208</c:v>
                </c:pt>
                <c:pt idx="106">
                  <c:v>592.03144782908805</c:v>
                </c:pt>
                <c:pt idx="107">
                  <c:v>598.2372948814417</c:v>
                </c:pt>
                <c:pt idx="108">
                  <c:v>604.44180348405132</c:v>
                </c:pt>
                <c:pt idx="109">
                  <c:v>610.64498931694811</c:v>
                </c:pt>
                <c:pt idx="110">
                  <c:v>616.84686771553891</c:v>
                </c:pt>
                <c:pt idx="111">
                  <c:v>585.82424629081186</c:v>
                </c:pt>
                <c:pt idx="112">
                  <c:v>591.17536299398239</c:v>
                </c:pt>
                <c:pt idx="113">
                  <c:v>596.52547143428831</c:v>
                </c:pt>
                <c:pt idx="114">
                  <c:v>601.87458193334055</c:v>
                </c:pt>
                <c:pt idx="115">
                  <c:v>607.22270461425842</c:v>
                </c:pt>
                <c:pt idx="116">
                  <c:v>612.56984940724078</c:v>
                </c:pt>
                <c:pt idx="117">
                  <c:v>617.91602605493176</c:v>
                </c:pt>
                <c:pt idx="118">
                  <c:v>623.26124411758974</c:v>
                </c:pt>
                <c:pt idx="119">
                  <c:v>628.60551297807217</c:v>
                </c:pt>
                <c:pt idx="120">
                  <c:v>633.94884184663943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87.149505162569383</c:v>
                </c:pt>
                <c:pt idx="17">
                  <c:v>96.797385318575991</c:v>
                </c:pt>
                <c:pt idx="18">
                  <c:v>106.42133409341606</c:v>
                </c:pt>
                <c:pt idx="19">
                  <c:v>116.0238244858856</c:v>
                </c:pt>
                <c:pt idx="20">
                  <c:v>125.60688557852342</c:v>
                </c:pt>
                <c:pt idx="21">
                  <c:v>109.26865471136909</c:v>
                </c:pt>
                <c:pt idx="22">
                  <c:v>119.57527521091727</c:v>
                </c:pt>
                <c:pt idx="23">
                  <c:v>129.860240322946</c:v>
                </c:pt>
                <c:pt idx="24">
                  <c:v>140.12550916282296</c:v>
                </c:pt>
                <c:pt idx="25">
                  <c:v>150.37272976362615</c:v>
                </c:pt>
                <c:pt idx="26">
                  <c:v>143.30754256422117</c:v>
                </c:pt>
                <c:pt idx="27">
                  <c:v>153.90233005028915</c:v>
                </c:pt>
                <c:pt idx="28">
                  <c:v>164.47977321830038</c:v>
                </c:pt>
                <c:pt idx="29">
                  <c:v>175.04114578206176</c:v>
                </c:pt>
                <c:pt idx="30">
                  <c:v>185.58755497750235</c:v>
                </c:pt>
                <c:pt idx="31">
                  <c:v>176.44817575735124</c:v>
                </c:pt>
                <c:pt idx="32">
                  <c:v>186.64141133895666</c:v>
                </c:pt>
                <c:pt idx="33">
                  <c:v>196.82165695831426</c:v>
                </c:pt>
                <c:pt idx="34">
                  <c:v>206.98967982954616</c:v>
                </c:pt>
                <c:pt idx="35">
                  <c:v>217.14616554866117</c:v>
                </c:pt>
                <c:pt idx="36">
                  <c:v>206.63925413557965</c:v>
                </c:pt>
                <c:pt idx="37">
                  <c:v>217.14616554866117</c:v>
                </c:pt>
                <c:pt idx="38">
                  <c:v>227.64138943591354</c:v>
                </c:pt>
                <c:pt idx="39">
                  <c:v>238.12554101232834</c:v>
                </c:pt>
                <c:pt idx="40">
                  <c:v>248.59917684690132</c:v>
                </c:pt>
                <c:pt idx="41">
                  <c:v>236.37892704001885</c:v>
                </c:pt>
                <c:pt idx="42">
                  <c:v>246.85427908940071</c:v>
                </c:pt>
                <c:pt idx="43">
                  <c:v>257.31954013248077</c:v>
                </c:pt>
                <c:pt idx="44">
                  <c:v>267.77517870928619</c:v>
                </c:pt>
                <c:pt idx="45">
                  <c:v>278.22162375497288</c:v>
                </c:pt>
                <c:pt idx="46">
                  <c:v>263.94253392620141</c:v>
                </c:pt>
                <c:pt idx="47">
                  <c:v>274.04412300873832</c:v>
                </c:pt>
                <c:pt idx="48">
                  <c:v>284.13734601040039</c:v>
                </c:pt>
                <c:pt idx="49">
                  <c:v>294.22254221033842</c:v>
                </c:pt>
                <c:pt idx="50">
                  <c:v>304.30002571338792</c:v>
                </c:pt>
                <c:pt idx="51">
                  <c:v>289.35480857103533</c:v>
                </c:pt>
                <c:pt idx="52">
                  <c:v>298.74097068368638</c:v>
                </c:pt>
                <c:pt idx="53">
                  <c:v>308.12056303476032</c:v>
                </c:pt>
                <c:pt idx="54">
                  <c:v>317.493813958099</c:v>
                </c:pt>
                <c:pt idx="55">
                  <c:v>326.86093719547273</c:v>
                </c:pt>
                <c:pt idx="56">
                  <c:v>311.94004796897667</c:v>
                </c:pt>
                <c:pt idx="57">
                  <c:v>321.3107774053031</c:v>
                </c:pt>
                <c:pt idx="58">
                  <c:v>330.67546236446486</c:v>
                </c:pt>
                <c:pt idx="59">
                  <c:v>340.03429827286561</c:v>
                </c:pt>
                <c:pt idx="60">
                  <c:v>349.38746891454963</c:v>
                </c:pt>
                <c:pt idx="61">
                  <c:v>333.79571492319104</c:v>
                </c:pt>
                <c:pt idx="62">
                  <c:v>342.45973119739205</c:v>
                </c:pt>
                <c:pt idx="63">
                  <c:v>351.11892985232788</c:v>
                </c:pt>
                <c:pt idx="64">
                  <c:v>359.77344653568497</c:v>
                </c:pt>
                <c:pt idx="65">
                  <c:v>368.42340983207083</c:v>
                </c:pt>
                <c:pt idx="66">
                  <c:v>352.50396372745308</c:v>
                </c:pt>
                <c:pt idx="67">
                  <c:v>360.81168008565851</c:v>
                </c:pt>
                <c:pt idx="68">
                  <c:v>369.1152138880347</c:v>
                </c:pt>
                <c:pt idx="69">
                  <c:v>377.41467255842127</c:v>
                </c:pt>
                <c:pt idx="70">
                  <c:v>385.71015840744553</c:v>
                </c:pt>
                <c:pt idx="71">
                  <c:v>369.46110530100697</c:v>
                </c:pt>
                <c:pt idx="72">
                  <c:v>377.41467255842127</c:v>
                </c:pt>
                <c:pt idx="73">
                  <c:v>385.36459119538364</c:v>
                </c:pt>
                <c:pt idx="74">
                  <c:v>393.31094714884665</c:v>
                </c:pt>
                <c:pt idx="75">
                  <c:v>401.25382259763973</c:v>
                </c:pt>
                <c:pt idx="76">
                  <c:v>384.32784912657735</c:v>
                </c:pt>
                <c:pt idx="77">
                  <c:v>391.58377731754808</c:v>
                </c:pt>
                <c:pt idx="78">
                  <c:v>398.83678939579448</c:v>
                </c:pt>
                <c:pt idx="79">
                  <c:v>406.08694591135969</c:v>
                </c:pt>
                <c:pt idx="80">
                  <c:v>413.33430507425345</c:v>
                </c:pt>
                <c:pt idx="81">
                  <c:v>397.80082102983084</c:v>
                </c:pt>
                <c:pt idx="82">
                  <c:v>404.7061811363821</c:v>
                </c:pt>
                <c:pt idx="83">
                  <c:v>411.60899407848501</c:v>
                </c:pt>
                <c:pt idx="84">
                  <c:v>418.50930863032568</c:v>
                </c:pt>
                <c:pt idx="85">
                  <c:v>425.40717182534792</c:v>
                </c:pt>
                <c:pt idx="86">
                  <c:v>409.19329619958626</c:v>
                </c:pt>
                <c:pt idx="87">
                  <c:v>415.40447321133956</c:v>
                </c:pt>
                <c:pt idx="88">
                  <c:v>421.61364767176156</c:v>
                </c:pt>
                <c:pt idx="89">
                  <c:v>427.82085325710801</c:v>
                </c:pt>
                <c:pt idx="90">
                  <c:v>434.02612258593189</c:v>
                </c:pt>
                <c:pt idx="91">
                  <c:v>7.5575126628944061E-13</c:v>
                </c:pt>
                <c:pt idx="92">
                  <c:v>7.5575126628944061E-13</c:v>
                </c:pt>
                <c:pt idx="93">
                  <c:v>7.5575126628944061E-13</c:v>
                </c:pt>
                <c:pt idx="94">
                  <c:v>7.5575126628944061E-13</c:v>
                </c:pt>
                <c:pt idx="95">
                  <c:v>7.5575126628944061E-13</c:v>
                </c:pt>
                <c:pt idx="96">
                  <c:v>7.5575126628944061E-13</c:v>
                </c:pt>
                <c:pt idx="97">
                  <c:v>7.5575126628944061E-13</c:v>
                </c:pt>
                <c:pt idx="98">
                  <c:v>7.5575126628944061E-13</c:v>
                </c:pt>
                <c:pt idx="99">
                  <c:v>7.5575126628944061E-13</c:v>
                </c:pt>
                <c:pt idx="100">
                  <c:v>7.5575126628944061E-13</c:v>
                </c:pt>
                <c:pt idx="101">
                  <c:v>7.5575126628944061E-13</c:v>
                </c:pt>
                <c:pt idx="102">
                  <c:v>7.5575126628944061E-13</c:v>
                </c:pt>
                <c:pt idx="103">
                  <c:v>7.5575126628944061E-13</c:v>
                </c:pt>
                <c:pt idx="104">
                  <c:v>7.5575126628944061E-13</c:v>
                </c:pt>
                <c:pt idx="105">
                  <c:v>7.5575126628944061E-13</c:v>
                </c:pt>
                <c:pt idx="106">
                  <c:v>7.5575126628944061E-13</c:v>
                </c:pt>
                <c:pt idx="107">
                  <c:v>7.5575126628944061E-13</c:v>
                </c:pt>
                <c:pt idx="108">
                  <c:v>7.5575126628944061E-13</c:v>
                </c:pt>
                <c:pt idx="109">
                  <c:v>7.5575126628944061E-13</c:v>
                </c:pt>
                <c:pt idx="110">
                  <c:v>7.5575126628944061E-13</c:v>
                </c:pt>
                <c:pt idx="111">
                  <c:v>7.5575126628944061E-13</c:v>
                </c:pt>
                <c:pt idx="112">
                  <c:v>7.5575126628944061E-13</c:v>
                </c:pt>
                <c:pt idx="113">
                  <c:v>7.5575126628944061E-13</c:v>
                </c:pt>
                <c:pt idx="114">
                  <c:v>7.5575126628944061E-13</c:v>
                </c:pt>
                <c:pt idx="115">
                  <c:v>7.5575126628944061E-13</c:v>
                </c:pt>
                <c:pt idx="116">
                  <c:v>7.5575126628944061E-13</c:v>
                </c:pt>
                <c:pt idx="117">
                  <c:v>7.5575126628944061E-13</c:v>
                </c:pt>
                <c:pt idx="118">
                  <c:v>7.5575126628944061E-13</c:v>
                </c:pt>
                <c:pt idx="119">
                  <c:v>7.5575126628944061E-13</c:v>
                </c:pt>
                <c:pt idx="120">
                  <c:v>7.5575126628944061E-13</c:v>
                </c:pt>
                <c:pt idx="121">
                  <c:v>7.5575126628944061E-13</c:v>
                </c:pt>
                <c:pt idx="122">
                  <c:v>7.5575126628944061E-13</c:v>
                </c:pt>
                <c:pt idx="123">
                  <c:v>7.5575126628944061E-13</c:v>
                </c:pt>
                <c:pt idx="124">
                  <c:v>7.5575126628944061E-13</c:v>
                </c:pt>
                <c:pt idx="125">
                  <c:v>7.5575126628944061E-13</c:v>
                </c:pt>
                <c:pt idx="126">
                  <c:v>7.5575126628944061E-13</c:v>
                </c:pt>
                <c:pt idx="127">
                  <c:v>7.5575126628944061E-13</c:v>
                </c:pt>
                <c:pt idx="128">
                  <c:v>7.5575126628944061E-13</c:v>
                </c:pt>
                <c:pt idx="129">
                  <c:v>7.5575126628944061E-13</c:v>
                </c:pt>
                <c:pt idx="130">
                  <c:v>7.5575126628944061E-13</c:v>
                </c:pt>
                <c:pt idx="131">
                  <c:v>7.5575126628944061E-13</c:v>
                </c:pt>
                <c:pt idx="132">
                  <c:v>7.5575126628944061E-13</c:v>
                </c:pt>
                <c:pt idx="133">
                  <c:v>7.5575126628944061E-13</c:v>
                </c:pt>
                <c:pt idx="134">
                  <c:v>7.5575126628944061E-13</c:v>
                </c:pt>
                <c:pt idx="135">
                  <c:v>7.5575126628944061E-13</c:v>
                </c:pt>
                <c:pt idx="136">
                  <c:v>7.5575126628944061E-13</c:v>
                </c:pt>
                <c:pt idx="137">
                  <c:v>7.5575126628944061E-13</c:v>
                </c:pt>
                <c:pt idx="138">
                  <c:v>7.5575126628944061E-13</c:v>
                </c:pt>
                <c:pt idx="139">
                  <c:v>7.5575126628944061E-13</c:v>
                </c:pt>
                <c:pt idx="140">
                  <c:v>7.5575126628944061E-13</c:v>
                </c:pt>
                <c:pt idx="141">
                  <c:v>7.5575126628944061E-13</c:v>
                </c:pt>
                <c:pt idx="142">
                  <c:v>7.5575126628944061E-13</c:v>
                </c:pt>
                <c:pt idx="143">
                  <c:v>7.5575126628944061E-13</c:v>
                </c:pt>
                <c:pt idx="144">
                  <c:v>7.5575126628944061E-13</c:v>
                </c:pt>
                <c:pt idx="145">
                  <c:v>7.5575126628944061E-13</c:v>
                </c:pt>
                <c:pt idx="146">
                  <c:v>7.5575126628944061E-13</c:v>
                </c:pt>
                <c:pt idx="147">
                  <c:v>7.5575126628944061E-13</c:v>
                </c:pt>
                <c:pt idx="148">
                  <c:v>7.5575126628944061E-13</c:v>
                </c:pt>
                <c:pt idx="149">
                  <c:v>7.5575126628944061E-13</c:v>
                </c:pt>
                <c:pt idx="150">
                  <c:v>7.5575126628944061E-13</c:v>
                </c:pt>
                <c:pt idx="151">
                  <c:v>7.5575126628944061E-13</c:v>
                </c:pt>
                <c:pt idx="152">
                  <c:v>7.5575126628944061E-13</c:v>
                </c:pt>
                <c:pt idx="153">
                  <c:v>7.5575126628944061E-13</c:v>
                </c:pt>
                <c:pt idx="154">
                  <c:v>7.5575126628944061E-13</c:v>
                </c:pt>
                <c:pt idx="155">
                  <c:v>7.5575126628944061E-13</c:v>
                </c:pt>
                <c:pt idx="156">
                  <c:v>7.5575126628944061E-13</c:v>
                </c:pt>
                <c:pt idx="157">
                  <c:v>7.5575126628944061E-13</c:v>
                </c:pt>
                <c:pt idx="158">
                  <c:v>7.5575126628944061E-13</c:v>
                </c:pt>
                <c:pt idx="159">
                  <c:v>7.5575126628944061E-13</c:v>
                </c:pt>
                <c:pt idx="160">
                  <c:v>7.5575126628944061E-13</c:v>
                </c:pt>
                <c:pt idx="161">
                  <c:v>7.5575126628944061E-13</c:v>
                </c:pt>
                <c:pt idx="162">
                  <c:v>7.5575126628944061E-13</c:v>
                </c:pt>
                <c:pt idx="163">
                  <c:v>7.5575126628944061E-13</c:v>
                </c:pt>
                <c:pt idx="164">
                  <c:v>7.5575126628944061E-13</c:v>
                </c:pt>
                <c:pt idx="165">
                  <c:v>7.5575126628944061E-13</c:v>
                </c:pt>
                <c:pt idx="166">
                  <c:v>7.5575126628944061E-13</c:v>
                </c:pt>
                <c:pt idx="167">
                  <c:v>7.5575126628944061E-13</c:v>
                </c:pt>
                <c:pt idx="168">
                  <c:v>7.5575126628944061E-13</c:v>
                </c:pt>
                <c:pt idx="169">
                  <c:v>7.5575126628944061E-13</c:v>
                </c:pt>
                <c:pt idx="170">
                  <c:v>7.5575126628944061E-13</c:v>
                </c:pt>
                <c:pt idx="171">
                  <c:v>7.5575126628944061E-13</c:v>
                </c:pt>
                <c:pt idx="172">
                  <c:v>7.5575126628944061E-13</c:v>
                </c:pt>
                <c:pt idx="173">
                  <c:v>7.5575126628944061E-13</c:v>
                </c:pt>
                <c:pt idx="174">
                  <c:v>7.5575126628944061E-13</c:v>
                </c:pt>
                <c:pt idx="175">
                  <c:v>7.5575126628944061E-13</c:v>
                </c:pt>
                <c:pt idx="176">
                  <c:v>7.5575126628944061E-13</c:v>
                </c:pt>
                <c:pt idx="177">
                  <c:v>7.5575126628944061E-13</c:v>
                </c:pt>
                <c:pt idx="178">
                  <c:v>7.5575126628944061E-13</c:v>
                </c:pt>
                <c:pt idx="179">
                  <c:v>7.5575126628944061E-13</c:v>
                </c:pt>
                <c:pt idx="180">
                  <c:v>7.5575126628944061E-13</c:v>
                </c:pt>
                <c:pt idx="181">
                  <c:v>7.5575126628944061E-13</c:v>
                </c:pt>
                <c:pt idx="182">
                  <c:v>7.5575126628944061E-13</c:v>
                </c:pt>
                <c:pt idx="183">
                  <c:v>7.5575126628944061E-13</c:v>
                </c:pt>
                <c:pt idx="184">
                  <c:v>7.5575126628944061E-13</c:v>
                </c:pt>
                <c:pt idx="185">
                  <c:v>7.5575126628944061E-13</c:v>
                </c:pt>
                <c:pt idx="186">
                  <c:v>7.5575126628944061E-13</c:v>
                </c:pt>
                <c:pt idx="187">
                  <c:v>7.5575126628944061E-13</c:v>
                </c:pt>
                <c:pt idx="188">
                  <c:v>7.5575126628944061E-13</c:v>
                </c:pt>
                <c:pt idx="189">
                  <c:v>7.5575126628944061E-13</c:v>
                </c:pt>
                <c:pt idx="190">
                  <c:v>7.5575126628944061E-13</c:v>
                </c:pt>
                <c:pt idx="191">
                  <c:v>7.5575126628944061E-13</c:v>
                </c:pt>
                <c:pt idx="192">
                  <c:v>7.5575126628944061E-13</c:v>
                </c:pt>
                <c:pt idx="193">
                  <c:v>7.5575126628944061E-13</c:v>
                </c:pt>
                <c:pt idx="194">
                  <c:v>7.5575126628944061E-13</c:v>
                </c:pt>
                <c:pt idx="195">
                  <c:v>7.5575126628944061E-13</c:v>
                </c:pt>
                <c:pt idx="196">
                  <c:v>7.5575126628944061E-13</c:v>
                </c:pt>
                <c:pt idx="197">
                  <c:v>7.5575126628944061E-13</c:v>
                </c:pt>
                <c:pt idx="198">
                  <c:v>7.5575126628944061E-13</c:v>
                </c:pt>
                <c:pt idx="199">
                  <c:v>7.5575126628944061E-13</c:v>
                </c:pt>
                <c:pt idx="200">
                  <c:v>7.5575126628944061E-13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à partir de la 6e année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57DFB3A9-0B40-4DC9-B366-DC0468CEE9EE}">
    <text>A recopier sur toutes les essences.
Correspond aux frais fixes d’entretien mécanique + répulsif gibier</text>
  </threadedComment>
  <threadedComment ref="E50" dT="2024-11-27T17:08:05.48" personId="{44BC7BF0-8157-4572-8E12-7E0C99523682}" id="{9D081124-5187-4809-AD03-BE66912E2FAB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A9B731B4-057C-4565-BA03-2FE2C7EEB8EC}">
    <text>A recopier sur toutes les essences.
Correspond aux frais fixes d’entretien mécanique + répulsif gibier</text>
  </threadedComment>
  <threadedComment ref="E80" dT="2024-11-27T17:07:34.75" personId="{44BC7BF0-8157-4572-8E12-7E0C99523682}" id="{0ADEC8C3-9748-45F8-BC8A-72867AF60626}">
    <text>A recopier sur toutes les essences.
Correspond aux frais fixes d’entretien mécanique + répulsif gibier</text>
  </threadedComment>
  <threadedComment ref="E81" dT="2024-11-27T17:08:05.48" personId="{44BC7BF0-8157-4572-8E12-7E0C99523682}" id="{0150869F-6E6A-4A20-A630-2ED066CE59A4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9B50EE60-CC89-44A8-AC0C-FEAC054E5B9B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5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1" t="s">
        <v>291</v>
      </c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</row>
    <row r="13" spans="2:13" ht="15" customHeight="1" x14ac:dyDescent="0.3"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</row>
    <row r="14" spans="2:13" ht="15" customHeight="1" x14ac:dyDescent="0.3"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</row>
    <row r="15" spans="2:13" ht="18.75" customHeight="1" x14ac:dyDescent="0.3"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</row>
    <row r="16" spans="2:13" ht="18.75" customHeight="1" x14ac:dyDescent="0.3"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</row>
    <row r="18" spans="2:13" ht="12" customHeight="1" x14ac:dyDescent="0.3">
      <c r="B18" s="271" t="s">
        <v>292</v>
      </c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</row>
    <row r="19" spans="2:13" ht="12" customHeight="1" x14ac:dyDescent="0.3"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</row>
    <row r="20" spans="2:13" ht="12" customHeight="1" x14ac:dyDescent="0.3">
      <c r="B20" s="271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</row>
    <row r="21" spans="2:13" ht="12" customHeight="1" x14ac:dyDescent="0.3"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</row>
    <row r="22" spans="2:13" ht="12" customHeight="1" x14ac:dyDescent="0.3"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</row>
    <row r="23" spans="2:13" ht="12" customHeight="1" x14ac:dyDescent="0.3"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</row>
    <row r="24" spans="2:13" ht="12" customHeight="1" x14ac:dyDescent="0.3"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</row>
    <row r="25" spans="2:13" ht="12" customHeight="1" x14ac:dyDescent="0.3"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</row>
    <row r="26" spans="2:13" ht="12" customHeight="1" x14ac:dyDescent="0.3"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</row>
    <row r="27" spans="2:13" ht="12" customHeight="1" x14ac:dyDescent="0.3"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</row>
    <row r="28" spans="2:13" ht="12" customHeight="1" x14ac:dyDescent="0.3"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</row>
    <row r="29" spans="2:13" ht="12" customHeight="1" x14ac:dyDescent="0.3"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</row>
    <row r="30" spans="2:13" ht="12" customHeight="1" x14ac:dyDescent="0.3"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</row>
    <row r="31" spans="2:13" ht="12" customHeight="1" x14ac:dyDescent="0.3"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3" zoomScale="80" zoomScaleNormal="80" workbookViewId="0">
      <selection activeCell="F102" sqref="F10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72" t="s">
        <v>190</v>
      </c>
      <c r="D1" s="272"/>
      <c r="E1" s="27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7" t="s">
        <v>192</v>
      </c>
      <c r="C3" s="278"/>
      <c r="D3" s="278"/>
      <c r="E3" s="278"/>
      <c r="F3" s="279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82" t="s">
        <v>231</v>
      </c>
      <c r="B5" s="282"/>
      <c r="C5" s="24">
        <v>1.05</v>
      </c>
      <c r="D5" s="283" t="s">
        <v>229</v>
      </c>
      <c r="E5" s="284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81" t="s">
        <v>226</v>
      </c>
      <c r="B7" s="281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0.67</v>
      </c>
      <c r="D9" s="33">
        <f t="shared" ref="D9:D18" si="0">C9*$C$5</f>
        <v>0.70350000000000013</v>
      </c>
      <c r="E9" s="34">
        <v>105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0.17</v>
      </c>
      <c r="D10" s="33">
        <f t="shared" si="0"/>
        <v>0.17850000000000002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</v>
      </c>
      <c r="C11" s="32">
        <v>0.16</v>
      </c>
      <c r="D11" s="33">
        <f t="shared" si="0"/>
        <v>0.16800000000000001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1.05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80" t="s">
        <v>232</v>
      </c>
      <c r="B22" s="280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81" t="s">
        <v>227</v>
      </c>
      <c r="B30" s="281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73" t="s">
        <v>186</v>
      </c>
      <c r="D34" s="273"/>
      <c r="E34" s="274" t="s">
        <v>187</v>
      </c>
      <c r="F34" s="275"/>
      <c r="G34" s="275"/>
      <c r="H34" s="276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30</v>
      </c>
      <c r="B36" s="258">
        <v>216.79230769230767</v>
      </c>
      <c r="C36" s="258">
        <v>1</v>
      </c>
      <c r="D36" s="259">
        <v>0</v>
      </c>
      <c r="E36" s="260">
        <v>0</v>
      </c>
      <c r="F36" s="260">
        <v>0.2</v>
      </c>
      <c r="G36" s="260">
        <v>0</v>
      </c>
      <c r="H36" s="260">
        <v>0.8</v>
      </c>
      <c r="I36" s="49">
        <f>IFERROR(B36/A36,"")</f>
        <v>7.2264102564102561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36</v>
      </c>
      <c r="B37" s="262">
        <v>308.30769230769232</v>
      </c>
      <c r="C37" s="262">
        <v>2</v>
      </c>
      <c r="D37" s="262">
        <v>0</v>
      </c>
      <c r="E37" s="263">
        <v>0</v>
      </c>
      <c r="F37" s="263">
        <v>0.2</v>
      </c>
      <c r="G37" s="263">
        <v>0</v>
      </c>
      <c r="H37" s="263">
        <v>0.8</v>
      </c>
      <c r="I37" s="53">
        <f t="shared" ref="I37:I55" si="1">IF(A37&lt;&gt;0,(B37-(B36-D36))/(A37-A36),"")</f>
        <v>15.252564102564108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42</v>
      </c>
      <c r="B38" s="262">
        <v>410.3692307692308</v>
      </c>
      <c r="C38" s="262">
        <v>3</v>
      </c>
      <c r="D38" s="262">
        <v>179.84615384615384</v>
      </c>
      <c r="E38" s="263">
        <v>0.1</v>
      </c>
      <c r="F38" s="263">
        <v>0.4</v>
      </c>
      <c r="G38" s="263">
        <v>0</v>
      </c>
      <c r="H38" s="263">
        <v>0.5</v>
      </c>
      <c r="I38" s="53">
        <f t="shared" si="1"/>
        <v>17.010256410256414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46</v>
      </c>
      <c r="B39" s="262">
        <v>292.92307692307691</v>
      </c>
      <c r="C39" s="262">
        <v>4</v>
      </c>
      <c r="D39" s="262">
        <v>0</v>
      </c>
      <c r="E39" s="263">
        <v>0.1</v>
      </c>
      <c r="F39" s="263">
        <v>0.4</v>
      </c>
      <c r="G39" s="263">
        <v>0</v>
      </c>
      <c r="H39" s="263">
        <v>0.5</v>
      </c>
      <c r="I39" s="49">
        <f t="shared" si="1"/>
        <v>15.599999999999987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49</v>
      </c>
      <c r="B40" s="262">
        <v>339.85384615384612</v>
      </c>
      <c r="C40" s="262">
        <v>5</v>
      </c>
      <c r="D40" s="262">
        <v>94.476923076923072</v>
      </c>
      <c r="E40" s="263">
        <v>0.1</v>
      </c>
      <c r="F40" s="263">
        <v>0.4</v>
      </c>
      <c r="G40" s="263">
        <v>0</v>
      </c>
      <c r="H40" s="263">
        <v>0.5</v>
      </c>
      <c r="I40" s="49">
        <f t="shared" si="1"/>
        <v>15.643589743589738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53</v>
      </c>
      <c r="B41" s="262">
        <v>303.03076923076924</v>
      </c>
      <c r="C41" s="262">
        <v>6</v>
      </c>
      <c r="D41" s="262">
        <v>0</v>
      </c>
      <c r="E41" s="263">
        <v>0.2</v>
      </c>
      <c r="F41" s="263">
        <v>0.5</v>
      </c>
      <c r="G41" s="263">
        <v>0</v>
      </c>
      <c r="H41" s="263">
        <v>0.3</v>
      </c>
      <c r="I41" s="53">
        <f t="shared" si="1"/>
        <v>14.413461538461547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56</v>
      </c>
      <c r="B42" s="262">
        <v>348.05384615384617</v>
      </c>
      <c r="C42" s="262">
        <v>7</v>
      </c>
      <c r="D42" s="262">
        <v>72.769230769230745</v>
      </c>
      <c r="E42" s="263">
        <v>0.2</v>
      </c>
      <c r="F42" s="263">
        <v>0.5</v>
      </c>
      <c r="G42" s="263">
        <v>0</v>
      </c>
      <c r="H42" s="263">
        <v>0.3</v>
      </c>
      <c r="I42" s="53">
        <f t="shared" si="1"/>
        <v>15.007692307692309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60</v>
      </c>
      <c r="B43" s="262">
        <v>331.52307692307693</v>
      </c>
      <c r="C43" s="262">
        <v>8</v>
      </c>
      <c r="D43" s="262">
        <v>0</v>
      </c>
      <c r="E43" s="263">
        <v>0.2</v>
      </c>
      <c r="F43" s="263">
        <v>0.5</v>
      </c>
      <c r="G43" s="263">
        <v>0</v>
      </c>
      <c r="H43" s="263">
        <v>0.3</v>
      </c>
      <c r="I43" s="49">
        <f t="shared" si="1"/>
        <v>14.05961538461537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>
        <v>63</v>
      </c>
      <c r="B44" s="262">
        <v>375.17692307692306</v>
      </c>
      <c r="C44" s="262">
        <v>9</v>
      </c>
      <c r="D44" s="262">
        <v>71.123076923076923</v>
      </c>
      <c r="E44" s="263">
        <v>0.2</v>
      </c>
      <c r="F44" s="263">
        <v>0.5</v>
      </c>
      <c r="G44" s="263">
        <v>0</v>
      </c>
      <c r="H44" s="263">
        <v>0.3</v>
      </c>
      <c r="I44" s="49">
        <f t="shared" si="1"/>
        <v>14.551282051282044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>
        <v>67</v>
      </c>
      <c r="B45" s="262">
        <v>358.25384615384615</v>
      </c>
      <c r="C45" s="262">
        <v>10</v>
      </c>
      <c r="D45" s="262">
        <v>0</v>
      </c>
      <c r="E45" s="263">
        <v>0.2</v>
      </c>
      <c r="F45" s="263">
        <v>0.5</v>
      </c>
      <c r="G45" s="263">
        <v>0</v>
      </c>
      <c r="H45" s="263">
        <v>0.3</v>
      </c>
      <c r="I45" s="49">
        <f t="shared" si="1"/>
        <v>13.549999999999997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>
        <v>71</v>
      </c>
      <c r="B46" s="262">
        <v>413.95384615384614</v>
      </c>
      <c r="C46" s="262">
        <v>11</v>
      </c>
      <c r="D46" s="262">
        <v>80.399999999999977</v>
      </c>
      <c r="E46" s="263">
        <v>0.2</v>
      </c>
      <c r="F46" s="263">
        <v>0.5</v>
      </c>
      <c r="G46" s="263">
        <v>0</v>
      </c>
      <c r="H46" s="263">
        <v>0.3</v>
      </c>
      <c r="I46" s="49">
        <f t="shared" si="1"/>
        <v>13.924999999999997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>
        <v>75</v>
      </c>
      <c r="B47" s="262">
        <v>384.68461538461537</v>
      </c>
      <c r="C47" s="262">
        <v>12</v>
      </c>
      <c r="D47" s="262">
        <v>0</v>
      </c>
      <c r="E47" s="263">
        <v>0.2</v>
      </c>
      <c r="F47" s="263">
        <v>0.5</v>
      </c>
      <c r="G47" s="263">
        <v>0</v>
      </c>
      <c r="H47" s="263">
        <v>0.3</v>
      </c>
      <c r="I47" s="49">
        <f t="shared" si="1"/>
        <v>12.782692307692301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>
        <v>79</v>
      </c>
      <c r="B48" s="262">
        <v>436.86153846153837</v>
      </c>
      <c r="C48" s="262">
        <v>13</v>
      </c>
      <c r="D48" s="262">
        <v>77.33846153846153</v>
      </c>
      <c r="E48" s="263">
        <v>0.2</v>
      </c>
      <c r="F48" s="263">
        <v>0.5</v>
      </c>
      <c r="G48" s="263">
        <v>0</v>
      </c>
      <c r="H48" s="263">
        <v>0.3</v>
      </c>
      <c r="I48" s="49">
        <f t="shared" si="1"/>
        <v>13.044230769230751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>
        <v>83</v>
      </c>
      <c r="B49" s="262">
        <v>407.73846153846142</v>
      </c>
      <c r="C49" s="262">
        <v>14</v>
      </c>
      <c r="D49" s="262">
        <v>0</v>
      </c>
      <c r="E49" s="263">
        <v>0.2</v>
      </c>
      <c r="F49" s="263">
        <v>0.5</v>
      </c>
      <c r="G49" s="263">
        <v>0</v>
      </c>
      <c r="H49" s="263">
        <v>0.3</v>
      </c>
      <c r="I49" s="49">
        <f t="shared" si="1"/>
        <v>12.053846153846152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87</v>
      </c>
      <c r="B50" s="262">
        <v>456.51538461538462</v>
      </c>
      <c r="C50" s="262">
        <v>15</v>
      </c>
      <c r="D50" s="262">
        <v>77.330769230769235</v>
      </c>
      <c r="E50" s="263">
        <v>0.2</v>
      </c>
      <c r="F50" s="263">
        <v>0.5</v>
      </c>
      <c r="G50" s="263">
        <v>0</v>
      </c>
      <c r="H50" s="263">
        <v>0.3</v>
      </c>
      <c r="I50" s="49">
        <f t="shared" si="1"/>
        <v>12.194230769230799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91</v>
      </c>
      <c r="B51" s="262">
        <v>423.99230769230775</v>
      </c>
      <c r="C51" s="262">
        <v>16</v>
      </c>
      <c r="D51" s="262">
        <v>0</v>
      </c>
      <c r="E51" s="263">
        <v>0.2</v>
      </c>
      <c r="F51" s="263">
        <v>0.5</v>
      </c>
      <c r="G51" s="263">
        <v>0</v>
      </c>
      <c r="H51" s="263">
        <v>0.3</v>
      </c>
      <c r="I51" s="49">
        <f t="shared" si="1"/>
        <v>11.201923076923094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95</v>
      </c>
      <c r="B52" s="262">
        <v>469.12307692307689</v>
      </c>
      <c r="C52" s="262">
        <v>17</v>
      </c>
      <c r="D52" s="262">
        <v>234.42307692307693</v>
      </c>
      <c r="E52" s="263">
        <v>0.2</v>
      </c>
      <c r="F52" s="263">
        <v>0.5</v>
      </c>
      <c r="G52" s="263">
        <v>0</v>
      </c>
      <c r="H52" s="263">
        <v>0.3</v>
      </c>
      <c r="I52" s="49">
        <f t="shared" si="1"/>
        <v>11.282692307692287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100</v>
      </c>
      <c r="B53" s="262">
        <v>272.35384615384612</v>
      </c>
      <c r="C53" s="262">
        <v>18</v>
      </c>
      <c r="D53" s="262">
        <v>0</v>
      </c>
      <c r="E53" s="263">
        <v>0.2</v>
      </c>
      <c r="F53" s="263">
        <v>0.5</v>
      </c>
      <c r="G53" s="263">
        <v>0</v>
      </c>
      <c r="H53" s="263">
        <v>0.3</v>
      </c>
      <c r="I53" s="49">
        <f t="shared" si="1"/>
        <v>7.5307692307692324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>
        <v>105</v>
      </c>
      <c r="B54" s="50">
        <v>309.71538461538461</v>
      </c>
      <c r="C54" s="50">
        <v>19</v>
      </c>
      <c r="D54" s="50">
        <v>309.71538461538461</v>
      </c>
      <c r="E54" s="51">
        <v>0.2</v>
      </c>
      <c r="F54" s="51">
        <v>0.5</v>
      </c>
      <c r="G54" s="51">
        <v>0</v>
      </c>
      <c r="H54" s="51">
        <v>0.3</v>
      </c>
      <c r="I54" s="49">
        <f t="shared" si="1"/>
        <v>7.4723076923076972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73" t="s">
        <v>186</v>
      </c>
      <c r="D60" s="273"/>
      <c r="E60" s="274" t="s">
        <v>187</v>
      </c>
      <c r="F60" s="275"/>
      <c r="G60" s="275"/>
      <c r="H60" s="276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15</v>
      </c>
      <c r="B62" s="60">
        <v>29</v>
      </c>
      <c r="C62" s="60">
        <v>1</v>
      </c>
      <c r="D62" s="60">
        <v>0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1.9333333333333333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57</v>
      </c>
      <c r="C63" s="60">
        <v>2</v>
      </c>
      <c r="D63" s="60">
        <v>11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25</v>
      </c>
      <c r="B64" s="60">
        <v>79</v>
      </c>
      <c r="C64" s="60">
        <v>3</v>
      </c>
      <c r="D64" s="60">
        <v>15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6.6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v>99</v>
      </c>
      <c r="C65" s="60">
        <v>4</v>
      </c>
      <c r="D65" s="60">
        <v>17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35</v>
      </c>
      <c r="B66" s="60">
        <v>119</v>
      </c>
      <c r="C66" s="60">
        <v>5</v>
      </c>
      <c r="D66" s="60">
        <v>19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7.4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v>137</v>
      </c>
      <c r="C67" s="60">
        <v>6</v>
      </c>
      <c r="D67" s="60">
        <v>20</v>
      </c>
      <c r="E67" s="51">
        <v>0</v>
      </c>
      <c r="F67" s="51">
        <v>0</v>
      </c>
      <c r="G67" s="51">
        <v>0</v>
      </c>
      <c r="H67" s="51">
        <v>1</v>
      </c>
      <c r="I67" s="49">
        <f t="shared" si="2"/>
        <v>7.4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45</v>
      </c>
      <c r="B68" s="60">
        <v>154</v>
      </c>
      <c r="C68" s="60">
        <v>7</v>
      </c>
      <c r="D68" s="60">
        <v>21</v>
      </c>
      <c r="E68" s="51">
        <v>0.3</v>
      </c>
      <c r="F68" s="51">
        <v>0</v>
      </c>
      <c r="G68" s="51">
        <v>0</v>
      </c>
      <c r="H68" s="51">
        <v>0.7</v>
      </c>
      <c r="I68" s="49">
        <f t="shared" si="2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50</v>
      </c>
      <c r="B69" s="50">
        <v>171</v>
      </c>
      <c r="C69" s="50">
        <v>8</v>
      </c>
      <c r="D69" s="50">
        <v>22</v>
      </c>
      <c r="E69" s="51">
        <v>0.3</v>
      </c>
      <c r="F69" s="51">
        <v>0</v>
      </c>
      <c r="G69" s="51">
        <v>0</v>
      </c>
      <c r="H69" s="51">
        <v>0.7</v>
      </c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55</v>
      </c>
      <c r="B70" s="50">
        <v>185</v>
      </c>
      <c r="C70" s="50">
        <v>9</v>
      </c>
      <c r="D70" s="50">
        <v>22</v>
      </c>
      <c r="E70" s="51">
        <v>0.3</v>
      </c>
      <c r="F70" s="51">
        <v>0</v>
      </c>
      <c r="G70" s="51">
        <v>0</v>
      </c>
      <c r="H70" s="51">
        <v>0.7</v>
      </c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60</v>
      </c>
      <c r="B71" s="50">
        <v>199</v>
      </c>
      <c r="C71" s="50">
        <v>10</v>
      </c>
      <c r="D71" s="50">
        <v>22</v>
      </c>
      <c r="E71" s="51">
        <v>0.3</v>
      </c>
      <c r="F71" s="51">
        <v>0</v>
      </c>
      <c r="G71" s="51">
        <v>0</v>
      </c>
      <c r="H71" s="51">
        <v>0.7</v>
      </c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65</v>
      </c>
      <c r="B72" s="50">
        <v>212</v>
      </c>
      <c r="C72" s="50">
        <v>11</v>
      </c>
      <c r="D72" s="50">
        <v>22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70</v>
      </c>
      <c r="B73" s="50">
        <v>223</v>
      </c>
      <c r="C73" s="50">
        <v>12</v>
      </c>
      <c r="D73" s="50">
        <v>22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6.6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75</v>
      </c>
      <c r="B74" s="50">
        <v>234</v>
      </c>
      <c r="C74" s="50">
        <v>13</v>
      </c>
      <c r="D74" s="50">
        <v>22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6.6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80</v>
      </c>
      <c r="B75" s="50">
        <v>243</v>
      </c>
      <c r="C75" s="50">
        <v>14</v>
      </c>
      <c r="D75" s="50">
        <v>21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6.2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85</v>
      </c>
      <c r="B76" s="50">
        <v>251</v>
      </c>
      <c r="C76" s="50">
        <v>15</v>
      </c>
      <c r="D76" s="50">
        <v>20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5.8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90</v>
      </c>
      <c r="B77" s="50">
        <v>259</v>
      </c>
      <c r="C77" s="50">
        <v>16</v>
      </c>
      <c r="D77" s="50">
        <v>20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100</v>
      </c>
      <c r="B78" s="50">
        <v>271</v>
      </c>
      <c r="C78" s="50">
        <v>17</v>
      </c>
      <c r="D78" s="50">
        <v>18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3.2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110</v>
      </c>
      <c r="B79" s="50">
        <v>282</v>
      </c>
      <c r="C79" s="50">
        <v>18</v>
      </c>
      <c r="D79" s="50">
        <v>17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2.9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120</v>
      </c>
      <c r="B80" s="50">
        <v>290</v>
      </c>
      <c r="C80" s="50">
        <v>19</v>
      </c>
      <c r="D80" s="50">
        <v>290</v>
      </c>
      <c r="E80" s="51">
        <v>0.6</v>
      </c>
      <c r="F80" s="51">
        <v>0</v>
      </c>
      <c r="G80" s="51">
        <v>0</v>
      </c>
      <c r="H80" s="51">
        <v>0.4</v>
      </c>
      <c r="I80" s="49">
        <f t="shared" si="2"/>
        <v>2.5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>
        <v>120</v>
      </c>
      <c r="B81" s="50">
        <v>290</v>
      </c>
      <c r="C81" s="50">
        <v>23</v>
      </c>
      <c r="D81" s="50">
        <v>290</v>
      </c>
      <c r="E81" s="51">
        <v>0.6</v>
      </c>
      <c r="F81" s="51">
        <v>0</v>
      </c>
      <c r="G81" s="51">
        <v>0</v>
      </c>
      <c r="H81" s="51">
        <v>0.4</v>
      </c>
      <c r="I81" s="49" t="e">
        <f t="shared" si="2"/>
        <v>#DIV/0!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73" t="s">
        <v>186</v>
      </c>
      <c r="D86" s="273"/>
      <c r="E86" s="274" t="s">
        <v>187</v>
      </c>
      <c r="F86" s="275"/>
      <c r="G86" s="275"/>
      <c r="H86" s="276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v>42</v>
      </c>
      <c r="C88" s="60">
        <v>1</v>
      </c>
      <c r="D88" s="60">
        <v>0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2.8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69</v>
      </c>
      <c r="C89" s="60">
        <v>2</v>
      </c>
      <c r="D89" s="60">
        <v>15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5.4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v>83</v>
      </c>
      <c r="C90" s="60">
        <v>3</v>
      </c>
      <c r="D90" s="60">
        <v>10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5.8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30</v>
      </c>
      <c r="B91" s="60">
        <v>103</v>
      </c>
      <c r="C91" s="60">
        <v>4</v>
      </c>
      <c r="D91" s="60">
        <v>11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35</v>
      </c>
      <c r="B92" s="60">
        <v>121</v>
      </c>
      <c r="C92" s="60">
        <v>5</v>
      </c>
      <c r="D92" s="60">
        <v>12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5.8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v>139</v>
      </c>
      <c r="C93" s="60">
        <v>6</v>
      </c>
      <c r="D93" s="60">
        <v>13</v>
      </c>
      <c r="E93" s="87">
        <v>0</v>
      </c>
      <c r="F93" s="87">
        <v>0</v>
      </c>
      <c r="G93" s="87">
        <v>0</v>
      </c>
      <c r="H93" s="87">
        <v>1</v>
      </c>
      <c r="I93" s="53">
        <f t="shared" si="3"/>
        <v>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45</v>
      </c>
      <c r="B94" s="60">
        <v>156</v>
      </c>
      <c r="C94" s="60">
        <v>7</v>
      </c>
      <c r="D94" s="60">
        <v>14</v>
      </c>
      <c r="E94" s="87">
        <v>0.3</v>
      </c>
      <c r="F94" s="87">
        <v>0</v>
      </c>
      <c r="G94" s="87">
        <v>0</v>
      </c>
      <c r="H94" s="87">
        <v>0.7</v>
      </c>
      <c r="I94" s="53">
        <f t="shared" si="3"/>
        <v>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50</v>
      </c>
      <c r="B95" s="60">
        <v>171</v>
      </c>
      <c r="C95" s="60">
        <v>8</v>
      </c>
      <c r="D95" s="60">
        <v>14</v>
      </c>
      <c r="E95" s="87">
        <v>0.3</v>
      </c>
      <c r="F95" s="87">
        <v>0</v>
      </c>
      <c r="G95" s="87">
        <v>0</v>
      </c>
      <c r="H95" s="87">
        <v>0.7</v>
      </c>
      <c r="I95" s="53">
        <f t="shared" si="3"/>
        <v>5.8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55</v>
      </c>
      <c r="B96" s="60">
        <v>184</v>
      </c>
      <c r="C96" s="60">
        <v>9</v>
      </c>
      <c r="D96" s="60">
        <v>14</v>
      </c>
      <c r="E96" s="87">
        <v>0.3</v>
      </c>
      <c r="F96" s="87">
        <v>0</v>
      </c>
      <c r="G96" s="87">
        <v>0</v>
      </c>
      <c r="H96" s="87">
        <v>0.7</v>
      </c>
      <c r="I96" s="53">
        <f t="shared" si="3"/>
        <v>5.4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60</v>
      </c>
      <c r="B97" s="60">
        <v>197</v>
      </c>
      <c r="C97" s="60">
        <v>10</v>
      </c>
      <c r="D97" s="60">
        <v>14</v>
      </c>
      <c r="E97" s="87">
        <v>0.3</v>
      </c>
      <c r="F97" s="87">
        <v>0</v>
      </c>
      <c r="G97" s="87">
        <v>0</v>
      </c>
      <c r="H97" s="87">
        <v>0.7</v>
      </c>
      <c r="I97" s="53">
        <f t="shared" si="3"/>
        <v>5.4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65</v>
      </c>
      <c r="B98" s="60">
        <v>208</v>
      </c>
      <c r="C98" s="60">
        <v>11</v>
      </c>
      <c r="D98" s="60">
        <v>14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70</v>
      </c>
      <c r="B99" s="60">
        <v>218</v>
      </c>
      <c r="C99" s="60">
        <v>12</v>
      </c>
      <c r="D99" s="60">
        <v>14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4.8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75</v>
      </c>
      <c r="B100" s="60">
        <v>227</v>
      </c>
      <c r="C100" s="60">
        <v>13</v>
      </c>
      <c r="D100" s="60">
        <v>14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80</v>
      </c>
      <c r="B101" s="60">
        <v>234</v>
      </c>
      <c r="C101" s="60">
        <v>14</v>
      </c>
      <c r="D101" s="60">
        <v>13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85</v>
      </c>
      <c r="B102" s="50">
        <v>241</v>
      </c>
      <c r="C102" s="60">
        <v>15</v>
      </c>
      <c r="D102" s="50">
        <v>13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90</v>
      </c>
      <c r="B103" s="50">
        <v>246</v>
      </c>
      <c r="C103" s="60">
        <v>16</v>
      </c>
      <c r="D103" s="50">
        <v>246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73" t="s">
        <v>186</v>
      </c>
      <c r="D112" s="273"/>
      <c r="E112" s="274" t="s">
        <v>187</v>
      </c>
      <c r="F112" s="275"/>
      <c r="G112" s="275"/>
      <c r="H112" s="276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73" t="s">
        <v>186</v>
      </c>
      <c r="D138" s="273"/>
      <c r="E138" s="274" t="s">
        <v>187</v>
      </c>
      <c r="F138" s="275"/>
      <c r="G138" s="275"/>
      <c r="H138" s="276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73" t="s">
        <v>186</v>
      </c>
      <c r="D164" s="273"/>
      <c r="E164" s="274" t="s">
        <v>187</v>
      </c>
      <c r="F164" s="275"/>
      <c r="G164" s="275"/>
      <c r="H164" s="276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73" t="s">
        <v>186</v>
      </c>
      <c r="D190" s="273"/>
      <c r="E190" s="274" t="s">
        <v>187</v>
      </c>
      <c r="F190" s="275"/>
      <c r="G190" s="275"/>
      <c r="H190" s="276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73" t="s">
        <v>186</v>
      </c>
      <c r="D216" s="273"/>
      <c r="E216" s="274" t="s">
        <v>187</v>
      </c>
      <c r="F216" s="275"/>
      <c r="G216" s="275"/>
      <c r="H216" s="276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73" t="s">
        <v>186</v>
      </c>
      <c r="D242" s="273"/>
      <c r="E242" s="274" t="s">
        <v>187</v>
      </c>
      <c r="F242" s="275"/>
      <c r="G242" s="275"/>
      <c r="H242" s="276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73" t="s">
        <v>186</v>
      </c>
      <c r="D268" s="273"/>
      <c r="E268" s="274" t="s">
        <v>187</v>
      </c>
      <c r="F268" s="275"/>
      <c r="G268" s="275"/>
      <c r="H268" s="276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68" t="s">
        <v>191</v>
      </c>
      <c r="C2" s="269"/>
      <c r="D2" s="269"/>
      <c r="E2" s="269"/>
      <c r="F2" s="269"/>
      <c r="G2" s="270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67"/>
      <c r="C4" s="267"/>
      <c r="D4" s="267"/>
      <c r="E4" s="267"/>
      <c r="F4" s="267"/>
      <c r="G4" s="267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0.78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0.22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0.78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0.78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8" t="s">
        <v>176</v>
      </c>
      <c r="C1" s="289"/>
      <c r="D1" s="289"/>
      <c r="E1" s="289"/>
      <c r="F1" s="289"/>
      <c r="G1" s="289"/>
      <c r="H1" s="290"/>
      <c r="I1" s="285" t="str">
        <f>IF('Données projet'!$B$9="","",'Données projet'!$B$9)</f>
        <v>Cèdre de l'Atlas</v>
      </c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7"/>
      <c r="AD1" s="286" t="str">
        <f>IF('Données projet'!$B$10="","",'Données projet'!$B$10)</f>
        <v>Chêne pubescent</v>
      </c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7"/>
      <c r="AY1" s="285" t="str">
        <f>IF('Données projet'!$B$11="","",'Données projet'!$B$11)</f>
        <v>Bouleau verruqueux</v>
      </c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7"/>
      <c r="BT1" s="285" t="str">
        <f>IF('Données projet'!$B$12="","",'Données projet'!$B$12)</f>
        <v/>
      </c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7"/>
      <c r="CO1" s="285" t="str">
        <f>IF('Données projet'!$B$13="","",'Données projet'!$B$13)</f>
        <v/>
      </c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7"/>
      <c r="DJ1" s="285" t="str">
        <f>IF('Données projet'!$B$14="","",'Données projet'!$B$14)</f>
        <v/>
      </c>
      <c r="DK1" s="286"/>
      <c r="DL1" s="286"/>
      <c r="DM1" s="286"/>
      <c r="DN1" s="286"/>
      <c r="DO1" s="286"/>
      <c r="DP1" s="286"/>
      <c r="DQ1" s="286"/>
      <c r="DR1" s="286"/>
      <c r="DS1" s="286"/>
      <c r="DT1" s="286"/>
      <c r="DU1" s="286"/>
      <c r="DV1" s="286"/>
      <c r="DW1" s="286"/>
      <c r="DX1" s="286"/>
      <c r="DY1" s="286"/>
      <c r="DZ1" s="286"/>
      <c r="EA1" s="286"/>
      <c r="EB1" s="286"/>
      <c r="EC1" s="286"/>
      <c r="ED1" s="287"/>
      <c r="EE1" s="285" t="str">
        <f>IF('Données projet'!$B$15="","",'Données projet'!$B$15)</f>
        <v/>
      </c>
      <c r="EF1" s="286"/>
      <c r="EG1" s="286"/>
      <c r="EH1" s="286"/>
      <c r="EI1" s="286"/>
      <c r="EJ1" s="286"/>
      <c r="EK1" s="286"/>
      <c r="EL1" s="286"/>
      <c r="EM1" s="286"/>
      <c r="EN1" s="286"/>
      <c r="EO1" s="286"/>
      <c r="EP1" s="286"/>
      <c r="EQ1" s="286"/>
      <c r="ER1" s="286"/>
      <c r="ES1" s="286"/>
      <c r="ET1" s="286"/>
      <c r="EU1" s="286"/>
      <c r="EV1" s="286"/>
      <c r="EW1" s="286"/>
      <c r="EX1" s="286"/>
      <c r="EY1" s="287"/>
      <c r="EZ1" s="285" t="str">
        <f>IF('Données projet'!$B$16="","",'Données projet'!$B$16)</f>
        <v/>
      </c>
      <c r="FA1" s="286"/>
      <c r="FB1" s="286"/>
      <c r="FC1" s="286"/>
      <c r="FD1" s="286"/>
      <c r="FE1" s="286"/>
      <c r="FF1" s="286"/>
      <c r="FG1" s="286"/>
      <c r="FH1" s="286"/>
      <c r="FI1" s="286"/>
      <c r="FJ1" s="286"/>
      <c r="FK1" s="286"/>
      <c r="FL1" s="286"/>
      <c r="FM1" s="286"/>
      <c r="FN1" s="286"/>
      <c r="FO1" s="286"/>
      <c r="FP1" s="286"/>
      <c r="FQ1" s="286"/>
      <c r="FR1" s="286"/>
      <c r="FS1" s="286"/>
      <c r="FT1" s="287"/>
      <c r="FU1" s="285" t="str">
        <f>IF('Données projet'!$B$17="","",'Données projet'!$B$17)</f>
        <v/>
      </c>
      <c r="FV1" s="286"/>
      <c r="FW1" s="286"/>
      <c r="FX1" s="286"/>
      <c r="FY1" s="286"/>
      <c r="FZ1" s="286"/>
      <c r="GA1" s="286"/>
      <c r="GB1" s="286"/>
      <c r="GC1" s="286"/>
      <c r="GD1" s="286"/>
      <c r="GE1" s="286"/>
      <c r="GF1" s="286"/>
      <c r="GG1" s="286"/>
      <c r="GH1" s="286"/>
      <c r="GI1" s="286"/>
      <c r="GJ1" s="286"/>
      <c r="GK1" s="286"/>
      <c r="GL1" s="286"/>
      <c r="GM1" s="286"/>
      <c r="GN1" s="286"/>
      <c r="GO1" s="287"/>
      <c r="GP1" s="285" t="str">
        <f>IF('Données projet'!$B$18="","",'Données projet'!$B$18)</f>
        <v/>
      </c>
      <c r="GQ1" s="286"/>
      <c r="GR1" s="286"/>
      <c r="GS1" s="286"/>
      <c r="GT1" s="286"/>
      <c r="GU1" s="286"/>
      <c r="GV1" s="286"/>
      <c r="GW1" s="286"/>
      <c r="GX1" s="286"/>
      <c r="GY1" s="286"/>
      <c r="GZ1" s="286"/>
      <c r="HA1" s="286"/>
      <c r="HB1" s="286"/>
      <c r="HC1" s="286"/>
      <c r="HD1" s="286"/>
      <c r="HE1" s="286"/>
      <c r="HF1" s="286"/>
      <c r="HG1" s="286"/>
      <c r="HH1" s="286"/>
      <c r="HI1" s="286"/>
      <c r="HJ1" s="28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270.18797004581819</v>
      </c>
      <c r="T3" s="59">
        <f>IF('Données projet'!E9&gt;30,$R$33-$H$33,LOOKUP('Données projet'!$E$9,$A$3:$A$203,R3:R203)-LOOKUP('Données projet'!$E$9,$A$3:$A$203,$H$3:$H$203))</f>
        <v>246.88276293504617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374.01259415112554</v>
      </c>
      <c r="AO3" s="59">
        <f>IF('Données projet'!E10&gt;30,$AM$33-$H$33,LOOKUP('Données projet'!$E$10,$A$3:$A$203,AM3:AM203)-LOOKUP('Données projet'!$E$10,$A$3:$A$203,$H$3:$H$203))</f>
        <v>244.5696433180579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252.20412072815043</v>
      </c>
      <c r="BJ3" s="59">
        <f>IF('Données projet'!E11&gt;30,$BH$33-$H$33,LOOKUP('Données projet'!$E$11,$A$3:$A$203,BH3:BH203)-LOOKUP('Données projet'!$E$11,$A$3:$A$203,$H$3:$H$203))</f>
        <v>208.19930959443013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0.19562399999999999</v>
      </c>
      <c r="D4" s="11">
        <f>IFERROR(EXP(-1.0587+0.8836*LN(C4)+0.284),0)</f>
        <v>0.10900656720666184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0.51733752465973437</v>
      </c>
      <c r="H4" s="67">
        <f t="shared" ref="H4:H67" si="1">(B4+E4+F4)*44/12+(C4+D4)*0.475*44/12</f>
        <v>257.19723157121831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7.2264102564102561</v>
      </c>
      <c r="N4" s="13">
        <f>IF('Données projet'!$A$36&gt;35,N3+M4-V3,IF(A4&lt;'Données projet'!$A$36,$K$205^A4,IF(A4='Données projet'!$A$36,'Données projet'!$B$36,N3+M4-V3)))</f>
        <v>1.1963772029987372</v>
      </c>
      <c r="O4" s="13">
        <f>N4*VLOOKUP('Données projet'!$B$9,Paramètres!$A$1:$I$89,3,0)*VLOOKUP('Données projet'!$B$9,Paramètres!$A$1:$I$89,5,0)</f>
        <v>0.55990453100340898</v>
      </c>
      <c r="P4" s="13">
        <f>EXP(-1.0587+0.8836*LN(O4)+0.284)</f>
        <v>0.2760486193577778</v>
      </c>
      <c r="Q4" s="20">
        <f t="shared" ref="Q4:Q34" si="2">(O4+P4)*0.475*44/12</f>
        <v>1.4559517368790669</v>
      </c>
      <c r="R4" s="59">
        <f t="shared" si="0"/>
        <v>259.34484062576792</v>
      </c>
      <c r="S4" s="59">
        <f ca="1">AVERAGE(OFFSET($R$3,0,0,'Données projet'!$E$9+1,1))-AVERAGE(OFFSET($H$3,0,0,'Données projet'!$E$9+1,1))</f>
        <v>270.18797004581819</v>
      </c>
      <c r="T4" s="59">
        <f>$T$3</f>
        <v>246.88276293504617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1.9333333333333333</v>
      </c>
      <c r="AI4" s="13">
        <f>IF('Données projet'!$A$62&gt;35,AI3+AH4-AQ3,IF(A4&lt;'Données projet'!$A$62,$AF$205^A4,IF(A4='Données projet'!$A$62,'Données projet'!$B$62,AI3+AH4-AQ3)))</f>
        <v>1.2516796742016716</v>
      </c>
      <c r="AJ4" s="13">
        <f>AI4*VLOOKUP('Données projet'!$B$10,Paramètres!$A$1:$I$89,3,0)*VLOOKUP('Données projet'!$B$10,Paramètres!$A$1:$I$89,5,0)</f>
        <v>1.2692031896404952</v>
      </c>
      <c r="AK4" s="13">
        <f>EXP(-1.0587+0.8836*LN(AJ4)+0.284)</f>
        <v>0.56889510023213452</v>
      </c>
      <c r="AL4" s="20">
        <f t="shared" ref="AL4:AL67" si="4">(AJ4+AK4)*0.475*44/12</f>
        <v>3.2013545215281631</v>
      </c>
      <c r="AM4" s="59">
        <f t="shared" ref="AM4:AM67" si="5">AL4+(AD4+AE4)*44/12</f>
        <v>261.09024341041703</v>
      </c>
      <c r="AN4" s="59">
        <f ca="1">AVERAGE(OFFSET($AM$3,0,0,'Données projet'!$E$10+1,1))-AVERAGE(OFFSET($H$3,0,0,'Données projet'!$E$10+1,1))</f>
        <v>374.01259415112554</v>
      </c>
      <c r="AO4" s="59">
        <f>$AO$3</f>
        <v>244.5696433180579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2.8</v>
      </c>
      <c r="BD4" s="12">
        <f>IF('Données projet'!$A$88&gt;35,BD3+BC4-BL3,IF(A4&lt;'Données projet'!$A$88,$BA$205^A4,IF(A4='Données projet'!$A$88,'Données projet'!$B$88,BD3+BC4-BL3)))</f>
        <v>1.282970348825361</v>
      </c>
      <c r="BE4" s="13">
        <f>BD4*VLOOKUP('Données projet'!$B$11,Paramètres!$A$1:$I$89,3,0)*VLOOKUP('Données projet'!$B$11,Paramètres!$A$1:$I$89,5,0)</f>
        <v>1.040745546967133</v>
      </c>
      <c r="BF4" s="13">
        <f>EXP(-1.0587+0.8836*LN(BE4)+0.284)</f>
        <v>0.47739483859767334</v>
      </c>
      <c r="BG4" s="20">
        <f t="shared" ref="BG4:BG67" si="7">(BE4+BF4)*0.475*44/12</f>
        <v>2.6440945048587046</v>
      </c>
      <c r="BH4" s="59">
        <f t="shared" ref="BH4:BH67" si="8">BG4+(AY4+AZ4)*44/12</f>
        <v>260.53298339374754</v>
      </c>
      <c r="BI4" s="59">
        <f ca="1">AVERAGE(OFFSET($BH$3,0,0,'Données projet'!$E$11+1,1))-AVERAGE(OFFSET($H$3,0,0,'Données projet'!$E$11+1,1))</f>
        <v>252.20412072815043</v>
      </c>
      <c r="BJ4" s="59">
        <f>$BJ$3</f>
        <v>208.19930959443013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0.39124799999999998</v>
      </c>
      <c r="D5" s="11">
        <f t="shared" ref="D5:D68" si="32">IFERROR(EXP(-1.0587+0.8836*LN(C5)+0.284),0)</f>
        <v>0.20111421464868731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1.0059765329472443</v>
      </c>
      <c r="H5" s="67">
        <f t="shared" si="1"/>
        <v>257.69836419051313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7.2264102564102561</v>
      </c>
      <c r="N5" s="13">
        <f>IF('Données projet'!$A$36&gt;35,N4+M5-V4,IF(A5&lt;'Données projet'!$A$36,$K$205^A5,IF(A5='Données projet'!$A$36,'Données projet'!$B$36,N4+M5-V4)))</f>
        <v>1.4313184118550817</v>
      </c>
      <c r="O5" s="13">
        <f>N5*VLOOKUP('Données projet'!$B$9,Paramètres!$A$1:$I$89,3,0)*VLOOKUP('Données projet'!$B$9,Paramètres!$A$1:$I$89,5,0)</f>
        <v>0.66985701674817832</v>
      </c>
      <c r="P5" s="13">
        <f t="shared" ref="P5:P68" si="33">EXP(-1.0587+0.8836*LN(O5)+0.284)</f>
        <v>0.32343711768198868</v>
      </c>
      <c r="Q5" s="20">
        <f t="shared" si="2"/>
        <v>1.729987284132541</v>
      </c>
      <c r="R5" s="59">
        <f t="shared" si="0"/>
        <v>260.8410983952437</v>
      </c>
      <c r="S5" s="59">
        <f ca="1">AVERAGE(OFFSET($R$3,0,0,'Données projet'!$E$9+1,1))-AVERAGE(OFFSET($H$3,0,0,'Données projet'!$E$9+1,1))</f>
        <v>270.18797004581819</v>
      </c>
      <c r="T5" s="59">
        <f t="shared" ref="T5:T68" si="34">$T$3</f>
        <v>246.88276293504617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1.9333333333333333</v>
      </c>
      <c r="AI5" s="13">
        <f>IF('Données projet'!$A$62&gt;35,AI4+AH5-AQ4,IF(A5&lt;'Données projet'!$A$62,$AF$205^A5,IF(A5='Données projet'!$A$62,'Données projet'!$B$62,AI4+AH5-AQ4)))</f>
        <v>1.5667020068096027</v>
      </c>
      <c r="AJ5" s="13">
        <f>AI5*VLOOKUP('Données projet'!$B$10,Paramètres!$A$1:$I$89,3,0)*VLOOKUP('Données projet'!$B$10,Paramètres!$A$1:$I$89,5,0)</f>
        <v>1.5886358349049372</v>
      </c>
      <c r="AK5" s="13">
        <f t="shared" ref="AK5:AK68" si="35">EXP(-1.0587+0.8836*LN(AJ5)+0.284)</f>
        <v>0.69370876956688587</v>
      </c>
      <c r="AL5" s="20">
        <f t="shared" si="4"/>
        <v>3.975083519455092</v>
      </c>
      <c r="AM5" s="59">
        <f t="shared" si="5"/>
        <v>263.08619463056624</v>
      </c>
      <c r="AN5" s="59">
        <f ca="1">AVERAGE(OFFSET($AM$3,0,0,'Données projet'!$E$10+1,1))-AVERAGE(OFFSET($H$3,0,0,'Données projet'!$E$10+1,1))</f>
        <v>374.01259415112554</v>
      </c>
      <c r="AO5" s="59">
        <f t="shared" ref="AO5:AO68" si="36">$AO$3</f>
        <v>244.5696433180579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2.8</v>
      </c>
      <c r="BD5" s="12">
        <f>IF('Données projet'!$A$88&gt;35,BD4+BC5-BL4,IF(A5&lt;'Données projet'!$A$88,$BA$205^A5,IF(A5='Données projet'!$A$88,'Données projet'!$B$88,BD4+BC5-BL4)))</f>
        <v>1.6460129159650685</v>
      </c>
      <c r="BE5" s="13">
        <f>BD5*VLOOKUP('Données projet'!$B$11,Paramètres!$A$1:$I$89,3,0)*VLOOKUP('Données projet'!$B$11,Paramètres!$A$1:$I$89,5,0)</f>
        <v>1.3352456774308636</v>
      </c>
      <c r="BF5" s="13">
        <f t="shared" ref="BF5:BF68" si="37">EXP(-1.0587+0.8836*LN(BE5)+0.284)</f>
        <v>0.59497391287501122</v>
      </c>
      <c r="BG5" s="20">
        <f t="shared" si="7"/>
        <v>3.3617991197827322</v>
      </c>
      <c r="BH5" s="59">
        <f t="shared" si="8"/>
        <v>262.47291023089389</v>
      </c>
      <c r="BI5" s="59">
        <f ca="1">AVERAGE(OFFSET($BH$3,0,0,'Données projet'!$E$11+1,1))-AVERAGE(OFFSET($H$3,0,0,'Données projet'!$E$11+1,1))</f>
        <v>252.20412072815043</v>
      </c>
      <c r="BJ5" s="59">
        <f t="shared" ref="BJ5:BJ68" si="38">$BJ$3</f>
        <v>208.19930959443013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0.58687199999999995</v>
      </c>
      <c r="D6" s="11">
        <f t="shared" si="32"/>
        <v>0.28776435927944277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1.4853473610219308</v>
      </c>
      <c r="H6" s="67">
        <f t="shared" si="1"/>
        <v>258.18999165907837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7.2264102564102561</v>
      </c>
      <c r="N6" s="13">
        <f>IF('Données projet'!$A$36&gt;35,N5+M6-V5,IF(A6&lt;'Données projet'!$A$36,$K$205^A6,IF(A6='Données projet'!$A$36,'Données projet'!$B$36,N5+M6-V5)))</f>
        <v>1.7123967181757771</v>
      </c>
      <c r="O6" s="13">
        <f>N6*VLOOKUP('Données projet'!$B$9,Paramètres!$A$1:$I$89,3,0)*VLOOKUP('Données projet'!$B$9,Paramètres!$A$1:$I$89,5,0)</f>
        <v>0.80140166410626379</v>
      </c>
      <c r="P6" s="13">
        <f t="shared" si="33"/>
        <v>0.37896066764546593</v>
      </c>
      <c r="Q6" s="20">
        <f t="shared" si="2"/>
        <v>2.0557977278009294</v>
      </c>
      <c r="R6" s="59">
        <f t="shared" si="0"/>
        <v>262.38913106113426</v>
      </c>
      <c r="S6" s="59">
        <f ca="1">AVERAGE(OFFSET($R$3,0,0,'Données projet'!$E$9+1,1))-AVERAGE(OFFSET($H$3,0,0,'Données projet'!$E$9+1,1))</f>
        <v>270.18797004581819</v>
      </c>
      <c r="T6" s="59">
        <f t="shared" si="34"/>
        <v>246.88276293504617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1.9333333333333333</v>
      </c>
      <c r="AI6" s="13">
        <f>IF('Données projet'!$A$62&gt;35,AI5+AH6-AQ5,IF(A6&lt;'Données projet'!$A$62,$AF$205^A6,IF(A6='Données projet'!$A$62,'Données projet'!$B$62,AI5+AH6-AQ5)))</f>
        <v>1.9610090574545487</v>
      </c>
      <c r="AJ6" s="13">
        <f>AI6*VLOOKUP('Données projet'!$B$10,Paramètres!$A$1:$I$89,3,0)*VLOOKUP('Données projet'!$B$10,Paramètres!$A$1:$I$89,5,0)</f>
        <v>1.9884631842589127</v>
      </c>
      <c r="AK6" s="13">
        <f t="shared" si="35"/>
        <v>0.84590613766516665</v>
      </c>
      <c r="AL6" s="20">
        <f t="shared" si="4"/>
        <v>4.9365265690177713</v>
      </c>
      <c r="AM6" s="59">
        <f t="shared" si="5"/>
        <v>265.26985990235107</v>
      </c>
      <c r="AN6" s="59">
        <f ca="1">AVERAGE(OFFSET($AM$3,0,0,'Données projet'!$E$10+1,1))-AVERAGE(OFFSET($H$3,0,0,'Données projet'!$E$10+1,1))</f>
        <v>374.01259415112554</v>
      </c>
      <c r="AO6" s="59">
        <f t="shared" si="36"/>
        <v>244.5696433180579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2.8</v>
      </c>
      <c r="BD6" s="12">
        <f>IF('Données projet'!$A$88&gt;35,BD5+BC6-BL5,IF(A6&lt;'Données projet'!$A$88,$BA$205^A6,IF(A6='Données projet'!$A$88,'Données projet'!$B$88,BD5+BC6-BL5)))</f>
        <v>2.1117857649667533</v>
      </c>
      <c r="BE6" s="13">
        <f>BD6*VLOOKUP('Données projet'!$B$11,Paramètres!$A$1:$I$89,3,0)*VLOOKUP('Données projet'!$B$11,Paramètres!$A$1:$I$89,5,0)</f>
        <v>1.7130806125410305</v>
      </c>
      <c r="BF6" s="13">
        <f t="shared" si="37"/>
        <v>0.74151190666753608</v>
      </c>
      <c r="BG6" s="20">
        <f t="shared" si="7"/>
        <v>4.2750819709549202</v>
      </c>
      <c r="BH6" s="59">
        <f t="shared" si="8"/>
        <v>264.60841530428826</v>
      </c>
      <c r="BI6" s="59">
        <f ca="1">AVERAGE(OFFSET($BH$3,0,0,'Données projet'!$E$11+1,1))-AVERAGE(OFFSET($H$3,0,0,'Données projet'!$E$11+1,1))</f>
        <v>252.20412072815043</v>
      </c>
      <c r="BJ6" s="59">
        <f t="shared" si="38"/>
        <v>208.19930959443013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0.78249599999999997</v>
      </c>
      <c r="D7" s="11">
        <f t="shared" si="32"/>
        <v>0.37105037219524872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1.9590050671666681</v>
      </c>
      <c r="H7" s="67">
        <f t="shared" si="1"/>
        <v>258.6757599315734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7.2264102564102561</v>
      </c>
      <c r="N7" s="13">
        <f>IF('Données projet'!$A$36&gt;35,N6+M7-V6,IF(A7&lt;'Données projet'!$A$36,$K$205^A7,IF(A7='Données projet'!$A$36,'Données projet'!$B$36,N6+M7-V6)))</f>
        <v>2.0486723961153532</v>
      </c>
      <c r="O7" s="13">
        <f>N7*VLOOKUP('Données projet'!$B$9,Paramètres!$A$1:$I$89,3,0)*VLOOKUP('Données projet'!$B$9,Paramètres!$A$1:$I$89,5,0)</f>
        <v>0.95877868138198519</v>
      </c>
      <c r="P7" s="13">
        <f t="shared" si="33"/>
        <v>0.44401579092570115</v>
      </c>
      <c r="Q7" s="20">
        <f t="shared" si="2"/>
        <v>2.4432003726025537</v>
      </c>
      <c r="R7" s="59">
        <f t="shared" si="0"/>
        <v>263.99875592815812</v>
      </c>
      <c r="S7" s="59">
        <f ca="1">AVERAGE(OFFSET($R$3,0,0,'Données projet'!$E$9+1,1))-AVERAGE(OFFSET($H$3,0,0,'Données projet'!$E$9+1,1))</f>
        <v>270.18797004581819</v>
      </c>
      <c r="T7" s="59">
        <f t="shared" si="34"/>
        <v>246.88276293504617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1.9333333333333333</v>
      </c>
      <c r="AI7" s="13">
        <f>IF('Données projet'!$A$62&gt;35,AI6+AH7-AQ6,IF(A7&lt;'Données projet'!$A$62,$AF$205^A7,IF(A7='Données projet'!$A$62,'Données projet'!$B$62,AI6+AH7-AQ6)))</f>
        <v>2.4545551781412365</v>
      </c>
      <c r="AJ7" s="13">
        <f>AI7*VLOOKUP('Données projet'!$B$10,Paramètres!$A$1:$I$89,3,0)*VLOOKUP('Données projet'!$B$10,Paramètres!$A$1:$I$89,5,0)</f>
        <v>2.4889189506352136</v>
      </c>
      <c r="AK7" s="13">
        <f t="shared" si="35"/>
        <v>1.0314950958258102</v>
      </c>
      <c r="AL7" s="20">
        <f t="shared" si="4"/>
        <v>6.1313877975862825</v>
      </c>
      <c r="AM7" s="59">
        <f t="shared" si="5"/>
        <v>267.68694335314183</v>
      </c>
      <c r="AN7" s="59">
        <f ca="1">AVERAGE(OFFSET($AM$3,0,0,'Données projet'!$E$10+1,1))-AVERAGE(OFFSET($H$3,0,0,'Données projet'!$E$10+1,1))</f>
        <v>374.01259415112554</v>
      </c>
      <c r="AO7" s="59">
        <f t="shared" si="36"/>
        <v>244.5696433180579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2.8</v>
      </c>
      <c r="BD7" s="12">
        <f>IF('Données projet'!$A$88&gt;35,BD6+BC7-BL6,IF(A7&lt;'Données projet'!$A$88,$BA$205^A7,IF(A7='Données projet'!$A$88,'Données projet'!$B$88,BD6+BC7-BL6)))</f>
        <v>2.7093585195238274</v>
      </c>
      <c r="BE7" s="13">
        <f>BD7*VLOOKUP('Données projet'!$B$11,Paramètres!$A$1:$I$89,3,0)*VLOOKUP('Données projet'!$B$11,Paramètres!$A$1:$I$89,5,0)</f>
        <v>2.197831631037729</v>
      </c>
      <c r="BF7" s="13">
        <f t="shared" si="37"/>
        <v>0.92414120322151361</v>
      </c>
      <c r="BG7" s="20">
        <f t="shared" si="7"/>
        <v>5.4374360196681799</v>
      </c>
      <c r="BH7" s="59">
        <f t="shared" si="8"/>
        <v>266.9929915752237</v>
      </c>
      <c r="BI7" s="59">
        <f ca="1">AVERAGE(OFFSET($BH$3,0,0,'Données projet'!$E$11+1,1))-AVERAGE(OFFSET($H$3,0,0,'Données projet'!$E$11+1,1))</f>
        <v>252.20412072815043</v>
      </c>
      <c r="BJ7" s="59">
        <f t="shared" si="38"/>
        <v>208.19930959443013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0.97811999999999999</v>
      </c>
      <c r="D8" s="11">
        <f t="shared" si="32"/>
        <v>0.45192103780219955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2.4285609203377709</v>
      </c>
      <c r="H8" s="67">
        <f t="shared" si="1"/>
        <v>259.15732147417219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7.2264102564102561</v>
      </c>
      <c r="N8" s="13">
        <f>IF('Données projet'!$A$36&gt;35,N7+M8-V7,IF(A8&lt;'Données projet'!$A$36,$K$205^A8,IF(A8='Données projet'!$A$36,'Données projet'!$B$36,N7+M8-V7)))</f>
        <v>2.4509849511252071</v>
      </c>
      <c r="O8" s="13">
        <f>N8*VLOOKUP('Données projet'!$B$9,Paramètres!$A$1:$I$89,3,0)*VLOOKUP('Données projet'!$B$9,Paramètres!$A$1:$I$89,5,0)</f>
        <v>1.1470609571265968</v>
      </c>
      <c r="P8" s="13">
        <f t="shared" si="33"/>
        <v>0.52023874619045773</v>
      </c>
      <c r="Q8" s="20">
        <f t="shared" si="2"/>
        <v>2.9038803166105365</v>
      </c>
      <c r="R8" s="59">
        <f t="shared" si="0"/>
        <v>265.6816580943883</v>
      </c>
      <c r="S8" s="59">
        <f ca="1">AVERAGE(OFFSET($R$3,0,0,'Données projet'!$E$9+1,1))-AVERAGE(OFFSET($H$3,0,0,'Données projet'!$E$9+1,1))</f>
        <v>270.18797004581819</v>
      </c>
      <c r="T8" s="59">
        <f t="shared" si="34"/>
        <v>246.88276293504617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1.9333333333333333</v>
      </c>
      <c r="AI8" s="13">
        <f>IF('Données projet'!$A$62&gt;35,AI7+AH8-AQ7,IF(A8&lt;'Données projet'!$A$62,$AF$205^A8,IF(A8='Données projet'!$A$62,'Données projet'!$B$62,AI7+AH8-AQ7)))</f>
        <v>3.0723168256858489</v>
      </c>
      <c r="AJ8" s="13">
        <f>AI8*VLOOKUP('Données projet'!$B$10,Paramètres!$A$1:$I$89,3,0)*VLOOKUP('Données projet'!$B$10,Paramètres!$A$1:$I$89,5,0)</f>
        <v>3.1153292612454506</v>
      </c>
      <c r="AK8" s="13">
        <f t="shared" si="35"/>
        <v>1.2578016464680761</v>
      </c>
      <c r="AL8" s="20">
        <f t="shared" si="4"/>
        <v>7.6165363309343936</v>
      </c>
      <c r="AM8" s="59">
        <f t="shared" si="5"/>
        <v>270.39431410871214</v>
      </c>
      <c r="AN8" s="59">
        <f ca="1">AVERAGE(OFFSET($AM$3,0,0,'Données projet'!$E$10+1,1))-AVERAGE(OFFSET($H$3,0,0,'Données projet'!$E$10+1,1))</f>
        <v>374.01259415112554</v>
      </c>
      <c r="AO8" s="59">
        <f t="shared" si="36"/>
        <v>244.5696433180579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2.8</v>
      </c>
      <c r="BD8" s="12">
        <f>IF('Données projet'!$A$88&gt;35,BD7+BC8-BL7,IF(A8&lt;'Données projet'!$A$88,$BA$205^A8,IF(A8='Données projet'!$A$88,'Données projet'!$B$88,BD7+BC8-BL7)))</f>
        <v>3.4760266448864483</v>
      </c>
      <c r="BE8" s="13">
        <f>BD8*VLOOKUP('Données projet'!$B$11,Paramètres!$A$1:$I$89,3,0)*VLOOKUP('Données projet'!$B$11,Paramètres!$A$1:$I$89,5,0)</f>
        <v>2.8197528143318871</v>
      </c>
      <c r="BF8" s="13">
        <f t="shared" si="37"/>
        <v>1.1517508428554772</v>
      </c>
      <c r="BG8" s="20">
        <f t="shared" si="7"/>
        <v>6.9170355362679921</v>
      </c>
      <c r="BH8" s="59">
        <f t="shared" si="8"/>
        <v>269.69481331404575</v>
      </c>
      <c r="BI8" s="59">
        <f ca="1">AVERAGE(OFFSET($BH$3,0,0,'Données projet'!$E$11+1,1))-AVERAGE(OFFSET($H$3,0,0,'Données projet'!$E$11+1,1))</f>
        <v>252.20412072815043</v>
      </c>
      <c r="BJ8" s="59">
        <f t="shared" si="38"/>
        <v>208.19930959443013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1.1737439999999999</v>
      </c>
      <c r="D9" s="11">
        <f t="shared" si="32"/>
        <v>0.53091758233838715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2.8949340556202787</v>
      </c>
      <c r="H9" s="67">
        <f t="shared" si="1"/>
        <v>259.63561892257269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7.2264102564102561</v>
      </c>
      <c r="N9" s="13">
        <f>IF('Données projet'!$A$36&gt;35,N8+M9-V8,IF(A9&lt;'Données projet'!$A$36,$K$205^A9,IF(A9='Données projet'!$A$36,'Données projet'!$B$36,N8+M9-V8)))</f>
        <v>2.9323025204191722</v>
      </c>
      <c r="O9" s="13">
        <f>N9*VLOOKUP('Données projet'!$B$9,Paramètres!$A$1:$I$89,3,0)*VLOOKUP('Données projet'!$B$9,Paramètres!$A$1:$I$89,5,0)</f>
        <v>1.3723175795561726</v>
      </c>
      <c r="P9" s="13">
        <f t="shared" si="33"/>
        <v>0.60954668407977464</v>
      </c>
      <c r="Q9" s="20">
        <f t="shared" si="2"/>
        <v>3.4517469258326074</v>
      </c>
      <c r="R9" s="59">
        <f t="shared" si="0"/>
        <v>267.45174692583259</v>
      </c>
      <c r="S9" s="59">
        <f ca="1">AVERAGE(OFFSET($R$3,0,0,'Données projet'!$E$9+1,1))-AVERAGE(OFFSET($H$3,0,0,'Données projet'!$E$9+1,1))</f>
        <v>270.18797004581819</v>
      </c>
      <c r="T9" s="59">
        <f t="shared" si="34"/>
        <v>246.88276293504617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1.9333333333333333</v>
      </c>
      <c r="AI9" s="13">
        <f>IF('Données projet'!$A$62&gt;35,AI8+AH9-AQ8,IF(A9&lt;'Données projet'!$A$62,$AF$205^A9,IF(A9='Données projet'!$A$62,'Données projet'!$B$62,AI8+AH9-AQ8)))</f>
        <v>3.845556523418777</v>
      </c>
      <c r="AJ9" s="13">
        <f>AI9*VLOOKUP('Données projet'!$B$10,Paramètres!$A$1:$I$89,3,0)*VLOOKUP('Données projet'!$B$10,Paramètres!$A$1:$I$89,5,0)</f>
        <v>3.8993943147466403</v>
      </c>
      <c r="AK9" s="13">
        <f t="shared" si="35"/>
        <v>1.5337590922729583</v>
      </c>
      <c r="AL9" s="20">
        <f t="shared" si="4"/>
        <v>9.4627421838924661</v>
      </c>
      <c r="AM9" s="59">
        <f t="shared" si="5"/>
        <v>273.46274218389249</v>
      </c>
      <c r="AN9" s="59">
        <f ca="1">AVERAGE(OFFSET($AM$3,0,0,'Données projet'!$E$10+1,1))-AVERAGE(OFFSET($H$3,0,0,'Données projet'!$E$10+1,1))</f>
        <v>374.01259415112554</v>
      </c>
      <c r="AO9" s="59">
        <f t="shared" si="36"/>
        <v>244.5696433180579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2.8</v>
      </c>
      <c r="BD9" s="12">
        <f>IF('Données projet'!$A$88&gt;35,BD8+BC9-BL8,IF(A9&lt;'Données projet'!$A$88,$BA$205^A9,IF(A9='Données projet'!$A$88,'Données projet'!$B$88,BD8+BC9-BL8)))</f>
        <v>4.4596391171162164</v>
      </c>
      <c r="BE9" s="13">
        <f>BD9*VLOOKUP('Données projet'!$B$11,Paramètres!$A$1:$I$89,3,0)*VLOOKUP('Données projet'!$B$11,Paramètres!$A$1:$I$89,5,0)</f>
        <v>3.6176592518046751</v>
      </c>
      <c r="BF9" s="13">
        <f t="shared" si="37"/>
        <v>1.4354191755481527</v>
      </c>
      <c r="BG9" s="20">
        <f t="shared" si="7"/>
        <v>8.8007782609728427</v>
      </c>
      <c r="BH9" s="59">
        <f t="shared" si="8"/>
        <v>272.80077826097283</v>
      </c>
      <c r="BI9" s="59">
        <f ca="1">AVERAGE(OFFSET($BH$3,0,0,'Données projet'!$E$11+1,1))-AVERAGE(OFFSET($H$3,0,0,'Données projet'!$E$11+1,1))</f>
        <v>252.20412072815043</v>
      </c>
      <c r="BJ9" s="59">
        <f t="shared" si="38"/>
        <v>208.19930959443013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1.3693679999999999</v>
      </c>
      <c r="D10" s="11">
        <f t="shared" si="32"/>
        <v>0.60838891343269175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3.358717003864641</v>
      </c>
      <c r="H10" s="67">
        <f t="shared" si="1"/>
        <v>260.11125995756197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7.2264102564102561</v>
      </c>
      <c r="N10" s="13">
        <f>IF('Données projet'!$A$36&gt;35,N9+M10-V9,IF(A10&lt;'Données projet'!$A$36,$K$205^A10,IF(A10='Données projet'!$A$36,'Données projet'!$B$36,N9+M10-V9)))</f>
        <v>3.5081398877252363</v>
      </c>
      <c r="O10" s="13">
        <f>N10*VLOOKUP('Données projet'!$B$9,Paramètres!$A$1:$I$89,3,0)*VLOOKUP('Données projet'!$B$9,Paramètres!$A$1:$I$89,5,0)</f>
        <v>1.6418094674554107</v>
      </c>
      <c r="P10" s="13">
        <f t="shared" si="33"/>
        <v>0.71418586714920729</v>
      </c>
      <c r="Q10" s="20">
        <f t="shared" si="2"/>
        <v>4.1033585411030424</v>
      </c>
      <c r="R10" s="59">
        <f t="shared" si="0"/>
        <v>269.32558076332526</v>
      </c>
      <c r="S10" s="59">
        <f ca="1">AVERAGE(OFFSET($R$3,0,0,'Données projet'!$E$9+1,1))-AVERAGE(OFFSET($H$3,0,0,'Données projet'!$E$9+1,1))</f>
        <v>270.18797004581819</v>
      </c>
      <c r="T10" s="59">
        <f t="shared" si="34"/>
        <v>246.88276293504617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1.9333333333333333</v>
      </c>
      <c r="AI10" s="13">
        <f>IF('Données projet'!$A$62&gt;35,AI9+AH10-AQ9,IF(A10&lt;'Données projet'!$A$62,$AF$205^A10,IF(A10='Données projet'!$A$62,'Données projet'!$B$62,AI9+AH10-AQ9)))</f>
        <v>4.8134049363569282</v>
      </c>
      <c r="AJ10" s="13">
        <f>AI10*VLOOKUP('Données projet'!$B$10,Paramètres!$A$1:$I$89,3,0)*VLOOKUP('Données projet'!$B$10,Paramètres!$A$1:$I$89,5,0)</f>
        <v>4.8807926054659259</v>
      </c>
      <c r="AK10" s="13">
        <f t="shared" si="35"/>
        <v>1.8702606724483051</v>
      </c>
      <c r="AL10" s="20">
        <f t="shared" si="4"/>
        <v>11.758084459033951</v>
      </c>
      <c r="AM10" s="59">
        <f t="shared" si="5"/>
        <v>276.9803066812562</v>
      </c>
      <c r="AN10" s="59">
        <f ca="1">AVERAGE(OFFSET($AM$3,0,0,'Données projet'!$E$10+1,1))-AVERAGE(OFFSET($H$3,0,0,'Données projet'!$E$10+1,1))</f>
        <v>374.01259415112554</v>
      </c>
      <c r="AO10" s="59">
        <f t="shared" si="36"/>
        <v>244.5696433180579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2.8</v>
      </c>
      <c r="BD10" s="12">
        <f>IF('Données projet'!$A$88&gt;35,BD9+BC10-BL9,IF(A10&lt;'Données projet'!$A$88,$BA$205^A10,IF(A10='Données projet'!$A$88,'Données projet'!$B$88,BD9+BC10-BL9)))</f>
        <v>5.7215847537218165</v>
      </c>
      <c r="BE10" s="13">
        <f>BD10*VLOOKUP('Données projet'!$B$11,Paramètres!$A$1:$I$89,3,0)*VLOOKUP('Données projet'!$B$11,Paramètres!$A$1:$I$89,5,0)</f>
        <v>4.6413495522191379</v>
      </c>
      <c r="BF10" s="13">
        <f t="shared" si="37"/>
        <v>1.7889530728912018</v>
      </c>
      <c r="BG10" s="20">
        <f t="shared" si="7"/>
        <v>11.199443738733841</v>
      </c>
      <c r="BH10" s="59">
        <f t="shared" si="8"/>
        <v>276.42166596095609</v>
      </c>
      <c r="BI10" s="59">
        <f ca="1">AVERAGE(OFFSET($BH$3,0,0,'Données projet'!$E$11+1,1))-AVERAGE(OFFSET($H$3,0,0,'Données projet'!$E$11+1,1))</f>
        <v>252.20412072815043</v>
      </c>
      <c r="BJ10" s="59">
        <f t="shared" si="38"/>
        <v>208.19930959443013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1.5649919999999999</v>
      </c>
      <c r="D11" s="11">
        <f t="shared" si="32"/>
        <v>0.68457805902349333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3.8203224862013005</v>
      </c>
      <c r="H11" s="67">
        <f t="shared" si="1"/>
        <v>260.58466785279927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7.2264102564102561</v>
      </c>
      <c r="N11" s="13">
        <f>IF('Données projet'!$A$36&gt;35,N10+M11-V10,IF(A11&lt;'Données projet'!$A$36,$K$205^A11,IF(A11='Données projet'!$A$36,'Données projet'!$B$36,N10+M11-V10)))</f>
        <v>4.1970585866050225</v>
      </c>
      <c r="O11" s="13">
        <f>N11*VLOOKUP('Données projet'!$B$9,Paramètres!$A$1:$I$89,3,0)*VLOOKUP('Données projet'!$B$9,Paramètres!$A$1:$I$89,5,0)</f>
        <v>1.9642234185311505</v>
      </c>
      <c r="P11" s="13">
        <f t="shared" si="33"/>
        <v>0.83678816759654573</v>
      </c>
      <c r="Q11" s="20">
        <f t="shared" si="2"/>
        <v>4.8784285125057369</v>
      </c>
      <c r="R11" s="59">
        <f t="shared" si="0"/>
        <v>271.32287295695022</v>
      </c>
      <c r="S11" s="59">
        <f ca="1">AVERAGE(OFFSET($R$3,0,0,'Données projet'!$E$9+1,1))-AVERAGE(OFFSET($H$3,0,0,'Données projet'!$E$9+1,1))</f>
        <v>270.18797004581819</v>
      </c>
      <c r="T11" s="59">
        <f t="shared" si="34"/>
        <v>246.88276293504617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1.9333333333333333</v>
      </c>
      <c r="AI11" s="13">
        <f>IF('Données projet'!$A$62&gt;35,AI10+AH11-AQ10,IF(A11&lt;'Données projet'!$A$62,$AF$205^A11,IF(A11='Données projet'!$A$62,'Données projet'!$B$62,AI10+AH11-AQ10)))</f>
        <v>6.0248411225399572</v>
      </c>
      <c r="AJ11" s="13">
        <f>AI11*VLOOKUP('Données projet'!$B$10,Paramètres!$A$1:$I$89,3,0)*VLOOKUP('Données projet'!$B$10,Paramètres!$A$1:$I$89,5,0)</f>
        <v>6.1091888982555176</v>
      </c>
      <c r="AK11" s="13">
        <f t="shared" si="35"/>
        <v>2.2805895662030604</v>
      </c>
      <c r="AL11" s="20">
        <f t="shared" si="4"/>
        <v>14.612197492265354</v>
      </c>
      <c r="AM11" s="59">
        <f t="shared" si="5"/>
        <v>281.05664193670981</v>
      </c>
      <c r="AN11" s="59">
        <f ca="1">AVERAGE(OFFSET($AM$3,0,0,'Données projet'!$E$10+1,1))-AVERAGE(OFFSET($H$3,0,0,'Données projet'!$E$10+1,1))</f>
        <v>374.01259415112554</v>
      </c>
      <c r="AO11" s="59">
        <f t="shared" si="36"/>
        <v>244.5696433180579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2.8</v>
      </c>
      <c r="BD11" s="12">
        <f>IF('Données projet'!$A$88&gt;35,BD10+BC11-BL10,IF(A11&lt;'Données projet'!$A$88,$BA$205^A11,IF(A11='Données projet'!$A$88,'Données projet'!$B$88,BD10+BC11-BL10)))</f>
        <v>7.3406235873163457</v>
      </c>
      <c r="BE11" s="13">
        <f>BD11*VLOOKUP('Données projet'!$B$11,Paramètres!$A$1:$I$89,3,0)*VLOOKUP('Données projet'!$B$11,Paramètres!$A$1:$I$89,5,0)</f>
        <v>5.95471385403102</v>
      </c>
      <c r="BF11" s="13">
        <f t="shared" si="37"/>
        <v>2.2295599442474598</v>
      </c>
      <c r="BG11" s="20">
        <f t="shared" si="7"/>
        <v>14.254276865335017</v>
      </c>
      <c r="BH11" s="59">
        <f t="shared" si="8"/>
        <v>280.6987213097795</v>
      </c>
      <c r="BI11" s="59">
        <f ca="1">AVERAGE(OFFSET($BH$3,0,0,'Données projet'!$E$11+1,1))-AVERAGE(OFFSET($H$3,0,0,'Données projet'!$E$11+1,1))</f>
        <v>252.20412072815043</v>
      </c>
      <c r="BJ11" s="59">
        <f t="shared" si="38"/>
        <v>208.19930959443013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1.760616</v>
      </c>
      <c r="D12" s="11">
        <f t="shared" si="32"/>
        <v>0.75966364773706463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4.2800538579113665</v>
      </c>
      <c r="H12" s="67">
        <f t="shared" si="1"/>
        <v>261.05615371980872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7.2264102564102561</v>
      </c>
      <c r="N12" s="13">
        <f>IF('Données projet'!$A$36&gt;35,N11+M12-V11,IF(A12&lt;'Données projet'!$A$36,$K$205^A12,IF(A12='Données projet'!$A$36,'Données projet'!$B$36,N11+M12-V11)))</f>
        <v>5.0212652126643498</v>
      </c>
      <c r="O12" s="13">
        <f>N12*VLOOKUP('Données projet'!$B$9,Paramètres!$A$1:$I$89,3,0)*VLOOKUP('Données projet'!$B$9,Paramètres!$A$1:$I$89,5,0)</f>
        <v>2.349952119526916</v>
      </c>
      <c r="P12" s="13">
        <f t="shared" si="33"/>
        <v>0.98043726379605944</v>
      </c>
      <c r="Q12" s="20">
        <f t="shared" si="2"/>
        <v>5.8004281759541811</v>
      </c>
      <c r="R12" s="59">
        <f t="shared" si="0"/>
        <v>273.4670948426209</v>
      </c>
      <c r="S12" s="59">
        <f ca="1">AVERAGE(OFFSET($R$3,0,0,'Données projet'!$E$9+1,1))-AVERAGE(OFFSET($H$3,0,0,'Données projet'!$E$9+1,1))</f>
        <v>270.18797004581819</v>
      </c>
      <c r="T12" s="59">
        <f t="shared" si="34"/>
        <v>246.88276293504617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1.9333333333333333</v>
      </c>
      <c r="AI12" s="13">
        <f>IF('Données projet'!$A$62&gt;35,AI11+AH12-AQ11,IF(A12&lt;'Données projet'!$A$62,$AF$205^A12,IF(A12='Données projet'!$A$62,'Données projet'!$B$62,AI11+AH12-AQ11)))</f>
        <v>7.5411711733776468</v>
      </c>
      <c r="AJ12" s="13">
        <f>AI12*VLOOKUP('Données projet'!$B$10,Paramètres!$A$1:$I$89,3,0)*VLOOKUP('Données projet'!$B$10,Paramètres!$A$1:$I$89,5,0)</f>
        <v>7.6467475698049343</v>
      </c>
      <c r="AK12" s="13">
        <f t="shared" si="35"/>
        <v>2.7809432375357956</v>
      </c>
      <c r="AL12" s="20">
        <f t="shared" si="4"/>
        <v>18.161561489451767</v>
      </c>
      <c r="AM12" s="59">
        <f t="shared" si="5"/>
        <v>285.82822815611843</v>
      </c>
      <c r="AN12" s="59">
        <f ca="1">AVERAGE(OFFSET($AM$3,0,0,'Données projet'!$E$10+1,1))-AVERAGE(OFFSET($H$3,0,0,'Données projet'!$E$10+1,1))</f>
        <v>374.01259415112554</v>
      </c>
      <c r="AO12" s="59">
        <f t="shared" si="36"/>
        <v>244.5696433180579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2.8</v>
      </c>
      <c r="BD12" s="12">
        <f>IF('Données projet'!$A$88&gt;35,BD11+BC12-BL11,IF(A12&lt;'Données projet'!$A$88,$BA$205^A12,IF(A12='Données projet'!$A$88,'Données projet'!$B$88,BD11+BC12-BL11)))</f>
        <v>9.4178024044149247</v>
      </c>
      <c r="BE12" s="13">
        <f>BD12*VLOOKUP('Données projet'!$B$11,Paramètres!$A$1:$I$89,3,0)*VLOOKUP('Données projet'!$B$11,Paramètres!$A$1:$I$89,5,0)</f>
        <v>7.639721310461387</v>
      </c>
      <c r="BF12" s="13">
        <f t="shared" si="37"/>
        <v>2.7786852658795538</v>
      </c>
      <c r="BG12" s="20">
        <f t="shared" si="7"/>
        <v>18.145391453793806</v>
      </c>
      <c r="BH12" s="59">
        <f t="shared" si="8"/>
        <v>285.81205812046051</v>
      </c>
      <c r="BI12" s="59">
        <f ca="1">AVERAGE(OFFSET($BH$3,0,0,'Données projet'!$E$11+1,1))-AVERAGE(OFFSET($H$3,0,0,'Données projet'!$E$11+1,1))</f>
        <v>252.20412072815043</v>
      </c>
      <c r="BJ12" s="59">
        <f t="shared" si="38"/>
        <v>208.19930959443013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1.95624</v>
      </c>
      <c r="D13" s="11">
        <f t="shared" si="32"/>
        <v>0.83378228422236333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4.738143107240786</v>
      </c>
      <c r="H13" s="67">
        <f t="shared" si="1"/>
        <v>261.52595547835398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7.2264102564102561</v>
      </c>
      <c r="N13" s="13">
        <f>IF('Données projet'!$A$36&gt;35,N12+M13-V12,IF(A13&lt;'Données projet'!$A$36,$K$205^A13,IF(A13='Données projet'!$A$36,'Données projet'!$B$36,N12+M13-V12)))</f>
        <v>6.0073272306422343</v>
      </c>
      <c r="O13" s="13">
        <f>N13*VLOOKUP('Données projet'!$B$9,Paramètres!$A$1:$I$89,3,0)*VLOOKUP('Données projet'!$B$9,Paramètres!$A$1:$I$89,5,0)</f>
        <v>2.8114291439405656</v>
      </c>
      <c r="P13" s="13">
        <f t="shared" si="33"/>
        <v>1.1487462006075717</v>
      </c>
      <c r="Q13" s="20">
        <f t="shared" si="2"/>
        <v>6.8973053917546716</v>
      </c>
      <c r="R13" s="59">
        <f t="shared" si="0"/>
        <v>275.78619428064354</v>
      </c>
      <c r="S13" s="59">
        <f ca="1">AVERAGE(OFFSET($R$3,0,0,'Données projet'!$E$9+1,1))-AVERAGE(OFFSET($H$3,0,0,'Données projet'!$E$9+1,1))</f>
        <v>270.18797004581819</v>
      </c>
      <c r="T13" s="59">
        <f t="shared" si="34"/>
        <v>246.88276293504617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1.9333333333333333</v>
      </c>
      <c r="AI13" s="13">
        <f>IF('Données projet'!$A$62&gt;35,AI12+AH13-AQ12,IF(A13&lt;'Données projet'!$A$62,$AF$205^A13,IF(A13='Données projet'!$A$62,'Données projet'!$B$62,AI12+AH13-AQ12)))</f>
        <v>9.4391306773923702</v>
      </c>
      <c r="AJ13" s="13">
        <f>AI13*VLOOKUP('Données projet'!$B$10,Paramètres!$A$1:$I$89,3,0)*VLOOKUP('Données projet'!$B$10,Paramètres!$A$1:$I$89,5,0)</f>
        <v>9.5712785068758635</v>
      </c>
      <c r="AK13" s="13">
        <f t="shared" si="35"/>
        <v>3.3910728195041986</v>
      </c>
      <c r="AL13" s="20">
        <f t="shared" si="4"/>
        <v>22.576095226778609</v>
      </c>
      <c r="AM13" s="59">
        <f t="shared" si="5"/>
        <v>291.46498411566745</v>
      </c>
      <c r="AN13" s="59">
        <f ca="1">AVERAGE(OFFSET($AM$3,0,0,'Données projet'!$E$10+1,1))-AVERAGE(OFFSET($H$3,0,0,'Données projet'!$E$10+1,1))</f>
        <v>374.01259415112554</v>
      </c>
      <c r="AO13" s="59">
        <f t="shared" si="36"/>
        <v>244.5696433180579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2.8</v>
      </c>
      <c r="BD13" s="12">
        <f>IF('Données projet'!$A$88&gt;35,BD12+BC13-BL12,IF(A13&lt;'Données projet'!$A$88,$BA$205^A13,IF(A13='Données projet'!$A$88,'Données projet'!$B$88,BD12+BC13-BL12)))</f>
        <v>12.08276123596054</v>
      </c>
      <c r="BE13" s="13">
        <f>BD13*VLOOKUP('Données projet'!$B$11,Paramètres!$A$1:$I$89,3,0)*VLOOKUP('Données projet'!$B$11,Paramètres!$A$1:$I$89,5,0)</f>
        <v>9.8015359146111898</v>
      </c>
      <c r="BF13" s="13">
        <f t="shared" si="37"/>
        <v>3.4630563877582672</v>
      </c>
      <c r="BG13" s="20">
        <f t="shared" si="7"/>
        <v>23.102498259960139</v>
      </c>
      <c r="BH13" s="59">
        <f t="shared" si="8"/>
        <v>291.99138714884901</v>
      </c>
      <c r="BI13" s="59">
        <f ca="1">AVERAGE(OFFSET($BH$3,0,0,'Données projet'!$E$11+1,1))-AVERAGE(OFFSET($H$3,0,0,'Données projet'!$E$11+1,1))</f>
        <v>252.20412072815043</v>
      </c>
      <c r="BJ13" s="59">
        <f t="shared" si="38"/>
        <v>208.19930959443013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2.1518639999999998</v>
      </c>
      <c r="D14" s="11">
        <f t="shared" si="32"/>
        <v>0.90704167120936841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5.1947731398783663</v>
      </c>
      <c r="H14" s="67">
        <f t="shared" si="1"/>
        <v>261.99426071068967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7.2264102564102561</v>
      </c>
      <c r="N14" s="13">
        <f>IF('Données projet'!$A$36&gt;35,N13+M14-V13,IF(A14&lt;'Données projet'!$A$36,$K$205^A14,IF(A14='Données projet'!$A$36,'Données projet'!$B$36,N13+M14-V13)))</f>
        <v>7.1870293496939057</v>
      </c>
      <c r="O14" s="13">
        <f>N14*VLOOKUP('Données projet'!$B$9,Paramètres!$A$1:$I$89,3,0)*VLOOKUP('Données projet'!$B$9,Paramètres!$A$1:$I$89,5,0)</f>
        <v>3.3635297356567477</v>
      </c>
      <c r="P14" s="13">
        <f t="shared" si="33"/>
        <v>1.3459482642479659</v>
      </c>
      <c r="Q14" s="20">
        <f t="shared" si="2"/>
        <v>8.2023408498340427</v>
      </c>
      <c r="R14" s="59">
        <f t="shared" si="0"/>
        <v>278.3134519609452</v>
      </c>
      <c r="S14" s="59">
        <f ca="1">AVERAGE(OFFSET($R$3,0,0,'Données projet'!$E$9+1,1))-AVERAGE(OFFSET($H$3,0,0,'Données projet'!$E$9+1,1))</f>
        <v>270.18797004581819</v>
      </c>
      <c r="T14" s="59">
        <f t="shared" si="34"/>
        <v>246.88276293504617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1.9333333333333333</v>
      </c>
      <c r="AI14" s="13">
        <f>IF('Données projet'!$A$62&gt;35,AI13+AH14-AQ13,IF(A14&lt;'Données projet'!$A$62,$AF$205^A14,IF(A14='Données projet'!$A$62,'Données projet'!$B$62,AI13+AH14-AQ13)))</f>
        <v>11.814768011025487</v>
      </c>
      <c r="AJ14" s="13">
        <f>AI14*VLOOKUP('Données projet'!$B$10,Paramètres!$A$1:$I$89,3,0)*VLOOKUP('Données projet'!$B$10,Paramètres!$A$1:$I$89,5,0)</f>
        <v>11.980174763179845</v>
      </c>
      <c r="AK14" s="13">
        <f t="shared" si="35"/>
        <v>4.135062777250285</v>
      </c>
      <c r="AL14" s="20">
        <f t="shared" si="4"/>
        <v>28.067372049582474</v>
      </c>
      <c r="AM14" s="59">
        <f t="shared" si="5"/>
        <v>298.17848316069365</v>
      </c>
      <c r="AN14" s="59">
        <f ca="1">AVERAGE(OFFSET($AM$3,0,0,'Données projet'!$E$10+1,1))-AVERAGE(OFFSET($H$3,0,0,'Données projet'!$E$10+1,1))</f>
        <v>374.01259415112554</v>
      </c>
      <c r="AO14" s="59">
        <f t="shared" si="36"/>
        <v>244.5696433180579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2.8</v>
      </c>
      <c r="BD14" s="12">
        <f>IF('Données projet'!$A$88&gt;35,BD13+BC14-BL13,IF(A14&lt;'Données projet'!$A$88,$BA$205^A14,IF(A14='Données projet'!$A$88,'Données projet'!$B$88,BD13+BC14-BL13)))</f>
        <v>15.501824397673841</v>
      </c>
      <c r="BE14" s="13">
        <f>BD14*VLOOKUP('Données projet'!$B$11,Paramètres!$A$1:$I$89,3,0)*VLOOKUP('Données projet'!$B$11,Paramètres!$A$1:$I$89,5,0)</f>
        <v>12.575079951393022</v>
      </c>
      <c r="BF14" s="13">
        <f t="shared" si="37"/>
        <v>4.3159834228282739</v>
      </c>
      <c r="BG14" s="20">
        <f t="shared" si="7"/>
        <v>29.418602043435424</v>
      </c>
      <c r="BH14" s="59">
        <f t="shared" si="8"/>
        <v>299.52971315454658</v>
      </c>
      <c r="BI14" s="59">
        <f ca="1">AVERAGE(OFFSET($BH$3,0,0,'Données projet'!$E$11+1,1))-AVERAGE(OFFSET($H$3,0,0,'Données projet'!$E$11+1,1))</f>
        <v>252.20412072815043</v>
      </c>
      <c r="BJ14" s="59">
        <f t="shared" si="38"/>
        <v>208.19930959443013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2.3474879999999998</v>
      </c>
      <c r="D15" s="11">
        <f t="shared" si="32"/>
        <v>0.97952880593637315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5.6500916985024725</v>
      </c>
      <c r="H15" s="67">
        <f t="shared" si="1"/>
        <v>262.46122093700586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7.2264102564102561</v>
      </c>
      <c r="N15" s="13">
        <f>IF('Données projet'!$A$36&gt;35,N14+M15-V14,IF(A15&lt;'Données projet'!$A$36,$K$205^A15,IF(A15='Données projet'!$A$36,'Données projet'!$B$36,N14+M15-V14)))</f>
        <v>8.5983980712566286</v>
      </c>
      <c r="O15" s="13">
        <f>N15*VLOOKUP('Données projet'!$B$9,Paramètres!$A$1:$I$89,3,0)*VLOOKUP('Données projet'!$B$9,Paramètres!$A$1:$I$89,5,0)</f>
        <v>4.0240502973481025</v>
      </c>
      <c r="P15" s="13">
        <f t="shared" si="33"/>
        <v>1.5770034573990057</v>
      </c>
      <c r="Q15" s="20">
        <f t="shared" si="2"/>
        <v>9.7551686228512136</v>
      </c>
      <c r="R15" s="59">
        <f t="shared" si="0"/>
        <v>281.08850195618453</v>
      </c>
      <c r="S15" s="59">
        <f ca="1">AVERAGE(OFFSET($R$3,0,0,'Données projet'!$E$9+1,1))-AVERAGE(OFFSET($H$3,0,0,'Données projet'!$E$9+1,1))</f>
        <v>270.18797004581819</v>
      </c>
      <c r="T15" s="59">
        <f t="shared" si="34"/>
        <v>246.88276293504617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1.9333333333333333</v>
      </c>
      <c r="AI15" s="13">
        <f>IF('Données projet'!$A$62&gt;35,AI14+AH15-AQ14,IF(A15&lt;'Données projet'!$A$62,$AF$205^A15,IF(A15='Données projet'!$A$62,'Données projet'!$B$62,AI14+AH15-AQ14)))</f>
        <v>14.788304974808712</v>
      </c>
      <c r="AJ15" s="13">
        <f>AI15*VLOOKUP('Données projet'!$B$10,Paramètres!$A$1:$I$89,3,0)*VLOOKUP('Données projet'!$B$10,Paramètres!$A$1:$I$89,5,0)</f>
        <v>14.995341244456036</v>
      </c>
      <c r="AK15" s="13">
        <f t="shared" si="35"/>
        <v>5.0422816264679318</v>
      </c>
      <c r="AL15" s="20">
        <f t="shared" si="4"/>
        <v>34.898859833525911</v>
      </c>
      <c r="AM15" s="59">
        <f t="shared" si="5"/>
        <v>306.23219316685925</v>
      </c>
      <c r="AN15" s="59">
        <f ca="1">AVERAGE(OFFSET($AM$3,0,0,'Données projet'!$E$10+1,1))-AVERAGE(OFFSET($H$3,0,0,'Données projet'!$E$10+1,1))</f>
        <v>374.01259415112554</v>
      </c>
      <c r="AO15" s="59">
        <f t="shared" si="36"/>
        <v>244.5696433180579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2.8</v>
      </c>
      <c r="BD15" s="12">
        <f>IF('Données projet'!$A$88&gt;35,BD14+BC15-BL14,IF(A15&lt;'Données projet'!$A$88,$BA$205^A15,IF(A15='Données projet'!$A$88,'Données projet'!$B$88,BD14+BC15-BL14)))</f>
        <v>19.888381054913101</v>
      </c>
      <c r="BE15" s="13">
        <f>BD15*VLOOKUP('Données projet'!$B$11,Paramètres!$A$1:$I$89,3,0)*VLOOKUP('Données projet'!$B$11,Paramètres!$A$1:$I$89,5,0)</f>
        <v>16.133454711745507</v>
      </c>
      <c r="BF15" s="13">
        <f t="shared" si="37"/>
        <v>5.3789805363772061</v>
      </c>
      <c r="BG15" s="20">
        <f t="shared" si="7"/>
        <v>37.46749139048039</v>
      </c>
      <c r="BH15" s="59">
        <f t="shared" si="8"/>
        <v>308.80082472381372</v>
      </c>
      <c r="BI15" s="59">
        <f ca="1">AVERAGE(OFFSET($BH$3,0,0,'Données projet'!$E$11+1,1))-AVERAGE(OFFSET($H$3,0,0,'Données projet'!$E$11+1,1))</f>
        <v>252.20412072815043</v>
      </c>
      <c r="BJ15" s="59">
        <f t="shared" si="38"/>
        <v>208.19930959443013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2.5431119999999998</v>
      </c>
      <c r="D16" s="11">
        <f t="shared" si="32"/>
        <v>1.0513153592770235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6.1042204978599273</v>
      </c>
      <c r="H16" s="67">
        <f t="shared" si="1"/>
        <v>262.92696098407419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7.2264102564102561</v>
      </c>
      <c r="N16" s="13">
        <f>IF('Données projet'!$A$36&gt;35,N15+M16-V15,IF(A16&lt;'Données projet'!$A$36,$K$205^A16,IF(A16='Données projet'!$A$36,'Données projet'!$B$36,N15+M16-V15)))</f>
        <v>10.286927434759741</v>
      </c>
      <c r="O16" s="13">
        <f>N16*VLOOKUP('Données projet'!$B$9,Paramètres!$A$1:$I$89,3,0)*VLOOKUP('Données projet'!$B$9,Paramètres!$A$1:$I$89,5,0)</f>
        <v>4.8142820394675585</v>
      </c>
      <c r="P16" s="13">
        <f t="shared" si="33"/>
        <v>1.8477232526006253</v>
      </c>
      <c r="Q16" s="20">
        <f t="shared" si="2"/>
        <v>11.602992550352086</v>
      </c>
      <c r="R16" s="59">
        <f t="shared" si="0"/>
        <v>284.15854810590764</v>
      </c>
      <c r="S16" s="59">
        <f ca="1">AVERAGE(OFFSET($R$3,0,0,'Données projet'!$E$9+1,1))-AVERAGE(OFFSET($H$3,0,0,'Données projet'!$E$9+1,1))</f>
        <v>270.18797004581819</v>
      </c>
      <c r="T16" s="59">
        <f t="shared" si="34"/>
        <v>246.88276293504617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1.9333333333333333</v>
      </c>
      <c r="AI16" s="13">
        <f>IF('Données projet'!$A$62&gt;35,AI15+AH16-AQ15,IF(A16&lt;'Données projet'!$A$62,$AF$205^A16,IF(A16='Données projet'!$A$62,'Données projet'!$B$62,AI15+AH16-AQ15)))</f>
        <v>18.510220752863528</v>
      </c>
      <c r="AJ16" s="13">
        <f>AI16*VLOOKUP('Données projet'!$B$10,Paramètres!$A$1:$I$89,3,0)*VLOOKUP('Données projet'!$B$10,Paramètres!$A$1:$I$89,5,0)</f>
        <v>18.769363843403617</v>
      </c>
      <c r="AK16" s="13">
        <f t="shared" si="35"/>
        <v>6.1485412363008507</v>
      </c>
      <c r="AL16" s="20">
        <f t="shared" si="4"/>
        <v>43.398684680485282</v>
      </c>
      <c r="AM16" s="59">
        <f t="shared" si="5"/>
        <v>315.95424023604085</v>
      </c>
      <c r="AN16" s="59">
        <f ca="1">AVERAGE(OFFSET($AM$3,0,0,'Données projet'!$E$10+1,1))-AVERAGE(OFFSET($H$3,0,0,'Données projet'!$E$10+1,1))</f>
        <v>374.01259415112554</v>
      </c>
      <c r="AO16" s="59">
        <f t="shared" si="36"/>
        <v>244.5696433180579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2.8</v>
      </c>
      <c r="BD16" s="12">
        <f>IF('Données projet'!$A$88&gt;35,BD15+BC16-BL15,IF(A16&lt;'Données projet'!$A$88,$BA$205^A16,IF(A16='Données projet'!$A$88,'Données projet'!$B$88,BD15+BC16-BL15)))</f>
        <v>25.51620317959356</v>
      </c>
      <c r="BE16" s="13">
        <f>BD16*VLOOKUP('Données projet'!$B$11,Paramètres!$A$1:$I$89,3,0)*VLOOKUP('Données projet'!$B$11,Paramètres!$A$1:$I$89,5,0)</f>
        <v>20.698744019286298</v>
      </c>
      <c r="BF16" s="13">
        <f t="shared" si="37"/>
        <v>6.7037865478557999</v>
      </c>
      <c r="BG16" s="20">
        <f t="shared" si="7"/>
        <v>47.72607407110582</v>
      </c>
      <c r="BH16" s="59">
        <f t="shared" si="8"/>
        <v>320.28162962666136</v>
      </c>
      <c r="BI16" s="59">
        <f ca="1">AVERAGE(OFFSET($BH$3,0,0,'Données projet'!$E$11+1,1))-AVERAGE(OFFSET($H$3,0,0,'Données projet'!$E$11+1,1))</f>
        <v>252.20412072815043</v>
      </c>
      <c r="BJ16" s="59">
        <f t="shared" si="38"/>
        <v>208.19930959443013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2.7387359999999998</v>
      </c>
      <c r="D17" s="11">
        <f t="shared" si="32"/>
        <v>1.1224613494525888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6.5572614636317645</v>
      </c>
      <c r="H17" s="67">
        <f t="shared" si="1"/>
        <v>263.39158538362994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7.2264102564102561</v>
      </c>
      <c r="N17" s="13">
        <f>IF('Données projet'!$A$36&gt;35,N16+M17-V16,IF(A17&lt;'Données projet'!$A$36,$K$205^A17,IF(A17='Données projet'!$A$36,'Données projet'!$B$36,N16+M17-V16)))</f>
        <v>12.307045471848836</v>
      </c>
      <c r="O17" s="13">
        <f>N17*VLOOKUP('Données projet'!$B$9,Paramètres!$A$1:$I$89,3,0)*VLOOKUP('Données projet'!$B$9,Paramètres!$A$1:$I$89,5,0)</f>
        <v>5.7596972808252556</v>
      </c>
      <c r="P17" s="13">
        <f t="shared" si="33"/>
        <v>2.1649167617120959</v>
      </c>
      <c r="Q17" s="20">
        <f t="shared" si="2"/>
        <v>13.802036124085888</v>
      </c>
      <c r="R17" s="59">
        <f t="shared" si="0"/>
        <v>287.57981390186364</v>
      </c>
      <c r="S17" s="59">
        <f ca="1">AVERAGE(OFFSET($R$3,0,0,'Données projet'!$E$9+1,1))-AVERAGE(OFFSET($H$3,0,0,'Données projet'!$E$9+1,1))</f>
        <v>270.18797004581819</v>
      </c>
      <c r="T17" s="59">
        <f t="shared" si="34"/>
        <v>246.88276293504617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1.9333333333333333</v>
      </c>
      <c r="AI17" s="13">
        <f>IF('Données projet'!$A$62&gt;35,AI16+AH17-AQ16,IF(A17&lt;'Données projet'!$A$62,$AF$205^A17,IF(A17='Données projet'!$A$62,'Données projet'!$B$62,AI16+AH17-AQ16)))</f>
        <v>23.16886708134524</v>
      </c>
      <c r="AJ17" s="13">
        <f>AI17*VLOOKUP('Données projet'!$B$10,Paramètres!$A$1:$I$89,3,0)*VLOOKUP('Données projet'!$B$10,Paramètres!$A$1:$I$89,5,0)</f>
        <v>23.493231220484073</v>
      </c>
      <c r="AK17" s="13">
        <f t="shared" si="35"/>
        <v>7.4975104793925835</v>
      </c>
      <c r="AL17" s="20">
        <f t="shared" si="4"/>
        <v>53.975541793951841</v>
      </c>
      <c r="AM17" s="59">
        <f t="shared" si="5"/>
        <v>327.75331957172961</v>
      </c>
      <c r="AN17" s="59">
        <f ca="1">AVERAGE(OFFSET($AM$3,0,0,'Données projet'!$E$10+1,1))-AVERAGE(OFFSET($H$3,0,0,'Données projet'!$E$10+1,1))</f>
        <v>374.01259415112554</v>
      </c>
      <c r="AO17" s="59">
        <f t="shared" si="36"/>
        <v>244.5696433180579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2.8</v>
      </c>
      <c r="BD17" s="12">
        <f>IF('Données projet'!$A$88&gt;35,BD16+BC17-BL16,IF(A17&lt;'Données projet'!$A$88,$BA$205^A17,IF(A17='Données projet'!$A$88,'Données projet'!$B$88,BD16+BC17-BL16)))</f>
        <v>32.736532094021939</v>
      </c>
      <c r="BE17" s="13">
        <f>BD17*VLOOKUP('Données projet'!$B$11,Paramètres!$A$1:$I$89,3,0)*VLOOKUP('Données projet'!$B$11,Paramètres!$A$1:$I$89,5,0)</f>
        <v>26.5558748346706</v>
      </c>
      <c r="BF17" s="13">
        <f t="shared" si="37"/>
        <v>8.3548831930669891</v>
      </c>
      <c r="BG17" s="20">
        <f t="shared" si="7"/>
        <v>60.802903564976283</v>
      </c>
      <c r="BH17" s="59">
        <f t="shared" si="8"/>
        <v>334.58068134275408</v>
      </c>
      <c r="BI17" s="59">
        <f ca="1">AVERAGE(OFFSET($BH$3,0,0,'Données projet'!$E$11+1,1))-AVERAGE(OFFSET($H$3,0,0,'Données projet'!$E$11+1,1))</f>
        <v>252.20412072815043</v>
      </c>
      <c r="BJ17" s="59">
        <f t="shared" si="38"/>
        <v>208.19930959443013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2.9343599999999999</v>
      </c>
      <c r="D18" s="11">
        <f t="shared" si="32"/>
        <v>1.1930177348076609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7.0093011356031871</v>
      </c>
      <c r="H18" s="67">
        <f t="shared" si="1"/>
        <v>263.85518288812335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7.2264102564102561</v>
      </c>
      <c r="N18" s="13">
        <f>IF('Données projet'!$A$36&gt;35,N17+M18-V17,IF(A18&lt;'Données projet'!$A$36,$K$205^A18,IF(A18='Données projet'!$A$36,'Données projet'!$B$36,N17+M18-V17)))</f>
        <v>14.723868638788783</v>
      </c>
      <c r="O18" s="13">
        <f>N18*VLOOKUP('Données projet'!$B$9,Paramètres!$A$1:$I$89,3,0)*VLOOKUP('Données projet'!$B$9,Paramètres!$A$1:$I$89,5,0)</f>
        <v>6.89077052295315</v>
      </c>
      <c r="P18" s="13">
        <f t="shared" si="33"/>
        <v>2.5365619978778424</v>
      </c>
      <c r="Q18" s="20">
        <f t="shared" si="2"/>
        <v>16.419270807113978</v>
      </c>
      <c r="R18" s="59">
        <f t="shared" si="0"/>
        <v>291.419270807114</v>
      </c>
      <c r="S18" s="59">
        <f ca="1">AVERAGE(OFFSET($R$3,0,0,'Données projet'!$E$9+1,1))-AVERAGE(OFFSET($H$3,0,0,'Données projet'!$E$9+1,1))</f>
        <v>270.18797004581819</v>
      </c>
      <c r="T18" s="59">
        <f t="shared" si="34"/>
        <v>246.88276293504617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29</v>
      </c>
      <c r="AG18" s="12">
        <f>VLOOKUP(A18,'Données projet'!$A$61:$I$81,9,0)</f>
        <v>1.9333333333333333</v>
      </c>
      <c r="AH18" s="12">
        <f t="array" ref="AH18">INDEX(AG:AG,MIN(IF(ISNUMBER(AG18:AG214),ROW(AG18:AG214),"")))</f>
        <v>1.9333333333333333</v>
      </c>
      <c r="AI18" s="13">
        <f>IF('Données projet'!$A$62&gt;35,AI17+AH18-AQ17,IF(A18&lt;'Données projet'!$A$62,$AF$205^A18,IF(A18='Données projet'!$A$62,'Données projet'!$B$62,AI17+AH18-AQ17)))</f>
        <v>29</v>
      </c>
      <c r="AJ18" s="13">
        <f>AI18*VLOOKUP('Données projet'!$B$10,Paramètres!$A$1:$I$89,3,0)*VLOOKUP('Données projet'!$B$10,Paramètres!$A$1:$I$89,5,0)</f>
        <v>29.406000000000002</v>
      </c>
      <c r="AK18" s="13">
        <f t="shared" si="35"/>
        <v>9.1424390319972488</v>
      </c>
      <c r="AL18" s="20">
        <f t="shared" si="4"/>
        <v>67.138531314061879</v>
      </c>
      <c r="AM18" s="59">
        <f t="shared" si="5"/>
        <v>342.13853131406188</v>
      </c>
      <c r="AN18" s="59">
        <f ca="1">AVERAGE(OFFSET($AM$3,0,0,'Données projet'!$E$10+1,1))-AVERAGE(OFFSET($H$3,0,0,'Données projet'!$E$10+1,1))</f>
        <v>374.01259415112554</v>
      </c>
      <c r="AO18" s="59">
        <f t="shared" si="36"/>
        <v>244.5696433180579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42</v>
      </c>
      <c r="BB18" s="12">
        <f>VLOOKUP(A18,'Données projet'!$A$87:$I$107,9,0)</f>
        <v>2.8</v>
      </c>
      <c r="BC18" s="12">
        <f t="array" ref="BC18">INDEX(BB:BB,MIN(IF(ISNUMBER(BB18:BB214),ROW(BB18:BB214),"")))</f>
        <v>2.8</v>
      </c>
      <c r="BD18" s="12">
        <f>IF('Données projet'!$A$88&gt;35,BD17+BC18-BL17,IF(A18&lt;'Données projet'!$A$88,$BA$205^A18,IF(A18='Données projet'!$A$88,'Données projet'!$B$88,BD17+BC18-BL17)))</f>
        <v>42</v>
      </c>
      <c r="BE18" s="13">
        <f>BD18*VLOOKUP('Données projet'!$B$11,Paramètres!$A$1:$I$89,3,0)*VLOOKUP('Données projet'!$B$11,Paramètres!$A$1:$I$89,5,0)</f>
        <v>34.070399999999999</v>
      </c>
      <c r="BF18" s="13">
        <f t="shared" si="37"/>
        <v>10.412633617059315</v>
      </c>
      <c r="BG18" s="20">
        <f t="shared" si="7"/>
        <v>77.474616883044959</v>
      </c>
      <c r="BH18" s="59">
        <f t="shared" si="8"/>
        <v>352.47461688304497</v>
      </c>
      <c r="BI18" s="59">
        <f ca="1">AVERAGE(OFFSET($BH$3,0,0,'Données projet'!$E$11+1,1))-AVERAGE(OFFSET($H$3,0,0,'Données projet'!$E$11+1,1))</f>
        <v>252.20412072815043</v>
      </c>
      <c r="BJ18" s="59">
        <f t="shared" si="38"/>
        <v>208.19930959443013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3.1299839999999999</v>
      </c>
      <c r="D19" s="11">
        <f t="shared" si="32"/>
        <v>1.263028294847711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7.4604138621273401</v>
      </c>
      <c r="H19" s="67">
        <f t="shared" si="1"/>
        <v>264.31782974685979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7.2264102564102561</v>
      </c>
      <c r="N19" s="13">
        <f>IF('Données projet'!$A$36&gt;35,N18+M19-V18,IF(A19&lt;'Données projet'!$A$36,$K$205^A19,IF(A19='Données projet'!$A$36,'Données projet'!$B$36,N18+M19-V18)))</f>
        <v>17.61530077939495</v>
      </c>
      <c r="O19" s="13">
        <f>N19*VLOOKUP('Données projet'!$B$9,Paramètres!$A$1:$I$89,3,0)*VLOOKUP('Données projet'!$B$9,Paramètres!$A$1:$I$89,5,0)</f>
        <v>8.2439607647568369</v>
      </c>
      <c r="P19" s="13">
        <f t="shared" si="33"/>
        <v>2.972006537558364</v>
      </c>
      <c r="Q19" s="20">
        <f t="shared" si="2"/>
        <v>19.534476384865641</v>
      </c>
      <c r="R19" s="59">
        <f t="shared" si="0"/>
        <v>295.75669860708786</v>
      </c>
      <c r="S19" s="59">
        <f ca="1">AVERAGE(OFFSET($R$3,0,0,'Données projet'!$E$9+1,1))-AVERAGE(OFFSET($H$3,0,0,'Données projet'!$E$9+1,1))</f>
        <v>270.18797004581819</v>
      </c>
      <c r="T19" s="59">
        <f t="shared" si="34"/>
        <v>246.88276293504617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5.6</v>
      </c>
      <c r="AI19" s="13">
        <f>IF('Données projet'!$A$62&gt;35,AI18+AH19-AQ18,IF(A19&lt;'Données projet'!$A$62,$AF$205^A19,IF(A19='Données projet'!$A$62,'Données projet'!$B$62,AI18+AH19-AQ18)))</f>
        <v>34.6</v>
      </c>
      <c r="AJ19" s="13">
        <f>AI19*VLOOKUP('Données projet'!$B$10,Paramètres!$A$1:$I$89,3,0)*VLOOKUP('Données projet'!$B$10,Paramètres!$A$1:$I$89,5,0)</f>
        <v>35.084400000000002</v>
      </c>
      <c r="AK19" s="13">
        <f t="shared" si="35"/>
        <v>10.685991952838144</v>
      </c>
      <c r="AL19" s="20">
        <f t="shared" si="4"/>
        <v>79.716765984526432</v>
      </c>
      <c r="AM19" s="59">
        <f t="shared" si="5"/>
        <v>355.93898820674866</v>
      </c>
      <c r="AN19" s="59">
        <f ca="1">AVERAGE(OFFSET($AM$3,0,0,'Données projet'!$E$10+1,1))-AVERAGE(OFFSET($H$3,0,0,'Données projet'!$E$10+1,1))</f>
        <v>374.01259415112554</v>
      </c>
      <c r="AO19" s="59">
        <f t="shared" si="36"/>
        <v>244.5696433180579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5.4</v>
      </c>
      <c r="BD19" s="12">
        <f>IF('Données projet'!$A$88&gt;35,BD18+BC19-BL18,IF(A19&lt;'Données projet'!$A$88,$BA$205^A19,IF(A19='Données projet'!$A$88,'Données projet'!$B$88,BD18+BC19-BL18)))</f>
        <v>47.4</v>
      </c>
      <c r="BE19" s="13">
        <f>BD19*VLOOKUP('Données projet'!$B$11,Paramètres!$A$1:$I$89,3,0)*VLOOKUP('Données projet'!$B$11,Paramètres!$A$1:$I$89,5,0)</f>
        <v>38.450879999999998</v>
      </c>
      <c r="BF19" s="13">
        <f t="shared" si="37"/>
        <v>11.587113394776683</v>
      </c>
      <c r="BG19" s="20">
        <f t="shared" si="7"/>
        <v>87.149505162569383</v>
      </c>
      <c r="BH19" s="59">
        <f t="shared" si="8"/>
        <v>363.3717273847916</v>
      </c>
      <c r="BI19" s="59">
        <f ca="1">AVERAGE(OFFSET($BH$3,0,0,'Données projet'!$E$11+1,1))-AVERAGE(OFFSET($H$3,0,0,'Données projet'!$E$11+1,1))</f>
        <v>252.20412072815043</v>
      </c>
      <c r="BJ19" s="59">
        <f t="shared" si="38"/>
        <v>208.19930959443013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3.3256079999999999</v>
      </c>
      <c r="D20" s="11">
        <f t="shared" si="32"/>
        <v>1.3325310273368234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7.9106641727404288</v>
      </c>
      <c r="H20" s="67">
        <f t="shared" si="1"/>
        <v>264.77959213927829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7.2264102564102561</v>
      </c>
      <c r="N20" s="13">
        <f>IF('Données projet'!$A$36&gt;35,N19+M20-V19,IF(A20&lt;'Données projet'!$A$36,$K$205^A20,IF(A20='Données projet'!$A$36,'Données projet'!$B$36,N19+M20-V19)))</f>
        <v>21.074544276434004</v>
      </c>
      <c r="O20" s="13">
        <f>N20*VLOOKUP('Données projet'!$B$9,Paramètres!$A$1:$I$89,3,0)*VLOOKUP('Données projet'!$B$9,Paramètres!$A$1:$I$89,5,0)</f>
        <v>9.8628867213711136</v>
      </c>
      <c r="P20" s="13">
        <f t="shared" si="33"/>
        <v>3.4822026296536168</v>
      </c>
      <c r="Q20" s="20">
        <f t="shared" si="2"/>
        <v>23.24269728636807</v>
      </c>
      <c r="R20" s="59">
        <f t="shared" si="0"/>
        <v>300.68714173081253</v>
      </c>
      <c r="S20" s="59">
        <f ca="1">AVERAGE(OFFSET($R$3,0,0,'Données projet'!$E$9+1,1))-AVERAGE(OFFSET($H$3,0,0,'Données projet'!$E$9+1,1))</f>
        <v>270.18797004581819</v>
      </c>
      <c r="T20" s="59">
        <f t="shared" si="34"/>
        <v>246.88276293504617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5.6</v>
      </c>
      <c r="AI20" s="13">
        <f>IF('Données projet'!$A$62&gt;35,AI19+AH20-AQ19,IF(A20&lt;'Données projet'!$A$62,$AF$205^A20,IF(A20='Données projet'!$A$62,'Données projet'!$B$62,AI19+AH20-AQ19)))</f>
        <v>40.200000000000003</v>
      </c>
      <c r="AJ20" s="13">
        <f>AI20*VLOOKUP('Données projet'!$B$10,Paramètres!$A$1:$I$89,3,0)*VLOOKUP('Données projet'!$B$10,Paramètres!$A$1:$I$89,5,0)</f>
        <v>40.762800000000006</v>
      </c>
      <c r="AK20" s="13">
        <f t="shared" si="35"/>
        <v>12.200604312714995</v>
      </c>
      <c r="AL20" s="20">
        <f t="shared" si="4"/>
        <v>92.244595844645289</v>
      </c>
      <c r="AM20" s="59">
        <f t="shared" si="5"/>
        <v>369.68904028908975</v>
      </c>
      <c r="AN20" s="59">
        <f ca="1">AVERAGE(OFFSET($AM$3,0,0,'Données projet'!$E$10+1,1))-AVERAGE(OFFSET($H$3,0,0,'Données projet'!$E$10+1,1))</f>
        <v>374.01259415112554</v>
      </c>
      <c r="AO20" s="59">
        <f t="shared" si="36"/>
        <v>244.5696433180579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5.4</v>
      </c>
      <c r="BD20" s="12">
        <f>IF('Données projet'!$A$88&gt;35,BD19+BC20-BL19,IF(A20&lt;'Données projet'!$A$88,$BA$205^A20,IF(A20='Données projet'!$A$88,'Données projet'!$B$88,BD19+BC20-BL19)))</f>
        <v>52.8</v>
      </c>
      <c r="BE20" s="13">
        <f>BD20*VLOOKUP('Données projet'!$B$11,Paramètres!$A$1:$I$89,3,0)*VLOOKUP('Données projet'!$B$11,Paramètres!$A$1:$I$89,5,0)</f>
        <v>42.831360000000004</v>
      </c>
      <c r="BF20" s="13">
        <f t="shared" si="37"/>
        <v>12.746086115928794</v>
      </c>
      <c r="BG20" s="20">
        <f t="shared" si="7"/>
        <v>96.797385318575991</v>
      </c>
      <c r="BH20" s="59">
        <f t="shared" si="8"/>
        <v>374.24182976302046</v>
      </c>
      <c r="BI20" s="59">
        <f ca="1">AVERAGE(OFFSET($BH$3,0,0,'Données projet'!$E$11+1,1))-AVERAGE(OFFSET($H$3,0,0,'Données projet'!$E$11+1,1))</f>
        <v>252.20412072815043</v>
      </c>
      <c r="BJ20" s="59">
        <f t="shared" si="38"/>
        <v>208.19930959443013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3.5212319999999999</v>
      </c>
      <c r="D21" s="11">
        <f t="shared" si="32"/>
        <v>1.4015592071819669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8.3601085764072707</v>
      </c>
      <c r="H21" s="67">
        <f t="shared" si="1"/>
        <v>265.24052801917526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7.2264102564102561</v>
      </c>
      <c r="N21" s="13">
        <f>IF('Données projet'!$A$36&gt;35,N20+M21-V20,IF(A21&lt;'Données projet'!$A$36,$K$205^A21,IF(A21='Données projet'!$A$36,'Données projet'!$B$36,N20+M21-V20)))</f>
        <v>25.213104335913162</v>
      </c>
      <c r="O21" s="13">
        <f>N21*VLOOKUP('Données projet'!$B$9,Paramètres!$A$1:$I$89,3,0)*VLOOKUP('Données projet'!$B$9,Paramètres!$A$1:$I$89,5,0)</f>
        <v>11.799732829207361</v>
      </c>
      <c r="P21" s="13">
        <f t="shared" si="33"/>
        <v>4.079982665155371</v>
      </c>
      <c r="Q21" s="20">
        <f t="shared" si="2"/>
        <v>27.657171152681755</v>
      </c>
      <c r="R21" s="59">
        <f t="shared" si="0"/>
        <v>306.32383781934846</v>
      </c>
      <c r="S21" s="59">
        <f ca="1">AVERAGE(OFFSET($R$3,0,0,'Données projet'!$E$9+1,1))-AVERAGE(OFFSET($H$3,0,0,'Données projet'!$E$9+1,1))</f>
        <v>270.18797004581819</v>
      </c>
      <c r="T21" s="59">
        <f t="shared" si="34"/>
        <v>246.88276293504617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5.6</v>
      </c>
      <c r="AI21" s="13">
        <f>IF('Données projet'!$A$62&gt;35,AI20+AH21-AQ20,IF(A21&lt;'Données projet'!$A$62,$AF$205^A21,IF(A21='Données projet'!$A$62,'Données projet'!$B$62,AI20+AH21-AQ20)))</f>
        <v>45.800000000000004</v>
      </c>
      <c r="AJ21" s="13">
        <f>AI21*VLOOKUP('Données projet'!$B$10,Paramètres!$A$1:$I$89,3,0)*VLOOKUP('Données projet'!$B$10,Paramètres!$A$1:$I$89,5,0)</f>
        <v>46.441200000000009</v>
      </c>
      <c r="AK21" s="13">
        <f t="shared" si="35"/>
        <v>13.690772009364476</v>
      </c>
      <c r="AL21" s="20">
        <f t="shared" si="4"/>
        <v>104.72985124964315</v>
      </c>
      <c r="AM21" s="59">
        <f t="shared" si="5"/>
        <v>383.39651791630985</v>
      </c>
      <c r="AN21" s="59">
        <f ca="1">AVERAGE(OFFSET($AM$3,0,0,'Données projet'!$E$10+1,1))-AVERAGE(OFFSET($H$3,0,0,'Données projet'!$E$10+1,1))</f>
        <v>374.01259415112554</v>
      </c>
      <c r="AO21" s="59">
        <f t="shared" si="36"/>
        <v>244.5696433180579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5.4</v>
      </c>
      <c r="BD21" s="12">
        <f>IF('Données projet'!$A$88&gt;35,BD20+BC21-BL20,IF(A21&lt;'Données projet'!$A$88,$BA$205^A21,IF(A21='Données projet'!$A$88,'Données projet'!$B$88,BD20+BC21-BL20)))</f>
        <v>58.199999999999996</v>
      </c>
      <c r="BE21" s="13">
        <f>BD21*VLOOKUP('Données projet'!$B$11,Paramètres!$A$1:$I$89,3,0)*VLOOKUP('Données projet'!$B$11,Paramètres!$A$1:$I$89,5,0)</f>
        <v>47.211840000000002</v>
      </c>
      <c r="BF21" s="13">
        <f t="shared" si="37"/>
        <v>13.891318331147987</v>
      </c>
      <c r="BG21" s="20">
        <f t="shared" si="7"/>
        <v>106.42133409341606</v>
      </c>
      <c r="BH21" s="59">
        <f t="shared" si="8"/>
        <v>385.08800076008276</v>
      </c>
      <c r="BI21" s="59">
        <f ca="1">AVERAGE(OFFSET($BH$3,0,0,'Données projet'!$E$11+1,1))-AVERAGE(OFFSET($H$3,0,0,'Données projet'!$E$11+1,1))</f>
        <v>252.20412072815043</v>
      </c>
      <c r="BJ21" s="59">
        <f t="shared" si="38"/>
        <v>208.19930959443013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3.7168559999999999</v>
      </c>
      <c r="D22" s="11">
        <f t="shared" si="32"/>
        <v>1.4701422032635949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8.808796948700282</v>
      </c>
      <c r="H22" s="67">
        <f t="shared" si="1"/>
        <v>265.7006885373508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7.2264102564102561</v>
      </c>
      <c r="N22" s="13">
        <f>IF('Données projet'!$A$36&gt;35,N21+M22-V21,IF(A22&lt;'Données projet'!$A$36,$K$205^A22,IF(A22='Données projet'!$A$36,'Données projet'!$B$36,N21+M22-V21)))</f>
        <v>30.164383244315122</v>
      </c>
      <c r="O22" s="13">
        <f>N22*VLOOKUP('Données projet'!$B$9,Paramètres!$A$1:$I$89,3,0)*VLOOKUP('Données projet'!$B$9,Paramètres!$A$1:$I$89,5,0)</f>
        <v>14.116931358339476</v>
      </c>
      <c r="P22" s="13">
        <f t="shared" si="33"/>
        <v>4.7803819359082427</v>
      </c>
      <c r="Q22" s="20">
        <f t="shared" si="2"/>
        <v>32.912820654148106</v>
      </c>
      <c r="R22" s="59">
        <f t="shared" si="0"/>
        <v>312.80170954303696</v>
      </c>
      <c r="S22" s="59">
        <f ca="1">AVERAGE(OFFSET($R$3,0,0,'Données projet'!$E$9+1,1))-AVERAGE(OFFSET($H$3,0,0,'Données projet'!$E$9+1,1))</f>
        <v>270.18797004581819</v>
      </c>
      <c r="T22" s="59">
        <f t="shared" si="34"/>
        <v>246.88276293504617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5.6</v>
      </c>
      <c r="AI22" s="13">
        <f>IF('Données projet'!$A$62&gt;35,AI21+AH22-AQ21,IF(A22&lt;'Données projet'!$A$62,$AF$205^A22,IF(A22='Données projet'!$A$62,'Données projet'!$B$62,AI21+AH22-AQ21)))</f>
        <v>51.400000000000006</v>
      </c>
      <c r="AJ22" s="13">
        <f>AI22*VLOOKUP('Données projet'!$B$10,Paramètres!$A$1:$I$89,3,0)*VLOOKUP('Données projet'!$B$10,Paramètres!$A$1:$I$89,5,0)</f>
        <v>52.119600000000005</v>
      </c>
      <c r="AK22" s="13">
        <f t="shared" si="35"/>
        <v>15.159825903252534</v>
      </c>
      <c r="AL22" s="20">
        <f t="shared" si="4"/>
        <v>117.17833344816485</v>
      </c>
      <c r="AM22" s="59">
        <f t="shared" si="5"/>
        <v>397.06722233705369</v>
      </c>
      <c r="AN22" s="59">
        <f ca="1">AVERAGE(OFFSET($AM$3,0,0,'Données projet'!$E$10+1,1))-AVERAGE(OFFSET($H$3,0,0,'Données projet'!$E$10+1,1))</f>
        <v>374.01259415112554</v>
      </c>
      <c r="AO22" s="59">
        <f t="shared" si="36"/>
        <v>244.5696433180579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5.4</v>
      </c>
      <c r="BD22" s="12">
        <f>IF('Données projet'!$A$88&gt;35,BD21+BC22-BL21,IF(A22&lt;'Données projet'!$A$88,$BA$205^A22,IF(A22='Données projet'!$A$88,'Données projet'!$B$88,BD21+BC22-BL21)))</f>
        <v>63.599999999999994</v>
      </c>
      <c r="BE22" s="13">
        <f>BD22*VLOOKUP('Données projet'!$B$11,Paramètres!$A$1:$I$89,3,0)*VLOOKUP('Données projet'!$B$11,Paramètres!$A$1:$I$89,5,0)</f>
        <v>51.592319999999994</v>
      </c>
      <c r="BF22" s="13">
        <f t="shared" si="37"/>
        <v>15.024229944049157</v>
      </c>
      <c r="BG22" s="20">
        <f t="shared" si="7"/>
        <v>116.0238244858856</v>
      </c>
      <c r="BH22" s="59">
        <f t="shared" si="8"/>
        <v>395.91271337477446</v>
      </c>
      <c r="BI22" s="59">
        <f ca="1">AVERAGE(OFFSET($BH$3,0,0,'Données projet'!$E$11+1,1))-AVERAGE(OFFSET($H$3,0,0,'Données projet'!$E$11+1,1))</f>
        <v>252.20412072815043</v>
      </c>
      <c r="BJ22" s="59">
        <f t="shared" si="38"/>
        <v>208.19930959443013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3.91248</v>
      </c>
      <c r="D23" s="11">
        <f t="shared" si="32"/>
        <v>1.5383061183961511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9.2567736186096052</v>
      </c>
      <c r="H23" s="67">
        <f t="shared" si="1"/>
        <v>266.16011915620663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7.2264102564102561</v>
      </c>
      <c r="N23" s="13">
        <f>IF('Données projet'!$A$36&gt;35,N22+M23-V22,IF(A23&lt;'Données projet'!$A$36,$K$205^A23,IF(A23='Données projet'!$A$36,'Données projet'!$B$36,N22+M23-V22)))</f>
        <v>36.0879804560157</v>
      </c>
      <c r="O23" s="13">
        <f>N23*VLOOKUP('Données projet'!$B$9,Paramètres!$A$1:$I$89,3,0)*VLOOKUP('Données projet'!$B$9,Paramètres!$A$1:$I$89,5,0)</f>
        <v>16.889174853415348</v>
      </c>
      <c r="P23" s="13">
        <f t="shared" si="33"/>
        <v>5.6010168004690764</v>
      </c>
      <c r="Q23" s="20">
        <f t="shared" si="2"/>
        <v>39.170417130515368</v>
      </c>
      <c r="R23" s="59">
        <f t="shared" si="0"/>
        <v>320.28152824162652</v>
      </c>
      <c r="S23" s="59">
        <f ca="1">AVERAGE(OFFSET($R$3,0,0,'Données projet'!$E$9+1,1))-AVERAGE(OFFSET($H$3,0,0,'Données projet'!$E$9+1,1))</f>
        <v>270.18797004581819</v>
      </c>
      <c r="T23" s="59">
        <f t="shared" si="34"/>
        <v>246.88276293504617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57</v>
      </c>
      <c r="AG23" s="12">
        <f>VLOOKUP(A23,'Données projet'!$A$61:$I$81,9,0)</f>
        <v>5.6</v>
      </c>
      <c r="AH23" s="12">
        <f t="array" ref="AH23">INDEX(AG:AG,MIN(IF(ISNUMBER(AG23:AG219),ROW(AG23:AG219),"")))</f>
        <v>5.6</v>
      </c>
      <c r="AI23" s="13">
        <f>IF('Données projet'!$A$62&gt;35,AI22+AH23-AQ22,IF(A23&lt;'Données projet'!$A$62,$AF$205^A23,IF(A23='Données projet'!$A$62,'Données projet'!$B$62,AI22+AH23-AQ22)))</f>
        <v>57.000000000000007</v>
      </c>
      <c r="AJ23" s="13">
        <f>AI23*VLOOKUP('Données projet'!$B$10,Paramètres!$A$1:$I$89,3,0)*VLOOKUP('Données projet'!$B$10,Paramètres!$A$1:$I$89,5,0)</f>
        <v>57.798000000000009</v>
      </c>
      <c r="AK23" s="13">
        <f t="shared" si="35"/>
        <v>16.610328609522991</v>
      </c>
      <c r="AL23" s="20">
        <f t="shared" si="4"/>
        <v>129.59450566158588</v>
      </c>
      <c r="AM23" s="59">
        <f t="shared" si="5"/>
        <v>410.705616772697</v>
      </c>
      <c r="AN23" s="59">
        <f ca="1">AVERAGE(OFFSET($AM$3,0,0,'Données projet'!$E$10+1,1))-AVERAGE(OFFSET($H$3,0,0,'Données projet'!$E$10+1,1))</f>
        <v>374.01259415112554</v>
      </c>
      <c r="AO23" s="59">
        <f t="shared" si="36"/>
        <v>244.5696433180579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11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69</v>
      </c>
      <c r="BB23" s="12">
        <f>VLOOKUP(A23,'Données projet'!$A$87:$I$107,9,0)</f>
        <v>5.4</v>
      </c>
      <c r="BC23" s="12">
        <f t="array" ref="BC23">INDEX(BB:BB,MIN(IF(ISNUMBER(BB23:BB219),ROW(BB23:BB219),"")))</f>
        <v>5.4</v>
      </c>
      <c r="BD23" s="12">
        <f>IF('Données projet'!$A$88&gt;35,BD22+BC23-BL22,IF(A23&lt;'Données projet'!$A$88,$BA$205^A23,IF(A23='Données projet'!$A$88,'Données projet'!$B$88,BD22+BC23-BL22)))</f>
        <v>69</v>
      </c>
      <c r="BE23" s="13">
        <f>BD23*VLOOKUP('Données projet'!$B$11,Paramètres!$A$1:$I$89,3,0)*VLOOKUP('Données projet'!$B$11,Paramètres!$A$1:$I$89,5,0)</f>
        <v>55.972800000000007</v>
      </c>
      <c r="BF23" s="13">
        <f t="shared" si="37"/>
        <v>16.145985978099571</v>
      </c>
      <c r="BG23" s="20">
        <f t="shared" si="7"/>
        <v>125.60688557852342</v>
      </c>
      <c r="BH23" s="59">
        <f t="shared" si="8"/>
        <v>406.71799668963456</v>
      </c>
      <c r="BI23" s="59">
        <f ca="1">AVERAGE(OFFSET($BH$3,0,0,'Données projet'!$E$11+1,1))-AVERAGE(OFFSET($H$3,0,0,'Données projet'!$E$11+1,1))</f>
        <v>252.20412072815043</v>
      </c>
      <c r="BJ23" s="59">
        <f t="shared" si="38"/>
        <v>208.19930959443013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4.108104</v>
      </c>
      <c r="D24" s="11">
        <f t="shared" si="32"/>
        <v>1.6060742976591547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9.7040782318141439</v>
      </c>
      <c r="H24" s="67">
        <f t="shared" si="1"/>
        <v>266.61886053508971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7.2264102564102561</v>
      </c>
      <c r="N24" s="13">
        <f>IF('Données projet'!$A$36&gt;35,N23+M24-V23,IF(A24&lt;'Données projet'!$A$36,$K$205^A24,IF(A24='Données projet'!$A$36,'Données projet'!$B$36,N23+M24-V23)))</f>
        <v>43.17483711984115</v>
      </c>
      <c r="O24" s="13">
        <f>N24*VLOOKUP('Données projet'!$B$9,Paramètres!$A$1:$I$89,3,0)*VLOOKUP('Données projet'!$B$9,Paramètres!$A$1:$I$89,5,0)</f>
        <v>20.205823772085658</v>
      </c>
      <c r="P24" s="13">
        <f t="shared" si="33"/>
        <v>6.5625277686471071</v>
      </c>
      <c r="Q24" s="20">
        <f t="shared" si="2"/>
        <v>46.621545600109563</v>
      </c>
      <c r="R24" s="59">
        <f t="shared" si="0"/>
        <v>328.9548789334429</v>
      </c>
      <c r="S24" s="59">
        <f ca="1">AVERAGE(OFFSET($R$3,0,0,'Données projet'!$E$9+1,1))-AVERAGE(OFFSET($H$3,0,0,'Données projet'!$E$9+1,1))</f>
        <v>270.18797004581819</v>
      </c>
      <c r="T24" s="59">
        <f t="shared" si="34"/>
        <v>246.88276293504617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6.6</v>
      </c>
      <c r="AI24" s="13">
        <f>IF('Données projet'!$A$62&gt;35,AI23+AH24-AQ23,IF(A24&lt;'Données projet'!$A$62,$AF$205^A24,IF(A24='Données projet'!$A$62,'Données projet'!$B$62,AI23+AH24-AQ23)))</f>
        <v>52.600000000000009</v>
      </c>
      <c r="AJ24" s="13">
        <f>AI24*VLOOKUP('Données projet'!$B$10,Paramètres!$A$1:$I$89,3,0)*VLOOKUP('Données projet'!$B$10,Paramètres!$A$1:$I$89,5,0)</f>
        <v>53.336400000000012</v>
      </c>
      <c r="AK24" s="13">
        <f t="shared" si="35"/>
        <v>15.472133550267937</v>
      </c>
      <c r="AL24" s="20">
        <f t="shared" si="4"/>
        <v>119.84152926671668</v>
      </c>
      <c r="AM24" s="59">
        <f t="shared" si="5"/>
        <v>402.17486260005001</v>
      </c>
      <c r="AN24" s="59">
        <f ca="1">AVERAGE(OFFSET($AM$3,0,0,'Données projet'!$E$10+1,1))-AVERAGE(OFFSET($H$3,0,0,'Données projet'!$E$10+1,1))</f>
        <v>374.01259415112554</v>
      </c>
      <c r="AO24" s="59">
        <f t="shared" si="36"/>
        <v>244.5696433180579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5.8</v>
      </c>
      <c r="BD24" s="12">
        <f>IF('Données projet'!$A$88&gt;35,BD23+BC24-BL23,IF(A24&lt;'Données projet'!$A$88,$BA$205^A24,IF(A24='Données projet'!$A$88,'Données projet'!$B$88,BD23+BC24-BL23)))</f>
        <v>59.8</v>
      </c>
      <c r="BE24" s="13">
        <f>BD24*VLOOKUP('Données projet'!$B$11,Paramètres!$A$1:$I$89,3,0)*VLOOKUP('Données projet'!$B$11,Paramètres!$A$1:$I$89,5,0)</f>
        <v>48.50976</v>
      </c>
      <c r="BF24" s="13">
        <f t="shared" si="37"/>
        <v>14.228223566336322</v>
      </c>
      <c r="BG24" s="20">
        <f t="shared" si="7"/>
        <v>109.26865471136909</v>
      </c>
      <c r="BH24" s="59">
        <f t="shared" si="8"/>
        <v>391.60198804470241</v>
      </c>
      <c r="BI24" s="59">
        <f ca="1">AVERAGE(OFFSET($BH$3,0,0,'Données projet'!$E$11+1,1))-AVERAGE(OFFSET($H$3,0,0,'Données projet'!$E$11+1,1))</f>
        <v>252.20412072815043</v>
      </c>
      <c r="BJ24" s="59">
        <f t="shared" si="38"/>
        <v>208.19930959443013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4.3037279999999996</v>
      </c>
      <c r="D25" s="11">
        <f t="shared" si="32"/>
        <v>1.6734677371599365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10.150746444861085</v>
      </c>
      <c r="H25" s="67">
        <f t="shared" si="1"/>
        <v>267.07694924222022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7.2264102564102561</v>
      </c>
      <c r="N25" s="13">
        <f>IF('Données projet'!$A$36&gt;35,N24+M25-V24,IF(A25&lt;'Données projet'!$A$36,$K$205^A25,IF(A25='Données projet'!$A$36,'Données projet'!$B$36,N24+M25-V24)))</f>
        <v>51.653390873361616</v>
      </c>
      <c r="O25" s="13">
        <f>N25*VLOOKUP('Données projet'!$B$9,Paramètres!$A$1:$I$89,3,0)*VLOOKUP('Données projet'!$B$9,Paramètres!$A$1:$I$89,5,0)</f>
        <v>24.173786928733236</v>
      </c>
      <c r="P25" s="13">
        <f t="shared" si="33"/>
        <v>7.6890986491341353</v>
      </c>
      <c r="Q25" s="20">
        <f t="shared" si="2"/>
        <v>55.494525714785674</v>
      </c>
      <c r="R25" s="59">
        <f t="shared" si="0"/>
        <v>339.0500812703412</v>
      </c>
      <c r="S25" s="59">
        <f ca="1">AVERAGE(OFFSET($R$3,0,0,'Données projet'!$E$9+1,1))-AVERAGE(OFFSET($H$3,0,0,'Données projet'!$E$9+1,1))</f>
        <v>270.18797004581819</v>
      </c>
      <c r="T25" s="59">
        <f t="shared" si="34"/>
        <v>246.88276293504617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6.6</v>
      </c>
      <c r="AI25" s="13">
        <f>IF('Données projet'!$A$62&gt;35,AI24+AH25-AQ24,IF(A25&lt;'Données projet'!$A$62,$AF$205^A25,IF(A25='Données projet'!$A$62,'Données projet'!$B$62,AI24+AH25-AQ24)))</f>
        <v>59.20000000000001</v>
      </c>
      <c r="AJ25" s="13">
        <f>AI25*VLOOKUP('Données projet'!$B$10,Paramètres!$A$1:$I$89,3,0)*VLOOKUP('Données projet'!$B$10,Paramètres!$A$1:$I$89,5,0)</f>
        <v>60.028800000000018</v>
      </c>
      <c r="AK25" s="13">
        <f t="shared" si="35"/>
        <v>17.175550352716172</v>
      </c>
      <c r="AL25" s="20">
        <f t="shared" si="4"/>
        <v>134.46424353098067</v>
      </c>
      <c r="AM25" s="59">
        <f t="shared" si="5"/>
        <v>418.01979908653618</v>
      </c>
      <c r="AN25" s="59">
        <f ca="1">AVERAGE(OFFSET($AM$3,0,0,'Données projet'!$E$10+1,1))-AVERAGE(OFFSET($H$3,0,0,'Données projet'!$E$10+1,1))</f>
        <v>374.01259415112554</v>
      </c>
      <c r="AO25" s="59">
        <f t="shared" si="36"/>
        <v>244.5696433180579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5.8</v>
      </c>
      <c r="BD25" s="12">
        <f>IF('Données projet'!$A$88&gt;35,BD24+BC25-BL24,IF(A25&lt;'Données projet'!$A$88,$BA$205^A25,IF(A25='Données projet'!$A$88,'Données projet'!$B$88,BD24+BC25-BL24)))</f>
        <v>65.599999999999994</v>
      </c>
      <c r="BE25" s="13">
        <f>BD25*VLOOKUP('Données projet'!$B$11,Paramètres!$A$1:$I$89,3,0)*VLOOKUP('Données projet'!$B$11,Paramètres!$A$1:$I$89,5,0)</f>
        <v>53.214719999999993</v>
      </c>
      <c r="BF25" s="13">
        <f t="shared" si="37"/>
        <v>15.440940408182183</v>
      </c>
      <c r="BG25" s="20">
        <f t="shared" si="7"/>
        <v>119.57527521091727</v>
      </c>
      <c r="BH25" s="59">
        <f t="shared" si="8"/>
        <v>403.1308307664728</v>
      </c>
      <c r="BI25" s="59">
        <f ca="1">AVERAGE(OFFSET($BH$3,0,0,'Données projet'!$E$11+1,1))-AVERAGE(OFFSET($H$3,0,0,'Données projet'!$E$11+1,1))</f>
        <v>252.20412072815043</v>
      </c>
      <c r="BJ25" s="59">
        <f t="shared" si="38"/>
        <v>208.19930959443013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4.4993519999999991</v>
      </c>
      <c r="D26" s="11">
        <f t="shared" si="32"/>
        <v>1.7405054163750073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10.596810489563168</v>
      </c>
      <c r="H26" s="67">
        <f t="shared" si="1"/>
        <v>267.5344183335198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7.2264102564102561</v>
      </c>
      <c r="N26" s="13">
        <f>IF('Données projet'!$A$36&gt;35,N25+M26-V25,IF(A26&lt;'Données projet'!$A$36,$K$205^A26,IF(A26='Données projet'!$A$36,'Données projet'!$B$36,N25+M26-V25)))</f>
        <v>61.796939298472864</v>
      </c>
      <c r="O26" s="13">
        <f>N26*VLOOKUP('Données projet'!$B$9,Paramètres!$A$1:$I$89,3,0)*VLOOKUP('Données projet'!$B$9,Paramètres!$A$1:$I$89,5,0)</f>
        <v>28.920967591685301</v>
      </c>
      <c r="P26" s="13">
        <f t="shared" si="33"/>
        <v>9.0090648177637647</v>
      </c>
      <c r="Q26" s="20">
        <f t="shared" si="2"/>
        <v>66.061473113123796</v>
      </c>
      <c r="R26" s="59">
        <f t="shared" si="0"/>
        <v>350.83925089090155</v>
      </c>
      <c r="S26" s="59">
        <f ca="1">AVERAGE(OFFSET($R$3,0,0,'Données projet'!$E$9+1,1))-AVERAGE(OFFSET($H$3,0,0,'Données projet'!$E$9+1,1))</f>
        <v>270.18797004581819</v>
      </c>
      <c r="T26" s="59">
        <f t="shared" si="34"/>
        <v>246.88276293504617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6.6</v>
      </c>
      <c r="AI26" s="13">
        <f>IF('Données projet'!$A$62&gt;35,AI25+AH26-AQ25,IF(A26&lt;'Données projet'!$A$62,$AF$205^A26,IF(A26='Données projet'!$A$62,'Données projet'!$B$62,AI25+AH26-AQ25)))</f>
        <v>65.800000000000011</v>
      </c>
      <c r="AJ26" s="13">
        <f>AI26*VLOOKUP('Données projet'!$B$10,Paramètres!$A$1:$I$89,3,0)*VLOOKUP('Données projet'!$B$10,Paramètres!$A$1:$I$89,5,0)</f>
        <v>66.721200000000024</v>
      </c>
      <c r="AK26" s="13">
        <f t="shared" si="35"/>
        <v>18.856956599005919</v>
      </c>
      <c r="AL26" s="20">
        <f t="shared" si="4"/>
        <v>149.04862274326868</v>
      </c>
      <c r="AM26" s="59">
        <f t="shared" si="5"/>
        <v>433.82640052104648</v>
      </c>
      <c r="AN26" s="59">
        <f ca="1">AVERAGE(OFFSET($AM$3,0,0,'Données projet'!$E$10+1,1))-AVERAGE(OFFSET($H$3,0,0,'Données projet'!$E$10+1,1))</f>
        <v>374.01259415112554</v>
      </c>
      <c r="AO26" s="59">
        <f t="shared" si="36"/>
        <v>244.5696433180579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5.8</v>
      </c>
      <c r="BD26" s="12">
        <f>IF('Données projet'!$A$88&gt;35,BD25+BC26-BL25,IF(A26&lt;'Données projet'!$A$88,$BA$205^A26,IF(A26='Données projet'!$A$88,'Données projet'!$B$88,BD25+BC26-BL25)))</f>
        <v>71.399999999999991</v>
      </c>
      <c r="BE26" s="13">
        <f>BD26*VLOOKUP('Données projet'!$B$11,Paramètres!$A$1:$I$89,3,0)*VLOOKUP('Données projet'!$B$11,Paramètres!$A$1:$I$89,5,0)</f>
        <v>57.91968</v>
      </c>
      <c r="BF26" s="13">
        <f t="shared" si="37"/>
        <v>16.641223534705848</v>
      </c>
      <c r="BG26" s="20">
        <f t="shared" si="7"/>
        <v>129.860240322946</v>
      </c>
      <c r="BH26" s="59">
        <f t="shared" si="8"/>
        <v>414.6380181007238</v>
      </c>
      <c r="BI26" s="59">
        <f ca="1">AVERAGE(OFFSET($BH$3,0,0,'Données projet'!$E$11+1,1))-AVERAGE(OFFSET($H$3,0,0,'Données projet'!$E$11+1,1))</f>
        <v>252.20412072815043</v>
      </c>
      <c r="BJ26" s="59">
        <f t="shared" si="38"/>
        <v>208.19930959443013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4.6949759999999987</v>
      </c>
      <c r="D27" s="11">
        <f t="shared" si="32"/>
        <v>1.8072045710620337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11.042299636470259</v>
      </c>
      <c r="H27" s="67">
        <f t="shared" si="1"/>
        <v>267.99129782793307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7.2264102564102561</v>
      </c>
      <c r="N27" s="13">
        <f>IF('Données projet'!$A$36&gt;35,N26+M27-V26,IF(A27&lt;'Données projet'!$A$36,$K$205^A27,IF(A27='Données projet'!$A$36,'Données projet'!$B$36,N26+M27-V26)))</f>
        <v>73.932449391789717</v>
      </c>
      <c r="O27" s="13">
        <f>N27*VLOOKUP('Données projet'!$B$9,Paramètres!$A$1:$I$89,3,0)*VLOOKUP('Données projet'!$B$9,Paramètres!$A$1:$I$89,5,0)</f>
        <v>34.600386315357589</v>
      </c>
      <c r="P27" s="13">
        <f t="shared" si="33"/>
        <v>10.555625905490055</v>
      </c>
      <c r="Q27" s="20">
        <f t="shared" si="2"/>
        <v>78.646721284642979</v>
      </c>
      <c r="R27" s="59">
        <f t="shared" si="0"/>
        <v>364.64672128464298</v>
      </c>
      <c r="S27" s="59">
        <f ca="1">AVERAGE(OFFSET($R$3,0,0,'Données projet'!$E$9+1,1))-AVERAGE(OFFSET($H$3,0,0,'Données projet'!$E$9+1,1))</f>
        <v>270.18797004581819</v>
      </c>
      <c r="T27" s="59">
        <f t="shared" si="34"/>
        <v>246.88276293504617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6.6</v>
      </c>
      <c r="AI27" s="13">
        <f>IF('Données projet'!$A$62&gt;35,AI26+AH27-AQ26,IF(A27&lt;'Données projet'!$A$62,$AF$205^A27,IF(A27='Données projet'!$A$62,'Données projet'!$B$62,AI26+AH27-AQ26)))</f>
        <v>72.400000000000006</v>
      </c>
      <c r="AJ27" s="13">
        <f>AI27*VLOOKUP('Données projet'!$B$10,Paramètres!$A$1:$I$89,3,0)*VLOOKUP('Données projet'!$B$10,Paramètres!$A$1:$I$89,5,0)</f>
        <v>73.413600000000002</v>
      </c>
      <c r="AK27" s="13">
        <f t="shared" si="35"/>
        <v>20.518811369252536</v>
      </c>
      <c r="AL27" s="20">
        <f t="shared" si="4"/>
        <v>163.59894980144816</v>
      </c>
      <c r="AM27" s="59">
        <f t="shared" si="5"/>
        <v>449.59894980144816</v>
      </c>
      <c r="AN27" s="59">
        <f ca="1">AVERAGE(OFFSET($AM$3,0,0,'Données projet'!$E$10+1,1))-AVERAGE(OFFSET($H$3,0,0,'Données projet'!$E$10+1,1))</f>
        <v>374.01259415112554</v>
      </c>
      <c r="AO27" s="59">
        <f t="shared" si="36"/>
        <v>244.5696433180579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5.8</v>
      </c>
      <c r="BD27" s="12">
        <f>IF('Données projet'!$A$88&gt;35,BD26+BC27-BL26,IF(A27&lt;'Données projet'!$A$88,$BA$205^A27,IF(A27='Données projet'!$A$88,'Données projet'!$B$88,BD26+BC27-BL26)))</f>
        <v>77.199999999999989</v>
      </c>
      <c r="BE27" s="13">
        <f>BD27*VLOOKUP('Données projet'!$B$11,Paramètres!$A$1:$I$89,3,0)*VLOOKUP('Données projet'!$B$11,Paramètres!$A$1:$I$89,5,0)</f>
        <v>62.624639999999999</v>
      </c>
      <c r="BF27" s="13">
        <f t="shared" si="37"/>
        <v>17.830197796836153</v>
      </c>
      <c r="BG27" s="20">
        <f t="shared" si="7"/>
        <v>140.12550916282296</v>
      </c>
      <c r="BH27" s="59">
        <f t="shared" si="8"/>
        <v>426.12550916282294</v>
      </c>
      <c r="BI27" s="59">
        <f ca="1">AVERAGE(OFFSET($BH$3,0,0,'Données projet'!$E$11+1,1))-AVERAGE(OFFSET($H$3,0,0,'Données projet'!$E$11+1,1))</f>
        <v>252.20412072815043</v>
      </c>
      <c r="BJ27" s="59">
        <f t="shared" si="38"/>
        <v>208.19930959443013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4.8905999999999983</v>
      </c>
      <c r="D28" s="11">
        <f t="shared" si="32"/>
        <v>1.873580919404785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11.487240578919</v>
      </c>
      <c r="H28" s="67">
        <f t="shared" si="1"/>
        <v>268.44761510129666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7.2264102564102561</v>
      </c>
      <c r="N28" s="13">
        <f>IF('Données projet'!$A$36&gt;35,N27+M28-V27,IF(A28&lt;'Données projet'!$A$36,$K$205^A28,IF(A28='Données projet'!$A$36,'Données projet'!$B$36,N27+M28-V27)))</f>
        <v>88.451097014195071</v>
      </c>
      <c r="O28" s="13">
        <f>N28*VLOOKUP('Données projet'!$B$9,Paramètres!$A$1:$I$89,3,0)*VLOOKUP('Données projet'!$B$9,Paramètres!$A$1:$I$89,5,0)</f>
        <v>41.39511340264329</v>
      </c>
      <c r="P28" s="13">
        <f t="shared" si="33"/>
        <v>12.367680831528276</v>
      </c>
      <c r="Q28" s="20">
        <f t="shared" si="2"/>
        <v>93.636866624515463</v>
      </c>
      <c r="R28" s="59">
        <f t="shared" si="0"/>
        <v>380.85908884673768</v>
      </c>
      <c r="S28" s="59">
        <f ca="1">AVERAGE(OFFSET($R$3,0,0,'Données projet'!$E$9+1,1))-AVERAGE(OFFSET($H$3,0,0,'Données projet'!$E$9+1,1))</f>
        <v>270.18797004581819</v>
      </c>
      <c r="T28" s="59">
        <f t="shared" si="34"/>
        <v>246.88276293504617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79</v>
      </c>
      <c r="AG28" s="12">
        <f>VLOOKUP(A28,'Données projet'!$A$61:$I$81,9,0)</f>
        <v>6.6</v>
      </c>
      <c r="AH28" s="12">
        <f t="array" ref="AH28">INDEX(AG:AG,MIN(IF(ISNUMBER(AG28:AG224),ROW(AG28:AG224),"")))</f>
        <v>6.6</v>
      </c>
      <c r="AI28" s="13">
        <f>IF('Données projet'!$A$62&gt;35,AI27+AH28-AQ27,IF(A28&lt;'Données projet'!$A$62,$AF$205^A28,IF(A28='Données projet'!$A$62,'Données projet'!$B$62,AI27+AH28-AQ27)))</f>
        <v>79</v>
      </c>
      <c r="AJ28" s="13">
        <f>AI28*VLOOKUP('Données projet'!$B$10,Paramètres!$A$1:$I$89,3,0)*VLOOKUP('Données projet'!$B$10,Paramètres!$A$1:$I$89,5,0)</f>
        <v>80.106000000000009</v>
      </c>
      <c r="AK28" s="13">
        <f t="shared" si="35"/>
        <v>22.163099682076496</v>
      </c>
      <c r="AL28" s="20">
        <f t="shared" si="4"/>
        <v>178.11868194628323</v>
      </c>
      <c r="AM28" s="59">
        <f t="shared" si="5"/>
        <v>465.34090416850546</v>
      </c>
      <c r="AN28" s="59">
        <f ca="1">AVERAGE(OFFSET($AM$3,0,0,'Données projet'!$E$10+1,1))-AVERAGE(OFFSET($H$3,0,0,'Données projet'!$E$10+1,1))</f>
        <v>374.01259415112554</v>
      </c>
      <c r="AO28" s="59">
        <f t="shared" si="36"/>
        <v>244.5696433180579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15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83</v>
      </c>
      <c r="BB28" s="12">
        <f>VLOOKUP(A28,'Données projet'!$A$87:$I$107,9,0)</f>
        <v>5.8</v>
      </c>
      <c r="BC28" s="12">
        <f t="array" ref="BC28">INDEX(BB:BB,MIN(IF(ISNUMBER(BB28:BB224),ROW(BB28:BB224),"")))</f>
        <v>5.8</v>
      </c>
      <c r="BD28" s="12">
        <f>IF('Données projet'!$A$88&gt;35,BD27+BC28-BL27,IF(A28&lt;'Données projet'!$A$88,$BA$205^A28,IF(A28='Données projet'!$A$88,'Données projet'!$B$88,BD27+BC28-BL27)))</f>
        <v>82.999999999999986</v>
      </c>
      <c r="BE28" s="13">
        <f>BD28*VLOOKUP('Données projet'!$B$11,Paramètres!$A$1:$I$89,3,0)*VLOOKUP('Données projet'!$B$11,Paramètres!$A$1:$I$89,5,0)</f>
        <v>67.329599999999999</v>
      </c>
      <c r="BF28" s="13">
        <f t="shared" si="37"/>
        <v>19.008809433660961</v>
      </c>
      <c r="BG28" s="20">
        <f t="shared" si="7"/>
        <v>150.37272976362615</v>
      </c>
      <c r="BH28" s="59">
        <f t="shared" si="8"/>
        <v>437.59495198584841</v>
      </c>
      <c r="BI28" s="59">
        <f ca="1">AVERAGE(OFFSET($BH$3,0,0,'Données projet'!$E$11+1,1))-AVERAGE(OFFSET($H$3,0,0,'Données projet'!$E$11+1,1))</f>
        <v>252.20412072815043</v>
      </c>
      <c r="BJ28" s="59">
        <f t="shared" si="38"/>
        <v>208.19930959443013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10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5.0862239999999979</v>
      </c>
      <c r="D29" s="11">
        <f t="shared" si="32"/>
        <v>1.9396488509563796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11.931657753904865</v>
      </c>
      <c r="H29" s="67">
        <f t="shared" si="1"/>
        <v>268.90339521541569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7.2264102564102561</v>
      </c>
      <c r="N29" s="13">
        <f>IF('Données projet'!$A$36&gt;35,N28+M29-V28,IF(A29&lt;'Données projet'!$A$36,$K$205^A29,IF(A29='Données projet'!$A$36,'Données projet'!$B$36,N28+M29-V28)))</f>
        <v>105.82087604801265</v>
      </c>
      <c r="O29" s="13">
        <f>N29*VLOOKUP('Données projet'!$B$9,Paramètres!$A$1:$I$89,3,0)*VLOOKUP('Données projet'!$B$9,Paramètres!$A$1:$I$89,5,0)</f>
        <v>49.524169990469915</v>
      </c>
      <c r="P29" s="13">
        <f t="shared" si="33"/>
        <v>14.490806184311312</v>
      </c>
      <c r="Q29" s="20">
        <f t="shared" si="2"/>
        <v>111.4927501710773</v>
      </c>
      <c r="R29" s="59">
        <f t="shared" si="0"/>
        <v>399.93719461552178</v>
      </c>
      <c r="S29" s="59">
        <f ca="1">AVERAGE(OFFSET($R$3,0,0,'Données projet'!$E$9+1,1))-AVERAGE(OFFSET($H$3,0,0,'Données projet'!$E$9+1,1))</f>
        <v>270.18797004581819</v>
      </c>
      <c r="T29" s="59">
        <f t="shared" si="34"/>
        <v>246.88276293504617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71</v>
      </c>
      <c r="AJ29" s="13">
        <f>AI29*VLOOKUP('Données projet'!$B$10,Paramètres!$A$1:$I$89,3,0)*VLOOKUP('Données projet'!$B$10,Paramètres!$A$1:$I$89,5,0)</f>
        <v>71.994</v>
      </c>
      <c r="AK29" s="13">
        <f t="shared" si="35"/>
        <v>20.167825678149413</v>
      </c>
      <c r="AL29" s="20">
        <f t="shared" si="4"/>
        <v>160.51517972277688</v>
      </c>
      <c r="AM29" s="59">
        <f t="shared" si="5"/>
        <v>448.95962416722136</v>
      </c>
      <c r="AN29" s="59">
        <f ca="1">AVERAGE(OFFSET($AM$3,0,0,'Données projet'!$E$10+1,1))-AVERAGE(OFFSET($H$3,0,0,'Données projet'!$E$10+1,1))</f>
        <v>374.01259415112554</v>
      </c>
      <c r="AO29" s="59">
        <f t="shared" si="36"/>
        <v>244.5696433180579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</v>
      </c>
      <c r="BD29" s="12">
        <f>IF('Données projet'!$A$88&gt;35,BD28+BC29-BL28,IF(A29&lt;'Données projet'!$A$88,$BA$205^A29,IF(A29='Données projet'!$A$88,'Données projet'!$B$88,BD28+BC29-BL28)))</f>
        <v>78.999999999999986</v>
      </c>
      <c r="BE29" s="13">
        <f>BD29*VLOOKUP('Données projet'!$B$11,Paramètres!$A$1:$I$89,3,0)*VLOOKUP('Données projet'!$B$11,Paramètres!$A$1:$I$89,5,0)</f>
        <v>64.084799999999987</v>
      </c>
      <c r="BF29" s="13">
        <f t="shared" si="37"/>
        <v>18.197042620605469</v>
      </c>
      <c r="BG29" s="20">
        <f t="shared" si="7"/>
        <v>143.30754256422117</v>
      </c>
      <c r="BH29" s="59">
        <f t="shared" si="8"/>
        <v>431.75198700866565</v>
      </c>
      <c r="BI29" s="59">
        <f ca="1">AVERAGE(OFFSET($BH$3,0,0,'Données projet'!$E$11+1,1))-AVERAGE(OFFSET($H$3,0,0,'Données projet'!$E$11+1,1))</f>
        <v>252.20412072815043</v>
      </c>
      <c r="BJ29" s="59">
        <f t="shared" si="38"/>
        <v>208.19930959443013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5.2818479999999974</v>
      </c>
      <c r="D30" s="11">
        <f t="shared" si="32"/>
        <v>2.0054215856967268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12.375573612200753</v>
      </c>
      <c r="H30" s="67">
        <f t="shared" si="1"/>
        <v>269.35866119508847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7.2264102564102561</v>
      </c>
      <c r="N30" s="13">
        <f>IF('Données projet'!$A$36&gt;35,N29+M30-V29,IF(A30&lt;'Données projet'!$A$36,$K$205^A30,IF(A30='Données projet'!$A$36,'Données projet'!$B$36,N29+M30-V29)))</f>
        <v>126.60168370519743</v>
      </c>
      <c r="O30" s="13">
        <f>N30*VLOOKUP('Données projet'!$B$9,Paramètres!$A$1:$I$89,3,0)*VLOOKUP('Données projet'!$B$9,Paramètres!$A$1:$I$89,5,0)</f>
        <v>59.249587974032401</v>
      </c>
      <c r="P30" s="13">
        <f t="shared" si="33"/>
        <v>16.97840255838226</v>
      </c>
      <c r="Q30" s="20">
        <f t="shared" si="2"/>
        <v>132.76375017728887</v>
      </c>
      <c r="R30" s="59">
        <f t="shared" si="0"/>
        <v>422.43041684395553</v>
      </c>
      <c r="S30" s="59">
        <f ca="1">AVERAGE(OFFSET($R$3,0,0,'Données projet'!$E$9+1,1))-AVERAGE(OFFSET($H$3,0,0,'Données projet'!$E$9+1,1))</f>
        <v>270.18797004581819</v>
      </c>
      <c r="T30" s="59">
        <f t="shared" si="34"/>
        <v>246.88276293504617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78</v>
      </c>
      <c r="AJ30" s="13">
        <f>AI30*VLOOKUP('Données projet'!$B$10,Paramètres!$A$1:$I$89,3,0)*VLOOKUP('Données projet'!$B$10,Paramètres!$A$1:$I$89,5,0)</f>
        <v>79.092000000000013</v>
      </c>
      <c r="AK30" s="13">
        <f t="shared" si="35"/>
        <v>21.915026131450009</v>
      </c>
      <c r="AL30" s="20">
        <f t="shared" si="4"/>
        <v>175.92057051227542</v>
      </c>
      <c r="AM30" s="59">
        <f t="shared" si="5"/>
        <v>465.58723717894213</v>
      </c>
      <c r="AN30" s="59">
        <f ca="1">AVERAGE(OFFSET($AM$3,0,0,'Données projet'!$E$10+1,1))-AVERAGE(OFFSET($H$3,0,0,'Données projet'!$E$10+1,1))</f>
        <v>374.01259415112554</v>
      </c>
      <c r="AO30" s="59">
        <f t="shared" si="36"/>
        <v>244.5696433180579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</v>
      </c>
      <c r="BD30" s="12">
        <f>IF('Données projet'!$A$88&gt;35,BD29+BC30-BL29,IF(A30&lt;'Données projet'!$A$88,$BA$205^A30,IF(A30='Données projet'!$A$88,'Données projet'!$B$88,BD29+BC30-BL29)))</f>
        <v>84.999999999999986</v>
      </c>
      <c r="BE30" s="13">
        <f>BD30*VLOOKUP('Données projet'!$B$11,Paramètres!$A$1:$I$89,3,0)*VLOOKUP('Données projet'!$B$11,Paramètres!$A$1:$I$89,5,0)</f>
        <v>68.951999999999998</v>
      </c>
      <c r="BF30" s="13">
        <f t="shared" si="37"/>
        <v>19.412974191553594</v>
      </c>
      <c r="BG30" s="20">
        <f t="shared" si="7"/>
        <v>153.90233005028915</v>
      </c>
      <c r="BH30" s="59">
        <f t="shared" si="8"/>
        <v>443.56899671695584</v>
      </c>
      <c r="BI30" s="59">
        <f ca="1">AVERAGE(OFFSET($BH$3,0,0,'Données projet'!$E$11+1,1))-AVERAGE(OFFSET($H$3,0,0,'Données projet'!$E$11+1,1))</f>
        <v>252.20412072815043</v>
      </c>
      <c r="BJ30" s="59">
        <f t="shared" si="38"/>
        <v>208.19930959443013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5.477471999999997</v>
      </c>
      <c r="D31" s="11">
        <f t="shared" si="32"/>
        <v>2.0709113088634803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12.819008847333064</v>
      </c>
      <c r="H31" s="67">
        <f t="shared" si="1"/>
        <v>269.81343426293722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7.2264102564102561</v>
      </c>
      <c r="N31" s="13">
        <f>IF('Données projet'!$A$36&gt;35,N30+M31-V30,IF(A31&lt;'Données projet'!$A$36,$K$205^A31,IF(A31='Données projet'!$A$36,'Données projet'!$B$36,N30+M31-V30)))</f>
        <v>151.46336824615491</v>
      </c>
      <c r="O31" s="13">
        <f>N31*VLOOKUP('Données projet'!$B$9,Paramètres!$A$1:$I$89,3,0)*VLOOKUP('Données projet'!$B$9,Paramètres!$A$1:$I$89,5,0)</f>
        <v>70.884856339200496</v>
      </c>
      <c r="P31" s="13">
        <f t="shared" si="33"/>
        <v>19.893037679751526</v>
      </c>
      <c r="Q31" s="20">
        <f t="shared" si="2"/>
        <v>158.10483208300809</v>
      </c>
      <c r="R31" s="59">
        <f t="shared" si="0"/>
        <v>448.99372097189695</v>
      </c>
      <c r="S31" s="59">
        <f ca="1">AVERAGE(OFFSET($R$3,0,0,'Données projet'!$E$9+1,1))-AVERAGE(OFFSET($H$3,0,0,'Données projet'!$E$9+1,1))</f>
        <v>270.18797004581819</v>
      </c>
      <c r="T31" s="59">
        <f t="shared" si="34"/>
        <v>246.88276293504617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85</v>
      </c>
      <c r="AJ31" s="13">
        <f>AI31*VLOOKUP('Données projet'!$B$10,Paramètres!$A$1:$I$89,3,0)*VLOOKUP('Données projet'!$B$10,Paramètres!$A$1:$I$89,5,0)</f>
        <v>86.19</v>
      </c>
      <c r="AK31" s="13">
        <f t="shared" si="35"/>
        <v>23.644044315518833</v>
      </c>
      <c r="AL31" s="20">
        <f t="shared" si="4"/>
        <v>191.29429384952866</v>
      </c>
      <c r="AM31" s="59">
        <f t="shared" si="5"/>
        <v>482.18318273841749</v>
      </c>
      <c r="AN31" s="59">
        <f ca="1">AVERAGE(OFFSET($AM$3,0,0,'Données projet'!$E$10+1,1))-AVERAGE(OFFSET($H$3,0,0,'Données projet'!$E$10+1,1))</f>
        <v>374.01259415112554</v>
      </c>
      <c r="AO31" s="59">
        <f t="shared" si="36"/>
        <v>244.5696433180579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</v>
      </c>
      <c r="BD31" s="12">
        <f>IF('Données projet'!$A$88&gt;35,BD30+BC31-BL30,IF(A31&lt;'Données projet'!$A$88,$BA$205^A31,IF(A31='Données projet'!$A$88,'Données projet'!$B$88,BD30+BC31-BL30)))</f>
        <v>90.999999999999986</v>
      </c>
      <c r="BE31" s="13">
        <f>BD31*VLOOKUP('Données projet'!$B$11,Paramètres!$A$1:$I$89,3,0)*VLOOKUP('Données projet'!$B$11,Paramètres!$A$1:$I$89,5,0)</f>
        <v>73.819199999999995</v>
      </c>
      <c r="BF31" s="13">
        <f t="shared" si="37"/>
        <v>20.618947302373449</v>
      </c>
      <c r="BG31" s="20">
        <f t="shared" si="7"/>
        <v>164.47977321830038</v>
      </c>
      <c r="BH31" s="59">
        <f t="shared" si="8"/>
        <v>455.36866210718927</v>
      </c>
      <c r="BI31" s="59">
        <f ca="1">AVERAGE(OFFSET($BH$3,0,0,'Données projet'!$E$11+1,1))-AVERAGE(OFFSET($H$3,0,0,'Données projet'!$E$11+1,1))</f>
        <v>252.20412072815043</v>
      </c>
      <c r="BJ31" s="59">
        <f t="shared" si="38"/>
        <v>208.19930959443013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5.6730959999999966</v>
      </c>
      <c r="D32" s="11">
        <f t="shared" si="32"/>
        <v>2.1361292859801568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13.261982590927699</v>
      </c>
      <c r="H32" s="67">
        <f t="shared" si="1"/>
        <v>270.2677340397488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7.2264102564102561</v>
      </c>
      <c r="N32" s="13">
        <f>IF('Données projet'!$A$36&gt;35,N31+M32-V31,IF(A32&lt;'Données projet'!$A$36,$K$205^A32,IF(A32='Données projet'!$A$36,'Données projet'!$B$36,N31+M32-V31)))</f>
        <v>181.20732085910257</v>
      </c>
      <c r="O32" s="13">
        <f>N32*VLOOKUP('Données projet'!$B$9,Paramètres!$A$1:$I$89,3,0)*VLOOKUP('Données projet'!$B$9,Paramètres!$A$1:$I$89,5,0)</f>
        <v>84.805026162060003</v>
      </c>
      <c r="P32" s="13">
        <f t="shared" si="33"/>
        <v>23.308020101846395</v>
      </c>
      <c r="Q32" s="20">
        <f t="shared" si="2"/>
        <v>188.29688890963698</v>
      </c>
      <c r="R32" s="59">
        <f t="shared" si="0"/>
        <v>480.40800002074809</v>
      </c>
      <c r="S32" s="59">
        <f ca="1">AVERAGE(OFFSET($R$3,0,0,'Données projet'!$E$9+1,1))-AVERAGE(OFFSET($H$3,0,0,'Données projet'!$E$9+1,1))</f>
        <v>270.18797004581819</v>
      </c>
      <c r="T32" s="59">
        <f t="shared" si="34"/>
        <v>246.88276293504617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92</v>
      </c>
      <c r="AJ32" s="13">
        <f>AI32*VLOOKUP('Données projet'!$B$10,Paramètres!$A$1:$I$89,3,0)*VLOOKUP('Données projet'!$B$10,Paramètres!$A$1:$I$89,5,0)</f>
        <v>93.288000000000011</v>
      </c>
      <c r="AK32" s="13">
        <f t="shared" si="35"/>
        <v>25.356547829040977</v>
      </c>
      <c r="AL32" s="20">
        <f t="shared" si="4"/>
        <v>206.63925413557971</v>
      </c>
      <c r="AM32" s="59">
        <f t="shared" si="5"/>
        <v>498.75036524669088</v>
      </c>
      <c r="AN32" s="59">
        <f ca="1">AVERAGE(OFFSET($AM$3,0,0,'Données projet'!$E$10+1,1))-AVERAGE(OFFSET($H$3,0,0,'Données projet'!$E$10+1,1))</f>
        <v>374.01259415112554</v>
      </c>
      <c r="AO32" s="59">
        <f t="shared" si="36"/>
        <v>244.5696433180579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</v>
      </c>
      <c r="BD32" s="12">
        <f>IF('Données projet'!$A$88&gt;35,BD31+BC32-BL31,IF(A32&lt;'Données projet'!$A$88,$BA$205^A32,IF(A32='Données projet'!$A$88,'Données projet'!$B$88,BD31+BC32-BL31)))</f>
        <v>96.999999999999986</v>
      </c>
      <c r="BE32" s="13">
        <f>BD32*VLOOKUP('Données projet'!$B$11,Paramètres!$A$1:$I$89,3,0)*VLOOKUP('Données projet'!$B$11,Paramètres!$A$1:$I$89,5,0)</f>
        <v>78.686400000000006</v>
      </c>
      <c r="BF32" s="13">
        <f t="shared" si="37"/>
        <v>21.815693271997169</v>
      </c>
      <c r="BG32" s="20">
        <f t="shared" si="7"/>
        <v>175.04114578206176</v>
      </c>
      <c r="BH32" s="59">
        <f t="shared" si="8"/>
        <v>467.15225689317288</v>
      </c>
      <c r="BI32" s="59">
        <f ca="1">AVERAGE(OFFSET($BH$3,0,0,'Données projet'!$E$11+1,1))-AVERAGE(OFFSET($H$3,0,0,'Données projet'!$E$11+1,1))</f>
        <v>252.20412072815043</v>
      </c>
      <c r="BJ32" s="59">
        <f t="shared" si="38"/>
        <v>208.19930959443013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5.8687199999999962</v>
      </c>
      <c r="D33" s="11">
        <f t="shared" si="32"/>
        <v>2.2010859615725535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13.704512580354788</v>
      </c>
      <c r="H33" s="67">
        <f t="shared" si="1"/>
        <v>270.72157871640553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216.79230769230767</v>
      </c>
      <c r="L33" s="12">
        <f>VLOOKUP(A33,'Données projet'!$A$35:$I$55,9,0)</f>
        <v>7.2264102564102561</v>
      </c>
      <c r="M33" s="12">
        <f t="array" ref="M33">INDEX(L:L,MIN(IF(ISNUMBER(L33:L229),ROW(L33:L229),"")))</f>
        <v>7.2264102564102561</v>
      </c>
      <c r="N33" s="13">
        <f>IF('Données projet'!$A$36&gt;35,N32+M33-V32,IF(A33&lt;'Données projet'!$A$36,$K$205^A33,IF(A33='Données projet'!$A$36,'Données projet'!$B$36,N32+M33-V32)))</f>
        <v>216.79230769230767</v>
      </c>
      <c r="O33" s="13">
        <f>N33*VLOOKUP('Données projet'!$B$9,Paramètres!$A$1:$I$89,3,0)*VLOOKUP('Données projet'!$B$9,Paramètres!$A$1:$I$89,5,0)</f>
        <v>101.45879999999998</v>
      </c>
      <c r="P33" s="13">
        <f t="shared" si="33"/>
        <v>27.309243053465156</v>
      </c>
      <c r="Q33" s="20">
        <f t="shared" si="2"/>
        <v>224.27100831811845</v>
      </c>
      <c r="R33" s="59">
        <f t="shared" si="0"/>
        <v>517.6043416514517</v>
      </c>
      <c r="S33" s="59">
        <f ca="1">AVERAGE(OFFSET($R$3,0,0,'Données projet'!$E$9+1,1))-AVERAGE(OFFSET($H$3,0,0,'Données projet'!$E$9+1,1))</f>
        <v>270.18797004581819</v>
      </c>
      <c r="T33" s="59">
        <f t="shared" si="34"/>
        <v>246.88276293504617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0.11000000000000001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99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99</v>
      </c>
      <c r="AJ33" s="13">
        <f>AI33*VLOOKUP('Données projet'!$B$10,Paramètres!$A$1:$I$89,3,0)*VLOOKUP('Données projet'!$B$10,Paramètres!$A$1:$I$89,5,0)</f>
        <v>100.38600000000001</v>
      </c>
      <c r="AK33" s="13">
        <f t="shared" si="35"/>
        <v>27.05393609634266</v>
      </c>
      <c r="AL33" s="20">
        <f t="shared" si="4"/>
        <v>221.95788870113014</v>
      </c>
      <c r="AM33" s="59">
        <f t="shared" si="5"/>
        <v>515.29122203446343</v>
      </c>
      <c r="AN33" s="59">
        <f ca="1">AVERAGE(OFFSET($AM$3,0,0,'Données projet'!$E$10+1,1))-AVERAGE(OFFSET($H$3,0,0,'Données projet'!$E$10+1,1))</f>
        <v>374.01259415112554</v>
      </c>
      <c r="AO33" s="59">
        <f t="shared" si="36"/>
        <v>244.5696433180579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17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103</v>
      </c>
      <c r="BB33" s="12">
        <f>VLOOKUP(A33,'Données projet'!$A$87:$I$107,9,0)</f>
        <v>6</v>
      </c>
      <c r="BC33" s="12">
        <f t="array" ref="BC33">INDEX(BB:BB,MIN(IF(ISNUMBER(BB33:BB229),ROW(BB33:BB229),"")))</f>
        <v>6</v>
      </c>
      <c r="BD33" s="12">
        <f>IF('Données projet'!$A$88&gt;35,BD32+BC33-BL32,IF(A33&lt;'Données projet'!$A$88,$BA$205^A33,IF(A33='Données projet'!$A$88,'Données projet'!$B$88,BD32+BC33-BL32)))</f>
        <v>102.99999999999999</v>
      </c>
      <c r="BE33" s="13">
        <f>BD33*VLOOKUP('Données projet'!$B$11,Paramètres!$A$1:$I$89,3,0)*VLOOKUP('Données projet'!$B$11,Paramètres!$A$1:$I$89,5,0)</f>
        <v>83.553599999999989</v>
      </c>
      <c r="BF33" s="13">
        <f t="shared" si="37"/>
        <v>23.00384783397265</v>
      </c>
      <c r="BG33" s="20">
        <f t="shared" si="7"/>
        <v>185.58755497750235</v>
      </c>
      <c r="BH33" s="59">
        <f t="shared" si="8"/>
        <v>478.92088831083566</v>
      </c>
      <c r="BI33" s="59">
        <f ca="1">AVERAGE(OFFSET($BH$3,0,0,'Données projet'!$E$11+1,1))-AVERAGE(OFFSET($H$3,0,0,'Données projet'!$E$11+1,1))</f>
        <v>252.20412072815043</v>
      </c>
      <c r="BJ33" s="59">
        <f t="shared" si="38"/>
        <v>208.19930959443013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11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6.0643439999999957</v>
      </c>
      <c r="D34" s="11">
        <f t="shared" si="32"/>
        <v>2.265791044353243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14.146615303392869</v>
      </c>
      <c r="H34" s="67">
        <f t="shared" si="1"/>
        <v>271.17498520224859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15.252564102564108</v>
      </c>
      <c r="N34" s="13">
        <f>IF('Données projet'!$A$36&gt;35,N33+M34-V33,IF(A34&lt;'Données projet'!$A$36,$K$205^A34,IF(A34='Données projet'!$A$36,'Données projet'!$B$36,N33+M34-V33)))</f>
        <v>232.04487179487177</v>
      </c>
      <c r="O34" s="13">
        <f>N34*VLOOKUP('Données projet'!$B$9,Paramètres!$A$1:$I$89,3,0)*VLOOKUP('Données projet'!$B$9,Paramètres!$A$1:$I$89,5,0)</f>
        <v>108.59699999999999</v>
      </c>
      <c r="P34" s="13">
        <f t="shared" si="33"/>
        <v>29.000180279160592</v>
      </c>
      <c r="Q34" s="20">
        <f t="shared" si="2"/>
        <v>239.64842231953807</v>
      </c>
      <c r="R34" s="59">
        <f t="shared" si="0"/>
        <v>532.98175565287136</v>
      </c>
      <c r="S34" s="59">
        <f ca="1">AVERAGE(OFFSET($R$3,0,0,'Données projet'!$E$9+1,1))-AVERAGE(OFFSET($H$3,0,0,'Données projet'!$E$9+1,1))</f>
        <v>270.18797004581819</v>
      </c>
      <c r="T34" s="59">
        <f t="shared" si="34"/>
        <v>246.88276293504617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7.4</v>
      </c>
      <c r="AI34" s="13">
        <f>IF('Données projet'!$A$62&gt;35,AI33+AH34-AQ33,IF(A34&lt;'Données projet'!$A$62,$AF$205^A34,IF(A34='Données projet'!$A$62,'Données projet'!$B$62,AI33+AH34-AQ33)))</f>
        <v>89.4</v>
      </c>
      <c r="AJ34" s="13">
        <f>AI34*VLOOKUP('Données projet'!$B$10,Paramètres!$A$1:$I$89,3,0)*VLOOKUP('Données projet'!$B$10,Paramètres!$A$1:$I$89,5,0)</f>
        <v>90.651600000000016</v>
      </c>
      <c r="AK34" s="13">
        <f t="shared" si="35"/>
        <v>24.722309183064368</v>
      </c>
      <c r="AL34" s="20">
        <f t="shared" si="4"/>
        <v>200.94289182717046</v>
      </c>
      <c r="AM34" s="59">
        <f t="shared" si="5"/>
        <v>494.27622516050377</v>
      </c>
      <c r="AN34" s="59">
        <f ca="1">AVERAGE(OFFSET($AM$3,0,0,'Données projet'!$E$10+1,1))-AVERAGE(OFFSET($H$3,0,0,'Données projet'!$E$10+1,1))</f>
        <v>374.01259415112554</v>
      </c>
      <c r="AO34" s="59">
        <f t="shared" si="36"/>
        <v>244.5696433180579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5.8</v>
      </c>
      <c r="BD34" s="12">
        <f>IF('Données projet'!$A$88&gt;35,BD33+BC34-BL33,IF(A34&lt;'Données projet'!$A$88,$BA$205^A34,IF(A34='Données projet'!$A$88,'Données projet'!$B$88,BD33+BC34-BL33)))</f>
        <v>97.799999999999983</v>
      </c>
      <c r="BE34" s="13">
        <f>BD34*VLOOKUP('Données projet'!$B$11,Paramètres!$A$1:$I$89,3,0)*VLOOKUP('Données projet'!$B$11,Paramètres!$A$1:$I$89,5,0)</f>
        <v>79.335359999999994</v>
      </c>
      <c r="BF34" s="13">
        <f t="shared" si="37"/>
        <v>21.974597372641874</v>
      </c>
      <c r="BG34" s="20">
        <f t="shared" si="7"/>
        <v>176.44817575735124</v>
      </c>
      <c r="BH34" s="59">
        <f t="shared" si="8"/>
        <v>469.78150909068455</v>
      </c>
      <c r="BI34" s="59">
        <f ca="1">AVERAGE(OFFSET($BH$3,0,0,'Données projet'!$E$11+1,1))-AVERAGE(OFFSET($H$3,0,0,'Données projet'!$E$11+1,1))</f>
        <v>252.20412072815043</v>
      </c>
      <c r="BJ34" s="59">
        <f t="shared" si="38"/>
        <v>208.19930959443013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6.2599679999999953</v>
      </c>
      <c r="D35" s="11">
        <f t="shared" si="32"/>
        <v>2.3302535811057461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14.588306123702383</v>
      </c>
      <c r="H35" s="67">
        <f t="shared" si="1"/>
        <v>271.6279692537592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15.252564102564108</v>
      </c>
      <c r="N35" s="13">
        <f>IF('Données projet'!$A$36&gt;35,N34+M35-V34,IF(A35&lt;'Données projet'!$A$36,$K$205^A35,IF(A35='Données projet'!$A$36,'Données projet'!$B$36,N34+M35-V34)))</f>
        <v>247.29743589743589</v>
      </c>
      <c r="O35" s="13">
        <f>N35*VLOOKUP('Données projet'!$B$9,Paramètres!$A$1:$I$89,3,0)*VLOOKUP('Données projet'!$B$9,Paramètres!$A$1:$I$89,5,0)</f>
        <v>115.73519999999999</v>
      </c>
      <c r="P35" s="13">
        <f t="shared" si="33"/>
        <v>30.678219541597265</v>
      </c>
      <c r="Q35" s="20">
        <f t="shared" ref="Q35:Q66" si="53">(O35+P35)*0.475*44/12</f>
        <v>255.0033723682819</v>
      </c>
      <c r="R35" s="59">
        <f t="shared" si="0"/>
        <v>548.33670570161519</v>
      </c>
      <c r="S35" s="59">
        <f ca="1">AVERAGE(OFFSET($R$3,0,0,'Données projet'!$E$9+1,1))-AVERAGE(OFFSET($H$3,0,0,'Données projet'!$E$9+1,1))</f>
        <v>270.18797004581819</v>
      </c>
      <c r="T35" s="59">
        <f t="shared" si="34"/>
        <v>246.88276293504617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7.4</v>
      </c>
      <c r="AI35" s="13">
        <f>IF('Données projet'!$A$62&gt;35,AI34+AH35-AQ34,IF(A35&lt;'Données projet'!$A$62,$AF$205^A35,IF(A35='Données projet'!$A$62,'Données projet'!$B$62,AI34+AH35-AQ34)))</f>
        <v>96.800000000000011</v>
      </c>
      <c r="AJ35" s="13">
        <f>AI35*VLOOKUP('Données projet'!$B$10,Paramètres!$A$1:$I$89,3,0)*VLOOKUP('Données projet'!$B$10,Paramètres!$A$1:$I$89,5,0)</f>
        <v>98.155200000000022</v>
      </c>
      <c r="AK35" s="13">
        <f t="shared" si="35"/>
        <v>26.522024238465775</v>
      </c>
      <c r="AL35" s="20">
        <f t="shared" si="4"/>
        <v>217.14616554866123</v>
      </c>
      <c r="AM35" s="59">
        <f t="shared" si="5"/>
        <v>510.47949888199457</v>
      </c>
      <c r="AN35" s="59">
        <f ca="1">AVERAGE(OFFSET($AM$3,0,0,'Données projet'!$E$10+1,1))-AVERAGE(OFFSET($H$3,0,0,'Données projet'!$E$10+1,1))</f>
        <v>374.01259415112554</v>
      </c>
      <c r="AO35" s="59">
        <f t="shared" si="36"/>
        <v>244.5696433180579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5.8</v>
      </c>
      <c r="BD35" s="12">
        <f>IF('Données projet'!$A$88&gt;35,BD34+BC35-BL34,IF(A35&lt;'Données projet'!$A$88,$BA$205^A35,IF(A35='Données projet'!$A$88,'Données projet'!$B$88,BD34+BC35-BL34)))</f>
        <v>103.59999999999998</v>
      </c>
      <c r="BE35" s="13">
        <f>BD35*VLOOKUP('Données projet'!$B$11,Paramètres!$A$1:$I$89,3,0)*VLOOKUP('Données projet'!$B$11,Paramètres!$A$1:$I$89,5,0)</f>
        <v>84.040319999999994</v>
      </c>
      <c r="BF35" s="13">
        <f t="shared" si="37"/>
        <v>23.122212826195224</v>
      </c>
      <c r="BG35" s="20">
        <f t="shared" si="7"/>
        <v>186.64141133895666</v>
      </c>
      <c r="BH35" s="59">
        <f t="shared" si="8"/>
        <v>479.97474467228994</v>
      </c>
      <c r="BI35" s="59">
        <f ca="1">AVERAGE(OFFSET($BH$3,0,0,'Données projet'!$E$11+1,1))-AVERAGE(OFFSET($H$3,0,0,'Données projet'!$E$11+1,1))</f>
        <v>252.20412072815043</v>
      </c>
      <c r="BJ35" s="59">
        <f t="shared" si="38"/>
        <v>208.19930959443013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6.4555919999999949</v>
      </c>
      <c r="D36" s="11">
        <f t="shared" si="32"/>
        <v>2.3944820210737459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15.029599390174354</v>
      </c>
      <c r="H36" s="67">
        <f t="shared" si="1"/>
        <v>272.08054558670347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15.252564102564108</v>
      </c>
      <c r="N36" s="13">
        <f>IF('Données projet'!$A$36&gt;35,N35+M36-V35,IF(A36&lt;'Données projet'!$A$36,$K$205^A36,IF(A36='Données projet'!$A$36,'Données projet'!$B$36,N35+M36-V35)))</f>
        <v>262.55</v>
      </c>
      <c r="O36" s="13">
        <f>N36*VLOOKUP('Données projet'!$B$9,Paramètres!$A$1:$I$89,3,0)*VLOOKUP('Données projet'!$B$9,Paramètres!$A$1:$I$89,5,0)</f>
        <v>122.8734</v>
      </c>
      <c r="P36" s="13">
        <f t="shared" si="33"/>
        <v>32.344246922925713</v>
      </c>
      <c r="Q36" s="20">
        <f t="shared" si="53"/>
        <v>270.33740172409563</v>
      </c>
      <c r="R36" s="59">
        <f t="shared" si="0"/>
        <v>563.67073505742894</v>
      </c>
      <c r="S36" s="59">
        <f ca="1">AVERAGE(OFFSET($R$3,0,0,'Données projet'!$E$9+1,1))-AVERAGE(OFFSET($H$3,0,0,'Données projet'!$E$9+1,1))</f>
        <v>270.18797004581819</v>
      </c>
      <c r="T36" s="59">
        <f t="shared" si="34"/>
        <v>246.88276293504617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7.4</v>
      </c>
      <c r="AI36" s="13">
        <f>IF('Données projet'!$A$62&gt;35,AI35+AH36-AQ35,IF(A36&lt;'Données projet'!$A$62,$AF$205^A36,IF(A36='Données projet'!$A$62,'Données projet'!$B$62,AI35+AH36-AQ35)))</f>
        <v>104.20000000000002</v>
      </c>
      <c r="AJ36" s="13">
        <f>AI36*VLOOKUP('Données projet'!$B$10,Paramètres!$A$1:$I$89,3,0)*VLOOKUP('Données projet'!$B$10,Paramètres!$A$1:$I$89,5,0)</f>
        <v>105.65880000000003</v>
      </c>
      <c r="AK36" s="13">
        <f t="shared" si="35"/>
        <v>28.305779445097876</v>
      </c>
      <c r="AL36" s="20">
        <f t="shared" si="4"/>
        <v>233.32164253354551</v>
      </c>
      <c r="AM36" s="59">
        <f t="shared" si="5"/>
        <v>526.65497586687889</v>
      </c>
      <c r="AN36" s="59">
        <f ca="1">AVERAGE(OFFSET($AM$3,0,0,'Données projet'!$E$10+1,1))-AVERAGE(OFFSET($H$3,0,0,'Données projet'!$E$10+1,1))</f>
        <v>374.01259415112554</v>
      </c>
      <c r="AO36" s="59">
        <f t="shared" si="36"/>
        <v>244.5696433180579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5.8</v>
      </c>
      <c r="BD36" s="12">
        <f>IF('Données projet'!$A$88&gt;35,BD35+BC36-BL35,IF(A36&lt;'Données projet'!$A$88,$BA$205^A36,IF(A36='Données projet'!$A$88,'Données projet'!$B$88,BD35+BC36-BL35)))</f>
        <v>109.39999999999998</v>
      </c>
      <c r="BE36" s="13">
        <f>BD36*VLOOKUP('Données projet'!$B$11,Paramètres!$A$1:$I$89,3,0)*VLOOKUP('Données projet'!$B$11,Paramètres!$A$1:$I$89,5,0)</f>
        <v>88.745279999999994</v>
      </c>
      <c r="BF36" s="13">
        <f t="shared" si="37"/>
        <v>24.262369928218718</v>
      </c>
      <c r="BG36" s="20">
        <f t="shared" si="7"/>
        <v>196.82165695831426</v>
      </c>
      <c r="BH36" s="59">
        <f t="shared" si="8"/>
        <v>490.15499029164755</v>
      </c>
      <c r="BI36" s="59">
        <f ca="1">AVERAGE(OFFSET($BH$3,0,0,'Données projet'!$E$11+1,1))-AVERAGE(OFFSET($H$3,0,0,'Données projet'!$E$11+1,1))</f>
        <v>252.20412072815043</v>
      </c>
      <c r="BJ36" s="59">
        <f t="shared" si="38"/>
        <v>208.19930959443013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6.6512159999999945</v>
      </c>
      <c r="D37" s="11">
        <f t="shared" si="32"/>
        <v>2.4584842723262592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15.470508532652305</v>
      </c>
      <c r="H37" s="67">
        <f t="shared" si="1"/>
        <v>272.53272797430157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15.252564102564108</v>
      </c>
      <c r="N37" s="13">
        <f>IF('Données projet'!$A$36&gt;35,N36+M37-V36,IF(A37&lt;'Données projet'!$A$36,$K$205^A37,IF(A37='Données projet'!$A$36,'Données projet'!$B$36,N36+M37-V36)))</f>
        <v>277.80256410256413</v>
      </c>
      <c r="O37" s="13">
        <f>N37*VLOOKUP('Données projet'!$B$9,Paramètres!$A$1:$I$89,3,0)*VLOOKUP('Données projet'!$B$9,Paramètres!$A$1:$I$89,5,0)</f>
        <v>130.01160000000002</v>
      </c>
      <c r="P37" s="13">
        <f t="shared" si="33"/>
        <v>33.99903973784582</v>
      </c>
      <c r="Q37" s="20">
        <f t="shared" si="53"/>
        <v>285.65186421008156</v>
      </c>
      <c r="R37" s="59">
        <f t="shared" si="0"/>
        <v>578.98519754341487</v>
      </c>
      <c r="S37" s="59">
        <f ca="1">AVERAGE(OFFSET($R$3,0,0,'Données projet'!$E$9+1,1))-AVERAGE(OFFSET($H$3,0,0,'Données projet'!$E$9+1,1))</f>
        <v>270.18797004581819</v>
      </c>
      <c r="T37" s="59">
        <f t="shared" si="34"/>
        <v>246.88276293504617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7.4</v>
      </c>
      <c r="AI37" s="13">
        <f>IF('Données projet'!$A$62&gt;35,AI36+AH37-AQ36,IF(A37&lt;'Données projet'!$A$62,$AF$205^A37,IF(A37='Données projet'!$A$62,'Données projet'!$B$62,AI36+AH37-AQ36)))</f>
        <v>111.60000000000002</v>
      </c>
      <c r="AJ37" s="13">
        <f>AI37*VLOOKUP('Données projet'!$B$10,Paramètres!$A$1:$I$89,3,0)*VLOOKUP('Données projet'!$B$10,Paramètres!$A$1:$I$89,5,0)</f>
        <v>113.16240000000003</v>
      </c>
      <c r="AK37" s="13">
        <f t="shared" si="35"/>
        <v>30.074837140704965</v>
      </c>
      <c r="AL37" s="20">
        <f t="shared" si="4"/>
        <v>249.47152135339448</v>
      </c>
      <c r="AM37" s="59">
        <f t="shared" si="5"/>
        <v>542.80485468672782</v>
      </c>
      <c r="AN37" s="59">
        <f ca="1">AVERAGE(OFFSET($AM$3,0,0,'Données projet'!$E$10+1,1))-AVERAGE(OFFSET($H$3,0,0,'Données projet'!$E$10+1,1))</f>
        <v>374.01259415112554</v>
      </c>
      <c r="AO37" s="59">
        <f t="shared" si="36"/>
        <v>244.5696433180579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5.8</v>
      </c>
      <c r="BD37" s="12">
        <f>IF('Données projet'!$A$88&gt;35,BD36+BC37-BL36,IF(A37&lt;'Données projet'!$A$88,$BA$205^A37,IF(A37='Données projet'!$A$88,'Données projet'!$B$88,BD36+BC37-BL36)))</f>
        <v>115.19999999999997</v>
      </c>
      <c r="BE37" s="13">
        <f>BD37*VLOOKUP('Données projet'!$B$11,Paramètres!$A$1:$I$89,3,0)*VLOOKUP('Données projet'!$B$11,Paramètres!$A$1:$I$89,5,0)</f>
        <v>93.45023999999998</v>
      </c>
      <c r="BF37" s="13">
        <f t="shared" si="37"/>
        <v>25.395509184428445</v>
      </c>
      <c r="BG37" s="20">
        <f t="shared" si="7"/>
        <v>206.98967982954616</v>
      </c>
      <c r="BH37" s="59">
        <f t="shared" si="8"/>
        <v>500.32301316287948</v>
      </c>
      <c r="BI37" s="59">
        <f ca="1">AVERAGE(OFFSET($BH$3,0,0,'Données projet'!$E$11+1,1))-AVERAGE(OFFSET($H$3,0,0,'Données projet'!$E$11+1,1))</f>
        <v>252.20412072815043</v>
      </c>
      <c r="BJ37" s="59">
        <f t="shared" si="38"/>
        <v>208.19930959443013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6.846839999999994</v>
      </c>
      <c r="D38" s="11">
        <f t="shared" si="32"/>
        <v>2.5222677513052756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15.911046146076318</v>
      </c>
      <c r="H38" s="67">
        <f t="shared" si="1"/>
        <v>272.98452933352337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15.252564102564108</v>
      </c>
      <c r="N38" s="13">
        <f>IF('Données projet'!$A$36&gt;35,N37+M38-V37,IF(A38&lt;'Données projet'!$A$36,$K$205^A38,IF(A38='Données projet'!$A$36,'Données projet'!$B$36,N37+M38-V37)))</f>
        <v>293.05512820512826</v>
      </c>
      <c r="O38" s="13">
        <f>N38*VLOOKUP('Données projet'!$B$9,Paramètres!$A$1:$I$89,3,0)*VLOOKUP('Données projet'!$B$9,Paramètres!$A$1:$I$89,5,0)</f>
        <v>137.14980000000003</v>
      </c>
      <c r="P38" s="13">
        <f t="shared" si="33"/>
        <v>35.643285124422462</v>
      </c>
      <c r="Q38" s="20">
        <f t="shared" si="53"/>
        <v>300.94795659170251</v>
      </c>
      <c r="R38" s="59">
        <f t="shared" si="0"/>
        <v>594.28128992503582</v>
      </c>
      <c r="S38" s="59">
        <f ca="1">AVERAGE(OFFSET($R$3,0,0,'Données projet'!$E$9+1,1))-AVERAGE(OFFSET($H$3,0,0,'Données projet'!$E$9+1,1))</f>
        <v>270.18797004581819</v>
      </c>
      <c r="T38" s="59">
        <f t="shared" si="34"/>
        <v>246.88276293504617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119</v>
      </c>
      <c r="AG38" s="12">
        <f>VLOOKUP(A38,'Données projet'!$A$61:$I$81,9,0)</f>
        <v>7.4</v>
      </c>
      <c r="AH38" s="12">
        <f t="array" ref="AH38">INDEX(AG:AG,MIN(IF(ISNUMBER(AG38:AG234),ROW(AG38:AG234),"")))</f>
        <v>7.4</v>
      </c>
      <c r="AI38" s="13">
        <f>IF('Données projet'!$A$62&gt;35,AI37+AH38-AQ37,IF(A38&lt;'Données projet'!$A$62,$AF$205^A38,IF(A38='Données projet'!$A$62,'Données projet'!$B$62,AI37+AH38-AQ37)))</f>
        <v>119.00000000000003</v>
      </c>
      <c r="AJ38" s="13">
        <f>AI38*VLOOKUP('Données projet'!$B$10,Paramètres!$A$1:$I$89,3,0)*VLOOKUP('Données projet'!$B$10,Paramètres!$A$1:$I$89,5,0)</f>
        <v>120.66600000000004</v>
      </c>
      <c r="AK38" s="13">
        <f t="shared" si="35"/>
        <v>31.830282786190971</v>
      </c>
      <c r="AL38" s="20">
        <f t="shared" si="4"/>
        <v>265.59769251928265</v>
      </c>
      <c r="AM38" s="59">
        <f t="shared" si="5"/>
        <v>558.9310258526159</v>
      </c>
      <c r="AN38" s="59">
        <f ca="1">AVERAGE(OFFSET($AM$3,0,0,'Données projet'!$E$10+1,1))-AVERAGE(OFFSET($H$3,0,0,'Données projet'!$E$10+1,1))</f>
        <v>374.01259415112554</v>
      </c>
      <c r="AO38" s="59">
        <f t="shared" si="36"/>
        <v>244.5696433180579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19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121</v>
      </c>
      <c r="BB38" s="12">
        <f>VLOOKUP(A38,'Données projet'!$A$87:$I$107,9,0)</f>
        <v>5.8</v>
      </c>
      <c r="BC38" s="12">
        <f t="array" ref="BC38">INDEX(BB:BB,MIN(IF(ISNUMBER(BB38:BB234),ROW(BB38:BB234),"")))</f>
        <v>5.8</v>
      </c>
      <c r="BD38" s="12">
        <f>IF('Données projet'!$A$88&gt;35,BD37+BC38-BL37,IF(A38&lt;'Données projet'!$A$88,$BA$205^A38,IF(A38='Données projet'!$A$88,'Données projet'!$B$88,BD37+BC38-BL37)))</f>
        <v>120.99999999999997</v>
      </c>
      <c r="BE38" s="13">
        <f>BD38*VLOOKUP('Données projet'!$B$11,Paramètres!$A$1:$I$89,3,0)*VLOOKUP('Données projet'!$B$11,Paramètres!$A$1:$I$89,5,0)</f>
        <v>98.155199999999979</v>
      </c>
      <c r="BF38" s="13">
        <f t="shared" si="37"/>
        <v>26.522024238465775</v>
      </c>
      <c r="BG38" s="20">
        <f t="shared" si="7"/>
        <v>217.14616554866117</v>
      </c>
      <c r="BH38" s="59">
        <f t="shared" si="8"/>
        <v>510.47949888199446</v>
      </c>
      <c r="BI38" s="59">
        <f ca="1">AVERAGE(OFFSET($BH$3,0,0,'Données projet'!$E$11+1,1))-AVERAGE(OFFSET($H$3,0,0,'Données projet'!$E$11+1,1))</f>
        <v>252.20412072815043</v>
      </c>
      <c r="BJ38" s="59">
        <f t="shared" si="38"/>
        <v>208.19930959443013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12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7.0424639999999936</v>
      </c>
      <c r="D39" s="11">
        <f t="shared" si="32"/>
        <v>2.5858394265516451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16.351224064740329</v>
      </c>
      <c r="H39" s="67">
        <f t="shared" si="1"/>
        <v>273.4359618012441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308.30769230769232</v>
      </c>
      <c r="L39" s="12">
        <f>VLOOKUP(A39,'Données projet'!$A$35:$I$55,9,0)</f>
        <v>15.252564102564108</v>
      </c>
      <c r="M39" s="12">
        <f t="array" ref="M39">INDEX(L:L,MIN(IF(ISNUMBER(L39:L235),ROW(L39:L235),"")))</f>
        <v>15.252564102564108</v>
      </c>
      <c r="N39" s="13">
        <f>IF('Données projet'!$A$36&gt;35,N38+M39-V38,IF(A39&lt;'Données projet'!$A$36,$K$205^A39,IF(A39='Données projet'!$A$36,'Données projet'!$B$36,N38+M39-V38)))</f>
        <v>308.30769230769238</v>
      </c>
      <c r="O39" s="13">
        <f>N39*VLOOKUP('Données projet'!$B$9,Paramètres!$A$1:$I$89,3,0)*VLOOKUP('Données projet'!$B$9,Paramètres!$A$1:$I$89,5,0)</f>
        <v>144.28800000000001</v>
      </c>
      <c r="P39" s="13">
        <f t="shared" si="33"/>
        <v>37.277594654222469</v>
      </c>
      <c r="Q39" s="20">
        <f t="shared" si="53"/>
        <v>316.22674402277079</v>
      </c>
      <c r="R39" s="59">
        <f t="shared" si="0"/>
        <v>609.5600773561041</v>
      </c>
      <c r="S39" s="59">
        <f ca="1">AVERAGE(OFFSET($R$3,0,0,'Données projet'!$E$9+1,1))-AVERAGE(OFFSET($H$3,0,0,'Données projet'!$E$9+1,1))</f>
        <v>270.18797004581819</v>
      </c>
      <c r="T39" s="59">
        <f t="shared" si="34"/>
        <v>246.88276293504617</v>
      </c>
      <c r="U39" s="15">
        <f>IF(ISNA(VLOOKUP(A39,'Données projet'!$A$35:$I$55,3,0)),0,VLOOKUP(A39,'Données projet'!$A$35:$I$55,3,0))</f>
        <v>2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0.11000000000000001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7.4</v>
      </c>
      <c r="AI39" s="13">
        <f>IF('Données projet'!$A$62&gt;35,AI38+AH39-AQ38,IF(A39&lt;'Données projet'!$A$62,$AF$205^A39,IF(A39='Données projet'!$A$62,'Données projet'!$B$62,AI38+AH39-AQ38)))</f>
        <v>107.40000000000003</v>
      </c>
      <c r="AJ39" s="13">
        <f>AI39*VLOOKUP('Données projet'!$B$10,Paramètres!$A$1:$I$89,3,0)*VLOOKUP('Données projet'!$B$10,Paramètres!$A$1:$I$89,5,0)</f>
        <v>108.90360000000005</v>
      </c>
      <c r="AK39" s="13">
        <f t="shared" si="35"/>
        <v>29.072513771748902</v>
      </c>
      <c r="AL39" s="20">
        <f t="shared" si="4"/>
        <v>240.30839815246273</v>
      </c>
      <c r="AM39" s="59">
        <f t="shared" si="5"/>
        <v>533.64173148579607</v>
      </c>
      <c r="AN39" s="59">
        <f ca="1">AVERAGE(OFFSET($AM$3,0,0,'Données projet'!$E$10+1,1))-AVERAGE(OFFSET($H$3,0,0,'Données projet'!$E$10+1,1))</f>
        <v>374.01259415112554</v>
      </c>
      <c r="AO39" s="59">
        <f t="shared" si="36"/>
        <v>244.5696433180579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6</v>
      </c>
      <c r="BD39" s="12">
        <f>IF('Données projet'!$A$88&gt;35,BD38+BC39-BL38,IF(A39&lt;'Données projet'!$A$88,$BA$205^A39,IF(A39='Données projet'!$A$88,'Données projet'!$B$88,BD38+BC39-BL38)))</f>
        <v>114.99999999999997</v>
      </c>
      <c r="BE39" s="13">
        <f>BD39*VLOOKUP('Données projet'!$B$11,Paramètres!$A$1:$I$89,3,0)*VLOOKUP('Données projet'!$B$11,Paramètres!$A$1:$I$89,5,0)</f>
        <v>93.287999999999982</v>
      </c>
      <c r="BF39" s="13">
        <f t="shared" si="37"/>
        <v>25.356547829040977</v>
      </c>
      <c r="BG39" s="20">
        <f t="shared" si="7"/>
        <v>206.63925413557965</v>
      </c>
      <c r="BH39" s="59">
        <f t="shared" si="8"/>
        <v>499.97258746891293</v>
      </c>
      <c r="BI39" s="59">
        <f ca="1">AVERAGE(OFFSET($BH$3,0,0,'Données projet'!$E$11+1,1))-AVERAGE(OFFSET($H$3,0,0,'Données projet'!$E$11+1,1))</f>
        <v>252.20412072815043</v>
      </c>
      <c r="BJ39" s="59">
        <f t="shared" si="38"/>
        <v>208.19930959443013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7.2380879999999932</v>
      </c>
      <c r="D40" s="11">
        <f t="shared" si="32"/>
        <v>2.6492058574359532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16.791053428066657</v>
      </c>
      <c r="H40" s="67">
        <f t="shared" si="1"/>
        <v>273.88703680170096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17.010256410256414</v>
      </c>
      <c r="N40" s="13">
        <f>IF('Données projet'!$A$36&gt;35,N39+M40-V39,IF(A40&lt;'Données projet'!$A$36,$K$205^A40,IF(A40='Données projet'!$A$36,'Données projet'!$B$36,N39+M40-V39)))</f>
        <v>325.31794871794881</v>
      </c>
      <c r="O40" s="13">
        <f>N40*VLOOKUP('Données projet'!$B$9,Paramètres!$A$1:$I$89,3,0)*VLOOKUP('Données projet'!$B$9,Paramètres!$A$1:$I$89,5,0)</f>
        <v>152.24880000000005</v>
      </c>
      <c r="P40" s="13">
        <f t="shared" si="33"/>
        <v>39.089190051694011</v>
      </c>
      <c r="Q40" s="20">
        <f t="shared" si="53"/>
        <v>333.24699934003382</v>
      </c>
      <c r="R40" s="59">
        <f t="shared" si="0"/>
        <v>626.58033267336714</v>
      </c>
      <c r="S40" s="59">
        <f ca="1">AVERAGE(OFFSET($R$3,0,0,'Données projet'!$E$9+1,1))-AVERAGE(OFFSET($H$3,0,0,'Données projet'!$E$9+1,1))</f>
        <v>270.18797004581819</v>
      </c>
      <c r="T40" s="59">
        <f t="shared" si="34"/>
        <v>246.88276293504617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7.4</v>
      </c>
      <c r="AI40" s="13">
        <f>IF('Données projet'!$A$62&gt;35,AI39+AH40-AQ39,IF(A40&lt;'Données projet'!$A$62,$AF$205^A40,IF(A40='Données projet'!$A$62,'Données projet'!$B$62,AI39+AH40-AQ39)))</f>
        <v>114.80000000000004</v>
      </c>
      <c r="AJ40" s="13">
        <f>AI40*VLOOKUP('Données projet'!$B$10,Paramètres!$A$1:$I$89,3,0)*VLOOKUP('Données projet'!$B$10,Paramètres!$A$1:$I$89,5,0)</f>
        <v>116.40720000000006</v>
      </c>
      <c r="AK40" s="13">
        <f t="shared" si="35"/>
        <v>30.835561008615734</v>
      </c>
      <c r="AL40" s="20">
        <f t="shared" si="4"/>
        <v>256.44780875667249</v>
      </c>
      <c r="AM40" s="59">
        <f t="shared" si="5"/>
        <v>549.7811420900058</v>
      </c>
      <c r="AN40" s="59">
        <f ca="1">AVERAGE(OFFSET($AM$3,0,0,'Données projet'!$E$10+1,1))-AVERAGE(OFFSET($H$3,0,0,'Données projet'!$E$10+1,1))</f>
        <v>374.01259415112554</v>
      </c>
      <c r="AO40" s="59">
        <f t="shared" si="36"/>
        <v>244.5696433180579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6</v>
      </c>
      <c r="BD40" s="12">
        <f>IF('Données projet'!$A$88&gt;35,BD39+BC40-BL39,IF(A40&lt;'Données projet'!$A$88,$BA$205^A40,IF(A40='Données projet'!$A$88,'Données projet'!$B$88,BD39+BC40-BL39)))</f>
        <v>120.99999999999997</v>
      </c>
      <c r="BE40" s="13">
        <f>BD40*VLOOKUP('Données projet'!$B$11,Paramètres!$A$1:$I$89,3,0)*VLOOKUP('Données projet'!$B$11,Paramètres!$A$1:$I$89,5,0)</f>
        <v>98.155199999999979</v>
      </c>
      <c r="BF40" s="13">
        <f t="shared" si="37"/>
        <v>26.522024238465775</v>
      </c>
      <c r="BG40" s="20">
        <f t="shared" si="7"/>
        <v>217.14616554866117</v>
      </c>
      <c r="BH40" s="59">
        <f t="shared" si="8"/>
        <v>510.47949888199446</v>
      </c>
      <c r="BI40" s="59">
        <f ca="1">AVERAGE(OFFSET($BH$3,0,0,'Données projet'!$E$11+1,1))-AVERAGE(OFFSET($H$3,0,0,'Données projet'!$E$11+1,1))</f>
        <v>252.20412072815043</v>
      </c>
      <c r="BJ40" s="59">
        <f t="shared" si="38"/>
        <v>208.19930959443013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7.4337119999999928</v>
      </c>
      <c r="D41" s="11">
        <f t="shared" si="32"/>
        <v>2.7123732285845161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17.230544739069835</v>
      </c>
      <c r="H41" s="67">
        <f t="shared" si="1"/>
        <v>274.33776510645134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17.010256410256414</v>
      </c>
      <c r="N41" s="13">
        <f>IF('Données projet'!$A$36&gt;35,N40+M41-V40,IF(A41&lt;'Données projet'!$A$36,$K$205^A41,IF(A41='Données projet'!$A$36,'Données projet'!$B$36,N40+M41-V40)))</f>
        <v>342.32820512820524</v>
      </c>
      <c r="O41" s="13">
        <f>N41*VLOOKUP('Données projet'!$B$9,Paramètres!$A$1:$I$89,3,0)*VLOOKUP('Données projet'!$B$9,Paramètres!$A$1:$I$89,5,0)</f>
        <v>160.20960000000005</v>
      </c>
      <c r="P41" s="13">
        <f t="shared" si="33"/>
        <v>40.889787669108735</v>
      </c>
      <c r="Q41" s="20">
        <f t="shared" si="53"/>
        <v>350.24810019036448</v>
      </c>
      <c r="R41" s="59">
        <f t="shared" si="0"/>
        <v>643.5814335236978</v>
      </c>
      <c r="S41" s="59">
        <f ca="1">AVERAGE(OFFSET($R$3,0,0,'Données projet'!$E$9+1,1))-AVERAGE(OFFSET($H$3,0,0,'Données projet'!$E$9+1,1))</f>
        <v>270.18797004581819</v>
      </c>
      <c r="T41" s="59">
        <f t="shared" si="34"/>
        <v>246.88276293504617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7.4</v>
      </c>
      <c r="AI41" s="13">
        <f>IF('Données projet'!$A$62&gt;35,AI40+AH41-AQ40,IF(A41&lt;'Données projet'!$A$62,$AF$205^A41,IF(A41='Données projet'!$A$62,'Données projet'!$B$62,AI40+AH41-AQ40)))</f>
        <v>122.20000000000005</v>
      </c>
      <c r="AJ41" s="13">
        <f>AI41*VLOOKUP('Données projet'!$B$10,Paramètres!$A$1:$I$89,3,0)*VLOOKUP('Données projet'!$B$10,Paramètres!$A$1:$I$89,5,0)</f>
        <v>123.91080000000007</v>
      </c>
      <c r="AK41" s="13">
        <f t="shared" si="35"/>
        <v>32.58541972748889</v>
      </c>
      <c r="AL41" s="20">
        <f t="shared" si="4"/>
        <v>272.5642493587099</v>
      </c>
      <c r="AM41" s="59">
        <f t="shared" si="5"/>
        <v>565.89758269204322</v>
      </c>
      <c r="AN41" s="59">
        <f ca="1">AVERAGE(OFFSET($AM$3,0,0,'Données projet'!$E$10+1,1))-AVERAGE(OFFSET($H$3,0,0,'Données projet'!$E$10+1,1))</f>
        <v>374.01259415112554</v>
      </c>
      <c r="AO41" s="59">
        <f t="shared" si="36"/>
        <v>244.5696433180579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6</v>
      </c>
      <c r="BD41" s="12">
        <f>IF('Données projet'!$A$88&gt;35,BD40+BC41-BL40,IF(A41&lt;'Données projet'!$A$88,$BA$205^A41,IF(A41='Données projet'!$A$88,'Données projet'!$B$88,BD40+BC41-BL40)))</f>
        <v>126.99999999999997</v>
      </c>
      <c r="BE41" s="13">
        <f>BD41*VLOOKUP('Données projet'!$B$11,Paramètres!$A$1:$I$89,3,0)*VLOOKUP('Données projet'!$B$11,Paramètres!$A$1:$I$89,5,0)</f>
        <v>103.02239999999999</v>
      </c>
      <c r="BF41" s="13">
        <f t="shared" si="37"/>
        <v>27.680790106744631</v>
      </c>
      <c r="BG41" s="20">
        <f t="shared" si="7"/>
        <v>227.64138943591354</v>
      </c>
      <c r="BH41" s="59">
        <f t="shared" si="8"/>
        <v>520.97472276924691</v>
      </c>
      <c r="BI41" s="59">
        <f ca="1">AVERAGE(OFFSET($BH$3,0,0,'Données projet'!$E$11+1,1))-AVERAGE(OFFSET($H$3,0,0,'Données projet'!$E$11+1,1))</f>
        <v>252.20412072815043</v>
      </c>
      <c r="BJ41" s="59">
        <f t="shared" si="38"/>
        <v>208.19930959443013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7.6293359999999923</v>
      </c>
      <c r="D42" s="11">
        <f t="shared" si="32"/>
        <v>2.7753473805796594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17.669707916493163</v>
      </c>
      <c r="H42" s="67">
        <f t="shared" si="1"/>
        <v>274.78815688784289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17.010256410256414</v>
      </c>
      <c r="N42" s="13">
        <f>IF('Données projet'!$A$36&gt;35,N41+M42-V41,IF(A42&lt;'Données projet'!$A$36,$K$205^A42,IF(A42='Données projet'!$A$36,'Données projet'!$B$36,N41+M42-V41)))</f>
        <v>359.33846153846167</v>
      </c>
      <c r="O42" s="13">
        <f>N42*VLOOKUP('Données projet'!$B$9,Paramètres!$A$1:$I$89,3,0)*VLOOKUP('Données projet'!$B$9,Paramètres!$A$1:$I$89,5,0)</f>
        <v>168.17040000000006</v>
      </c>
      <c r="P42" s="13">
        <f t="shared" si="33"/>
        <v>42.679996347377212</v>
      </c>
      <c r="Q42" s="20">
        <f t="shared" si="53"/>
        <v>367.23110697168204</v>
      </c>
      <c r="R42" s="59">
        <f t="shared" si="0"/>
        <v>660.5644403050153</v>
      </c>
      <c r="S42" s="59">
        <f ca="1">AVERAGE(OFFSET($R$3,0,0,'Données projet'!$E$9+1,1))-AVERAGE(OFFSET($H$3,0,0,'Données projet'!$E$9+1,1))</f>
        <v>270.18797004581819</v>
      </c>
      <c r="T42" s="59">
        <f t="shared" si="34"/>
        <v>246.88276293504617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7.4</v>
      </c>
      <c r="AI42" s="13">
        <f>IF('Données projet'!$A$62&gt;35,AI41+AH42-AQ41,IF(A42&lt;'Données projet'!$A$62,$AF$205^A42,IF(A42='Données projet'!$A$62,'Données projet'!$B$62,AI41+AH42-AQ41)))</f>
        <v>129.60000000000005</v>
      </c>
      <c r="AJ42" s="13">
        <f>AI42*VLOOKUP('Données projet'!$B$10,Paramètres!$A$1:$I$89,3,0)*VLOOKUP('Données projet'!$B$10,Paramètres!$A$1:$I$89,5,0)</f>
        <v>131.41440000000006</v>
      </c>
      <c r="AK42" s="13">
        <f t="shared" si="35"/>
        <v>34.32297952601067</v>
      </c>
      <c r="AL42" s="20">
        <f t="shared" si="4"/>
        <v>288.65926934113531</v>
      </c>
      <c r="AM42" s="59">
        <f t="shared" si="5"/>
        <v>581.99260267446857</v>
      </c>
      <c r="AN42" s="59">
        <f ca="1">AVERAGE(OFFSET($AM$3,0,0,'Données projet'!$E$10+1,1))-AVERAGE(OFFSET($H$3,0,0,'Données projet'!$E$10+1,1))</f>
        <v>374.01259415112554</v>
      </c>
      <c r="AO42" s="59">
        <f t="shared" si="36"/>
        <v>244.5696433180579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</v>
      </c>
      <c r="BD42" s="12">
        <f>IF('Données projet'!$A$88&gt;35,BD41+BC42-BL41,IF(A42&lt;'Données projet'!$A$88,$BA$205^A42,IF(A42='Données projet'!$A$88,'Données projet'!$B$88,BD41+BC42-BL41)))</f>
        <v>132.99999999999997</v>
      </c>
      <c r="BE42" s="13">
        <f>BD42*VLOOKUP('Données projet'!$B$11,Paramètres!$A$1:$I$89,3,0)*VLOOKUP('Données projet'!$B$11,Paramètres!$A$1:$I$89,5,0)</f>
        <v>107.88959999999997</v>
      </c>
      <c r="BF42" s="13">
        <f t="shared" si="37"/>
        <v>28.833198667365593</v>
      </c>
      <c r="BG42" s="20">
        <f t="shared" si="7"/>
        <v>238.12554101232834</v>
      </c>
      <c r="BH42" s="59">
        <f t="shared" si="8"/>
        <v>531.45887434566168</v>
      </c>
      <c r="BI42" s="59">
        <f ca="1">AVERAGE(OFFSET($BH$3,0,0,'Données projet'!$E$11+1,1))-AVERAGE(OFFSET($H$3,0,0,'Données projet'!$E$11+1,1))</f>
        <v>252.20412072815043</v>
      </c>
      <c r="BJ42" s="59">
        <f t="shared" si="38"/>
        <v>208.19930959443013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7.8249599999999919</v>
      </c>
      <c r="D43" s="11">
        <f t="shared" si="32"/>
        <v>2.8381338374226415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18.10855234144756</v>
      </c>
      <c r="H43" s="67">
        <f t="shared" si="1"/>
        <v>275.23822176684445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17.010256410256414</v>
      </c>
      <c r="N43" s="13">
        <f>IF('Données projet'!$A$36&gt;35,N42+M43-V42,IF(A43&lt;'Données projet'!$A$36,$K$205^A43,IF(A43='Données projet'!$A$36,'Données projet'!$B$36,N42+M43-V42)))</f>
        <v>376.3487179487181</v>
      </c>
      <c r="O43" s="13">
        <f>N43*VLOOKUP('Données projet'!$B$9,Paramètres!$A$1:$I$89,3,0)*VLOOKUP('Données projet'!$B$9,Paramètres!$A$1:$I$89,5,0)</f>
        <v>176.13120000000006</v>
      </c>
      <c r="P43" s="13">
        <f t="shared" si="33"/>
        <v>44.460364027904333</v>
      </c>
      <c r="Q43" s="20">
        <f t="shared" si="53"/>
        <v>384.19697401526679</v>
      </c>
      <c r="R43" s="59">
        <f t="shared" si="0"/>
        <v>677.5303073486001</v>
      </c>
      <c r="S43" s="59">
        <f ca="1">AVERAGE(OFFSET($R$3,0,0,'Données projet'!$E$9+1,1))-AVERAGE(OFFSET($H$3,0,0,'Données projet'!$E$9+1,1))</f>
        <v>270.18797004581819</v>
      </c>
      <c r="T43" s="59">
        <f t="shared" si="34"/>
        <v>246.88276293504617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7.4</v>
      </c>
      <c r="AH43" s="12">
        <f t="array" ref="AH43">INDEX(AG:AG,MIN(IF(ISNUMBER(AG43:AG239),ROW(AG43:AG239),"")))</f>
        <v>7.4</v>
      </c>
      <c r="AI43" s="13">
        <f>IF('Données projet'!$A$62&gt;35,AI42+AH43-AQ42,IF(A43&lt;'Données projet'!$A$62,$AF$205^A43,IF(A43='Données projet'!$A$62,'Données projet'!$B$62,AI42+AH43-AQ42)))</f>
        <v>137.00000000000006</v>
      </c>
      <c r="AJ43" s="13">
        <f>AI43*VLOOKUP('Données projet'!$B$10,Paramètres!$A$1:$I$89,3,0)*VLOOKUP('Données projet'!$B$10,Paramètres!$A$1:$I$89,5,0)</f>
        <v>138.91800000000006</v>
      </c>
      <c r="AK43" s="13">
        <f t="shared" si="35"/>
        <v>36.049022673886341</v>
      </c>
      <c r="AL43" s="20">
        <f t="shared" si="4"/>
        <v>304.73423115701877</v>
      </c>
      <c r="AM43" s="59">
        <f t="shared" si="5"/>
        <v>598.06756449035208</v>
      </c>
      <c r="AN43" s="59">
        <f ca="1">AVERAGE(OFFSET($AM$3,0,0,'Données projet'!$E$10+1,1))-AVERAGE(OFFSET($H$3,0,0,'Données projet'!$E$10+1,1))</f>
        <v>374.01259415112554</v>
      </c>
      <c r="AO43" s="59">
        <f t="shared" si="36"/>
        <v>244.5696433180579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20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139</v>
      </c>
      <c r="BB43" s="12">
        <f>VLOOKUP(A43,'Données projet'!$A$87:$I$107,9,0)</f>
        <v>6</v>
      </c>
      <c r="BC43" s="12">
        <f t="array" ref="BC43">INDEX(BB:BB,MIN(IF(ISNUMBER(BB43:BB239),ROW(BB43:BB239),"")))</f>
        <v>6</v>
      </c>
      <c r="BD43" s="12">
        <f>IF('Données projet'!$A$88&gt;35,BD42+BC43-BL42,IF(A43&lt;'Données projet'!$A$88,$BA$205^A43,IF(A43='Données projet'!$A$88,'Données projet'!$B$88,BD42+BC43-BL42)))</f>
        <v>138.99999999999997</v>
      </c>
      <c r="BE43" s="13">
        <f>BD43*VLOOKUP('Données projet'!$B$11,Paramètres!$A$1:$I$89,3,0)*VLOOKUP('Données projet'!$B$11,Paramètres!$A$1:$I$89,5,0)</f>
        <v>112.75679999999998</v>
      </c>
      <c r="BF43" s="13">
        <f t="shared" si="37"/>
        <v>29.979569481474449</v>
      </c>
      <c r="BG43" s="20">
        <f t="shared" si="7"/>
        <v>248.59917684690132</v>
      </c>
      <c r="BH43" s="59">
        <f t="shared" si="8"/>
        <v>541.93251018023466</v>
      </c>
      <c r="BI43" s="59">
        <f ca="1">AVERAGE(OFFSET($BH$3,0,0,'Données projet'!$E$11+1,1))-AVERAGE(OFFSET($H$3,0,0,'Données projet'!$E$11+1,1))</f>
        <v>252.20412072815043</v>
      </c>
      <c r="BJ43" s="59">
        <f t="shared" si="38"/>
        <v>208.19930959443013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13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8.0205839999999924</v>
      </c>
      <c r="D44" s="11">
        <f t="shared" si="32"/>
        <v>2.9007378311729819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18.547086899255159</v>
      </c>
      <c r="H44" s="67">
        <f t="shared" si="1"/>
        <v>275.68796885595964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17.010256410256414</v>
      </c>
      <c r="N44" s="13">
        <f>IF('Données projet'!$A$36&gt;35,N43+M44-V43,IF(A44&lt;'Données projet'!$A$36,$K$205^A44,IF(A44='Données projet'!$A$36,'Données projet'!$B$36,N43+M44-V43)))</f>
        <v>393.35897435897454</v>
      </c>
      <c r="O44" s="13">
        <f>N44*VLOOKUP('Données projet'!$B$9,Paramètres!$A$1:$I$89,3,0)*VLOOKUP('Données projet'!$B$9,Paramètres!$A$1:$I$89,5,0)</f>
        <v>184.0920000000001</v>
      </c>
      <c r="P44" s="13">
        <f t="shared" si="33"/>
        <v>46.231386320256561</v>
      </c>
      <c r="Q44" s="20">
        <f t="shared" si="53"/>
        <v>401.14656450778028</v>
      </c>
      <c r="R44" s="59">
        <f t="shared" si="0"/>
        <v>694.4798978411136</v>
      </c>
      <c r="S44" s="59">
        <f ca="1">AVERAGE(OFFSET($R$3,0,0,'Données projet'!$E$9+1,1))-AVERAGE(OFFSET($H$3,0,0,'Données projet'!$E$9+1,1))</f>
        <v>270.18797004581819</v>
      </c>
      <c r="T44" s="59">
        <f t="shared" si="34"/>
        <v>246.88276293504617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7.4</v>
      </c>
      <c r="AI44" s="13">
        <f>IF('Données projet'!$A$62&gt;35,AI43+AH44-AQ43,IF(A44&lt;'Données projet'!$A$62,$AF$205^A44,IF(A44='Données projet'!$A$62,'Données projet'!$B$62,AI43+AH44-AQ43)))</f>
        <v>124.40000000000006</v>
      </c>
      <c r="AJ44" s="13">
        <f>AI44*VLOOKUP('Données projet'!$B$10,Paramètres!$A$1:$I$89,3,0)*VLOOKUP('Données projet'!$B$10,Paramètres!$A$1:$I$89,5,0)</f>
        <v>126.14160000000007</v>
      </c>
      <c r="AK44" s="13">
        <f t="shared" si="35"/>
        <v>33.10323903126482</v>
      </c>
      <c r="AL44" s="20">
        <f t="shared" si="4"/>
        <v>277.35142797945304</v>
      </c>
      <c r="AM44" s="59">
        <f t="shared" si="5"/>
        <v>570.68476131278635</v>
      </c>
      <c r="AN44" s="59">
        <f ca="1">AVERAGE(OFFSET($AM$3,0,0,'Données projet'!$E$10+1,1))-AVERAGE(OFFSET($H$3,0,0,'Données projet'!$E$10+1,1))</f>
        <v>374.01259415112554</v>
      </c>
      <c r="AO44" s="59">
        <f t="shared" si="36"/>
        <v>244.5696433180579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</v>
      </c>
      <c r="BD44" s="12">
        <f>IF('Données projet'!$A$88&gt;35,BD43+BC44-BL43,IF(A44&lt;'Données projet'!$A$88,$BA$205^A44,IF(A44='Données projet'!$A$88,'Données projet'!$B$88,BD43+BC44-BL43)))</f>
        <v>131.99999999999997</v>
      </c>
      <c r="BE44" s="13">
        <f>BD44*VLOOKUP('Données projet'!$B$11,Paramètres!$A$1:$I$89,3,0)*VLOOKUP('Données projet'!$B$11,Paramètres!$A$1:$I$89,5,0)</f>
        <v>107.07839999999999</v>
      </c>
      <c r="BF44" s="13">
        <f t="shared" si="37"/>
        <v>28.64155810910178</v>
      </c>
      <c r="BG44" s="20">
        <f t="shared" si="7"/>
        <v>236.37892704001885</v>
      </c>
      <c r="BH44" s="59">
        <f t="shared" si="8"/>
        <v>529.71226037335214</v>
      </c>
      <c r="BI44" s="59">
        <f ca="1">AVERAGE(OFFSET($BH$3,0,0,'Données projet'!$E$11+1,1))-AVERAGE(OFFSET($H$3,0,0,'Données projet'!$E$11+1,1))</f>
        <v>252.20412072815043</v>
      </c>
      <c r="BJ44" s="59">
        <f t="shared" si="38"/>
        <v>208.19930959443013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8.2162079999999929</v>
      </c>
      <c r="D45" s="11">
        <f t="shared" si="32"/>
        <v>2.9631643241162684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18.985320017095688</v>
      </c>
      <c r="H45" s="67">
        <f t="shared" si="1"/>
        <v>276.13740679783587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410.3692307692308</v>
      </c>
      <c r="L45" s="12">
        <f>VLOOKUP(A45,'Données projet'!$A$35:$I$55,9,0)</f>
        <v>17.010256410256414</v>
      </c>
      <c r="M45" s="12">
        <f t="array" ref="M45">INDEX(L:L,MIN(IF(ISNUMBER(L45:L241),ROW(L45:L241),"")))</f>
        <v>17.010256410256414</v>
      </c>
      <c r="N45" s="13">
        <f>IF('Données projet'!$A$36&gt;35,N44+M45-V44,IF(A45&lt;'Données projet'!$A$36,$K$205^A45,IF(A45='Données projet'!$A$36,'Données projet'!$B$36,N44+M45-V44)))</f>
        <v>410.36923076923097</v>
      </c>
      <c r="O45" s="13">
        <f>N45*VLOOKUP('Données projet'!$B$9,Paramètres!$A$1:$I$89,3,0)*VLOOKUP('Données projet'!$B$9,Paramètres!$A$1:$I$89,5,0)</f>
        <v>192.05280000000008</v>
      </c>
      <c r="P45" s="13">
        <f t="shared" si="33"/>
        <v>47.993513546032311</v>
      </c>
      <c r="Q45" s="20">
        <f t="shared" si="53"/>
        <v>418.08066275933976</v>
      </c>
      <c r="R45" s="59">
        <f t="shared" si="0"/>
        <v>711.41399609267307</v>
      </c>
      <c r="S45" s="59">
        <f ca="1">AVERAGE(OFFSET($R$3,0,0,'Données projet'!$E$9+1,1))-AVERAGE(OFFSET($H$3,0,0,'Données projet'!$E$9+1,1))</f>
        <v>270.18797004581819</v>
      </c>
      <c r="T45" s="59">
        <f t="shared" si="34"/>
        <v>246.88276293504617</v>
      </c>
      <c r="U45" s="15">
        <f>IF(ISNA(VLOOKUP(A45,'Données projet'!$A$35:$I$55,3,0)),0,VLOOKUP(A45,'Données projet'!$A$35:$I$55,3,0))</f>
        <v>3</v>
      </c>
      <c r="V45" s="15">
        <f>IF(ISNA(VLOOKUP(A45,'Données projet'!$A$35:$I$55,4,0)),0,VLOOKUP(A45,'Données projet'!$A$35:$I$55,4,0))</f>
        <v>179.84615384615384</v>
      </c>
      <c r="W45" s="16">
        <f>IF(ISNA(VLOOKUP(A45,'Données projet'!$A$35:$I$55,5,0)),0%,VLOOKUP(A45,'Données projet'!$A$35:$I$55,5,0)*VLOOKUP('Données projet'!$B$9,Paramètres!$A$1:$I$89,7,0))</f>
        <v>5.5000000000000007E-2</v>
      </c>
      <c r="X45" s="16">
        <f>IF(ISNA(VLOOKUP(A45,'Données projet'!$A$35:$I$55,6,0)),0%,VLOOKUP(A45,'Données projet'!$A$35:$I$55,6,0)*VLOOKUP('Données projet'!$B$9,Paramètres!$A$1:$I$89,7,0))</f>
        <v>0.22000000000000003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6.1409852396989386</v>
      </c>
      <c r="AA45" s="21">
        <f>EXP(-LN(2)/25)*AA44+(1-EXP(-LN(2)/25))/(LN(2)/25)*Calculateur!V45*Calculateur!X45*VLOOKUP('Données projet'!$B$9,Paramètres!$A$1:$I$89,3,0)*0.475*44/12</f>
        <v>24.467223363645683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30.608208603344622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7.4</v>
      </c>
      <c r="AI45" s="13">
        <f>IF('Données projet'!$A$62&gt;35,AI44+AH45-AQ44,IF(A45&lt;'Données projet'!$A$62,$AF$205^A45,IF(A45='Données projet'!$A$62,'Données projet'!$B$62,AI44+AH45-AQ44)))</f>
        <v>131.80000000000007</v>
      </c>
      <c r="AJ45" s="13">
        <f>AI45*VLOOKUP('Données projet'!$B$10,Paramètres!$A$1:$I$89,3,0)*VLOOKUP('Données projet'!$B$10,Paramètres!$A$1:$I$89,5,0)</f>
        <v>133.64520000000007</v>
      </c>
      <c r="AK45" s="13">
        <f t="shared" si="35"/>
        <v>34.837297589797402</v>
      </c>
      <c r="AL45" s="20">
        <f t="shared" si="4"/>
        <v>293.44034996889724</v>
      </c>
      <c r="AM45" s="59">
        <f t="shared" si="5"/>
        <v>586.77368330223055</v>
      </c>
      <c r="AN45" s="59">
        <f ca="1">AVERAGE(OFFSET($AM$3,0,0,'Données projet'!$E$10+1,1))-AVERAGE(OFFSET($H$3,0,0,'Données projet'!$E$10+1,1))</f>
        <v>374.01259415112554</v>
      </c>
      <c r="AO45" s="59">
        <f t="shared" si="36"/>
        <v>244.5696433180579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</v>
      </c>
      <c r="BD45" s="12">
        <f>IF('Données projet'!$A$88&gt;35,BD44+BC45-BL44,IF(A45&lt;'Données projet'!$A$88,$BA$205^A45,IF(A45='Données projet'!$A$88,'Données projet'!$B$88,BD44+BC45-BL44)))</f>
        <v>137.99999999999997</v>
      </c>
      <c r="BE45" s="13">
        <f>BD45*VLOOKUP('Données projet'!$B$11,Paramètres!$A$1:$I$89,3,0)*VLOOKUP('Données projet'!$B$11,Paramètres!$A$1:$I$89,5,0)</f>
        <v>111.94559999999998</v>
      </c>
      <c r="BF45" s="13">
        <f t="shared" si="37"/>
        <v>29.788914309703763</v>
      </c>
      <c r="BG45" s="20">
        <f t="shared" si="7"/>
        <v>246.85427908940071</v>
      </c>
      <c r="BH45" s="59">
        <f t="shared" si="8"/>
        <v>540.18761242273399</v>
      </c>
      <c r="BI45" s="59">
        <f ca="1">AVERAGE(OFFSET($BH$3,0,0,'Données projet'!$E$11+1,1))-AVERAGE(OFFSET($H$3,0,0,'Données projet'!$E$11+1,1))</f>
        <v>252.20412072815043</v>
      </c>
      <c r="BJ45" s="59">
        <f t="shared" si="38"/>
        <v>208.19930959443013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8.4118319999999933</v>
      </c>
      <c r="D46" s="11">
        <f t="shared" si="32"/>
        <v>3.0254180287612793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19.423259697966515</v>
      </c>
      <c r="H46" s="67">
        <f t="shared" si="1"/>
        <v>276.58654380009256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15.599999999999987</v>
      </c>
      <c r="N46" s="13">
        <f>IF('Données projet'!$A$36&gt;35,N45+M46-V45,IF(A46&lt;'Données projet'!$A$36,$K$205^A46,IF(A46='Données projet'!$A$36,'Données projet'!$B$36,N45+M46-V45)))</f>
        <v>246.12307692307709</v>
      </c>
      <c r="O46" s="13">
        <f>N46*VLOOKUP('Données projet'!$B$9,Paramètres!$A$1:$I$89,3,0)*VLOOKUP('Données projet'!$B$9,Paramètres!$A$1:$I$89,5,0)</f>
        <v>115.18560000000009</v>
      </c>
      <c r="P46" s="13">
        <f t="shared" si="33"/>
        <v>30.549457651972119</v>
      </c>
      <c r="Q46" s="20">
        <f t="shared" si="53"/>
        <v>253.82189207718497</v>
      </c>
      <c r="R46" s="59">
        <f t="shared" si="0"/>
        <v>547.15522541051826</v>
      </c>
      <c r="S46" s="59">
        <f ca="1">AVERAGE(OFFSET($R$3,0,0,'Données projet'!$E$9+1,1))-AVERAGE(OFFSET($H$3,0,0,'Données projet'!$E$9+1,1))</f>
        <v>270.18797004581819</v>
      </c>
      <c r="T46" s="59">
        <f t="shared" si="34"/>
        <v>246.88276293504617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6.0205642647795887</v>
      </c>
      <c r="AA46" s="21">
        <f>EXP(-LN(2)/25)*AA45+(1-EXP(-LN(2)/25))/(LN(2)/25)*Calculateur!V46*Calculateur!X46*VLOOKUP('Données projet'!$B$9,Paramètres!$A$1:$I$89,3,0)*0.475*44/12</f>
        <v>23.798165854091437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29.818730118871024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7.4</v>
      </c>
      <c r="AI46" s="13">
        <f>IF('Données projet'!$A$62&gt;35,AI45+AH46-AQ45,IF(A46&lt;'Données projet'!$A$62,$AF$205^A46,IF(A46='Données projet'!$A$62,'Données projet'!$B$62,AI45+AH46-AQ45)))</f>
        <v>139.20000000000007</v>
      </c>
      <c r="AJ46" s="13">
        <f>AI46*VLOOKUP('Données projet'!$B$10,Paramètres!$A$1:$I$89,3,0)*VLOOKUP('Données projet'!$B$10,Paramètres!$A$1:$I$89,5,0)</f>
        <v>141.14880000000008</v>
      </c>
      <c r="AK46" s="13">
        <f t="shared" si="35"/>
        <v>36.560054140504519</v>
      </c>
      <c r="AL46" s="20">
        <f t="shared" si="4"/>
        <v>309.50958762804549</v>
      </c>
      <c r="AM46" s="59">
        <f t="shared" si="5"/>
        <v>602.84292096137881</v>
      </c>
      <c r="AN46" s="59">
        <f ca="1">AVERAGE(OFFSET($AM$3,0,0,'Données projet'!$E$10+1,1))-AVERAGE(OFFSET($H$3,0,0,'Données projet'!$E$10+1,1))</f>
        <v>374.01259415112554</v>
      </c>
      <c r="AO46" s="59">
        <f t="shared" si="36"/>
        <v>244.5696433180579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</v>
      </c>
      <c r="BD46" s="12">
        <f>IF('Données projet'!$A$88&gt;35,BD45+BC46-BL45,IF(A46&lt;'Données projet'!$A$88,$BA$205^A46,IF(A46='Données projet'!$A$88,'Données projet'!$B$88,BD45+BC46-BL45)))</f>
        <v>143.99999999999997</v>
      </c>
      <c r="BE46" s="13">
        <f>BD46*VLOOKUP('Données projet'!$B$11,Paramètres!$A$1:$I$89,3,0)*VLOOKUP('Données projet'!$B$11,Paramètres!$A$1:$I$89,5,0)</f>
        <v>116.81279999999998</v>
      </c>
      <c r="BF46" s="13">
        <f t="shared" si="37"/>
        <v>30.930476631089483</v>
      </c>
      <c r="BG46" s="20">
        <f t="shared" si="7"/>
        <v>257.31954013248077</v>
      </c>
      <c r="BH46" s="59">
        <f t="shared" si="8"/>
        <v>550.65287346581408</v>
      </c>
      <c r="BI46" s="59">
        <f ca="1">AVERAGE(OFFSET($BH$3,0,0,'Données projet'!$E$11+1,1))-AVERAGE(OFFSET($H$3,0,0,'Données projet'!$E$11+1,1))</f>
        <v>252.20412072815043</v>
      </c>
      <c r="BJ46" s="59">
        <f t="shared" si="38"/>
        <v>208.19930959443013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8.6074559999999938</v>
      </c>
      <c r="D47" s="11">
        <f t="shared" si="32"/>
        <v>3.0875034259244871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19.860913551394557</v>
      </c>
      <c r="H47" s="67">
        <f t="shared" si="1"/>
        <v>277.03538766681851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15.599999999999987</v>
      </c>
      <c r="N47" s="13">
        <f>IF('Données projet'!$A$36&gt;35,N46+M47-V46,IF(A47&lt;'Données projet'!$A$36,$K$205^A47,IF(A47='Données projet'!$A$36,'Données projet'!$B$36,N46+M47-V46)))</f>
        <v>261.72307692307709</v>
      </c>
      <c r="O47" s="13">
        <f>N47*VLOOKUP('Données projet'!$B$9,Paramètres!$A$1:$I$89,3,0)*VLOOKUP('Données projet'!$B$9,Paramètres!$A$1:$I$89,5,0)</f>
        <v>122.48640000000007</v>
      </c>
      <c r="P47" s="13">
        <f t="shared" si="33"/>
        <v>32.254217278440251</v>
      </c>
      <c r="Q47" s="20">
        <f t="shared" si="53"/>
        <v>269.50657509328352</v>
      </c>
      <c r="R47" s="59">
        <f t="shared" si="0"/>
        <v>562.83990842661683</v>
      </c>
      <c r="S47" s="59">
        <f ca="1">AVERAGE(OFFSET($R$3,0,0,'Données projet'!$E$9+1,1))-AVERAGE(OFFSET($H$3,0,0,'Données projet'!$E$9+1,1))</f>
        <v>270.18797004581819</v>
      </c>
      <c r="T47" s="59">
        <f t="shared" si="34"/>
        <v>246.88276293504617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5.9025046717288649</v>
      </c>
      <c r="AA47" s="21">
        <f>EXP(-LN(2)/25)*AA46+(1-EXP(-LN(2)/25))/(LN(2)/25)*Calculateur!V47*Calculateur!X47*VLOOKUP('Données projet'!$B$9,Paramètres!$A$1:$I$89,3,0)*0.475*44/12</f>
        <v>23.147403757320156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29.049908429049019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7.4</v>
      </c>
      <c r="AI47" s="13">
        <f>IF('Données projet'!$A$62&gt;35,AI46+AH47-AQ46,IF(A47&lt;'Données projet'!$A$62,$AF$205^A47,IF(A47='Données projet'!$A$62,'Données projet'!$B$62,AI46+AH47-AQ46)))</f>
        <v>146.60000000000008</v>
      </c>
      <c r="AJ47" s="13">
        <f>AI47*VLOOKUP('Données projet'!$B$10,Paramètres!$A$1:$I$89,3,0)*VLOOKUP('Données projet'!$B$10,Paramètres!$A$1:$I$89,5,0)</f>
        <v>148.65240000000009</v>
      </c>
      <c r="AK47" s="13">
        <f t="shared" si="35"/>
        <v>38.272178020303841</v>
      </c>
      <c r="AL47" s="20">
        <f t="shared" si="4"/>
        <v>325.56030671869604</v>
      </c>
      <c r="AM47" s="59">
        <f t="shared" si="5"/>
        <v>618.89364005202935</v>
      </c>
      <c r="AN47" s="59">
        <f ca="1">AVERAGE(OFFSET($AM$3,0,0,'Données projet'!$E$10+1,1))-AVERAGE(OFFSET($H$3,0,0,'Données projet'!$E$10+1,1))</f>
        <v>374.01259415112554</v>
      </c>
      <c r="AO47" s="59">
        <f t="shared" si="36"/>
        <v>244.5696433180579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</v>
      </c>
      <c r="BD47" s="12">
        <f>IF('Données projet'!$A$88&gt;35,BD46+BC47-BL46,IF(A47&lt;'Données projet'!$A$88,$BA$205^A47,IF(A47='Données projet'!$A$88,'Données projet'!$B$88,BD46+BC47-BL46)))</f>
        <v>149.99999999999997</v>
      </c>
      <c r="BE47" s="13">
        <f>BD47*VLOOKUP('Données projet'!$B$11,Paramètres!$A$1:$I$89,3,0)*VLOOKUP('Données projet'!$B$11,Paramètres!$A$1:$I$89,5,0)</f>
        <v>121.67999999999998</v>
      </c>
      <c r="BF47" s="13">
        <f t="shared" si="37"/>
        <v>32.066514091456256</v>
      </c>
      <c r="BG47" s="20">
        <f t="shared" si="7"/>
        <v>267.77517870928619</v>
      </c>
      <c r="BH47" s="59">
        <f t="shared" si="8"/>
        <v>561.10851204261951</v>
      </c>
      <c r="BI47" s="59">
        <f ca="1">AVERAGE(OFFSET($BH$3,0,0,'Données projet'!$E$11+1,1))-AVERAGE(OFFSET($H$3,0,0,'Données projet'!$E$11+1,1))</f>
        <v>252.20412072815043</v>
      </c>
      <c r="BJ47" s="59">
        <f t="shared" si="38"/>
        <v>208.19930959443013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8.8030799999999942</v>
      </c>
      <c r="D48" s="11">
        <f t="shared" si="32"/>
        <v>3.1494247811241745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20.298288821277538</v>
      </c>
      <c r="H48" s="67">
        <f t="shared" si="1"/>
        <v>277.48394582712461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15.599999999999987</v>
      </c>
      <c r="N48" s="13">
        <f>IF('Données projet'!$A$36&gt;35,N47+M48-V47,IF(A48&lt;'Données projet'!$A$36,$K$205^A48,IF(A48='Données projet'!$A$36,'Données projet'!$B$36,N47+M48-V47)))</f>
        <v>277.32307692307705</v>
      </c>
      <c r="O48" s="13">
        <f>N48*VLOOKUP('Données projet'!$B$9,Paramètres!$A$1:$I$89,3,0)*VLOOKUP('Données projet'!$B$9,Paramètres!$A$1:$I$89,5,0)</f>
        <v>129.78720000000007</v>
      </c>
      <c r="P48" s="13">
        <f t="shared" si="33"/>
        <v>33.947182812907982</v>
      </c>
      <c r="Q48" s="20">
        <f t="shared" si="53"/>
        <v>285.17071673248148</v>
      </c>
      <c r="R48" s="59">
        <f t="shared" si="0"/>
        <v>578.50405006581479</v>
      </c>
      <c r="S48" s="59">
        <f ca="1">AVERAGE(OFFSET($R$3,0,0,'Données projet'!$E$9+1,1))-AVERAGE(OFFSET($H$3,0,0,'Données projet'!$E$9+1,1))</f>
        <v>270.18797004581819</v>
      </c>
      <c r="T48" s="59">
        <f t="shared" si="34"/>
        <v>246.88276293504617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5.7867601552886239</v>
      </c>
      <c r="AA48" s="21">
        <f>EXP(-LN(2)/25)*AA47+(1-EXP(-LN(2)/25))/(LN(2)/25)*Calculateur!V48*Calculateur!X48*VLOOKUP('Données projet'!$B$9,Paramètres!$A$1:$I$89,3,0)*0.475*44/12</f>
        <v>22.514436784307176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28.301196939595798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154</v>
      </c>
      <c r="AG48" s="12">
        <f>VLOOKUP(A48,'Données projet'!$A$61:$I$81,9,0)</f>
        <v>7.4</v>
      </c>
      <c r="AH48" s="12">
        <f t="array" ref="AH48">INDEX(AG:AG,MIN(IF(ISNUMBER(AG48:AG244),ROW(AG48:AG244),"")))</f>
        <v>7.4</v>
      </c>
      <c r="AI48" s="13">
        <f>IF('Données projet'!$A$62&gt;35,AI47+AH48-AQ47,IF(A48&lt;'Données projet'!$A$62,$AF$205^A48,IF(A48='Données projet'!$A$62,'Données projet'!$B$62,AI47+AH48-AQ47)))</f>
        <v>154.00000000000009</v>
      </c>
      <c r="AJ48" s="13">
        <f>AI48*VLOOKUP('Données projet'!$B$10,Paramètres!$A$1:$I$89,3,0)*VLOOKUP('Données projet'!$B$10,Paramètres!$A$1:$I$89,5,0)</f>
        <v>156.15600000000012</v>
      </c>
      <c r="AK48" s="13">
        <f t="shared" si="35"/>
        <v>39.974267176222121</v>
      </c>
      <c r="AL48" s="20">
        <f t="shared" si="4"/>
        <v>341.59354866525376</v>
      </c>
      <c r="AM48" s="59">
        <f t="shared" si="5"/>
        <v>634.92688199858708</v>
      </c>
      <c r="AN48" s="59">
        <f ca="1">AVERAGE(OFFSET($AM$3,0,0,'Données projet'!$E$10+1,1))-AVERAGE(OFFSET($H$3,0,0,'Données projet'!$E$10+1,1))</f>
        <v>374.01259415112554</v>
      </c>
      <c r="AO48" s="59">
        <f t="shared" si="36"/>
        <v>244.5696433180579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0.129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3.0366453277689285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3.0366453277689285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156</v>
      </c>
      <c r="BB48" s="12">
        <f>VLOOKUP(A48,'Données projet'!$A$87:$I$107,9,0)</f>
        <v>6</v>
      </c>
      <c r="BC48" s="12">
        <f t="array" ref="BC48">INDEX(BB:BB,MIN(IF(ISNUMBER(BB48:BB244),ROW(BB48:BB244),"")))</f>
        <v>6</v>
      </c>
      <c r="BD48" s="12">
        <f>IF('Données projet'!$A$88&gt;35,BD47+BC48-BL47,IF(A48&lt;'Données projet'!$A$88,$BA$205^A48,IF(A48='Données projet'!$A$88,'Données projet'!$B$88,BD47+BC48-BL47)))</f>
        <v>155.99999999999997</v>
      </c>
      <c r="BE48" s="13">
        <f>BD48*VLOOKUP('Données projet'!$B$11,Paramètres!$A$1:$I$89,3,0)*VLOOKUP('Données projet'!$B$11,Paramètres!$A$1:$I$89,5,0)</f>
        <v>126.54719999999999</v>
      </c>
      <c r="BF48" s="13">
        <f t="shared" si="37"/>
        <v>33.19727296936243</v>
      </c>
      <c r="BG48" s="20">
        <f t="shared" si="7"/>
        <v>278.22162375497288</v>
      </c>
      <c r="BH48" s="59">
        <f t="shared" si="8"/>
        <v>571.5549570883062</v>
      </c>
      <c r="BI48" s="59">
        <f ca="1">AVERAGE(OFFSET($BH$3,0,0,'Données projet'!$E$11+1,1))-AVERAGE(OFFSET($H$3,0,0,'Données projet'!$E$11+1,1))</f>
        <v>252.20412072815043</v>
      </c>
      <c r="BJ48" s="59">
        <f t="shared" si="38"/>
        <v>208.19930959443013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14</v>
      </c>
      <c r="BM48" s="16">
        <f>IF(ISNA(VLOOKUP(A48,'Données projet'!$A$87:$I$107,5,0)),0%,VLOOKUP(A48,'Données projet'!$A$87:$I$107,5,0)*VLOOKUP('Données projet'!$B$11,Paramètres!$A$1:$I$89,7,0))</f>
        <v>0.129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1.6195441748100954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1.6195441748100954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8.9987039999999947</v>
      </c>
      <c r="D49" s="11">
        <f t="shared" si="32"/>
        <v>3.2111861594762123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20.735392411180644</v>
      </c>
      <c r="H49" s="67">
        <f t="shared" si="1"/>
        <v>277.93222536108772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292.92307692307691</v>
      </c>
      <c r="L49" s="12">
        <f>VLOOKUP(A49,'Données projet'!$A$35:$I$55,9,0)</f>
        <v>15.599999999999987</v>
      </c>
      <c r="M49" s="12">
        <f t="array" ref="M49">INDEX(L:L,MIN(IF(ISNUMBER(L49:L245),ROW(L49:L245),"")))</f>
        <v>15.599999999999987</v>
      </c>
      <c r="N49" s="13">
        <f>IF('Données projet'!$A$36&gt;35,N48+M49-V48,IF(A49&lt;'Données projet'!$A$36,$K$205^A49,IF(A49='Données projet'!$A$36,'Données projet'!$B$36,N48+M49-V48)))</f>
        <v>292.92307692307702</v>
      </c>
      <c r="O49" s="13">
        <f>N49*VLOOKUP('Données projet'!$B$9,Paramètres!$A$1:$I$89,3,0)*VLOOKUP('Données projet'!$B$9,Paramètres!$A$1:$I$89,5,0)</f>
        <v>137.08800000000005</v>
      </c>
      <c r="P49" s="13">
        <f t="shared" si="33"/>
        <v>35.629093303595333</v>
      </c>
      <c r="Q49" s="20">
        <f t="shared" si="53"/>
        <v>300.81560417042863</v>
      </c>
      <c r="R49" s="59">
        <f t="shared" si="0"/>
        <v>594.148937503762</v>
      </c>
      <c r="S49" s="59">
        <f ca="1">AVERAGE(OFFSET($R$3,0,0,'Données projet'!$E$9+1,1))-AVERAGE(OFFSET($H$3,0,0,'Données projet'!$E$9+1,1))</f>
        <v>270.18797004581819</v>
      </c>
      <c r="T49" s="59">
        <f t="shared" si="34"/>
        <v>246.88276293504617</v>
      </c>
      <c r="U49" s="15">
        <f>IF(ISNA(VLOOKUP(A49,'Données projet'!$A$35:$I$55,3,0)),0,VLOOKUP(A49,'Données projet'!$A$35:$I$55,3,0))</f>
        <v>4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5.5000000000000007E-2</v>
      </c>
      <c r="X49" s="16">
        <f>IF(ISNA(VLOOKUP(A49,'Données projet'!$A$35:$I$55,6,0)),0%,VLOOKUP(A49,'Données projet'!$A$35:$I$55,6,0)*VLOOKUP('Données projet'!$B$9,Paramètres!$A$1:$I$89,7,0))</f>
        <v>0.22000000000000003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5.6732853182185918</v>
      </c>
      <c r="AA49" s="21">
        <f>EXP(-LN(2)/25)*AA48+(1-EXP(-LN(2)/25))/(LN(2)/25)*Calculateur!V49*Calculateur!X49*VLOOKUP('Données projet'!$B$9,Paramètres!$A$1:$I$89,3,0)*0.475*44/12</f>
        <v>21.898778326457524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27.572063644676117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7.6</v>
      </c>
      <c r="AI49" s="13">
        <f>IF('Données projet'!$A$62&gt;35,AI48+AH49-AQ48,IF(A49&lt;'Données projet'!$A$62,$AF$205^A49,IF(A49='Données projet'!$A$62,'Données projet'!$B$62,AI48+AH49-AQ48)))</f>
        <v>140.60000000000008</v>
      </c>
      <c r="AJ49" s="13">
        <f>AI49*VLOOKUP('Données projet'!$B$10,Paramètres!$A$1:$I$89,3,0)*VLOOKUP('Données projet'!$B$10,Paramètres!$A$1:$I$89,5,0)</f>
        <v>142.56840000000008</v>
      </c>
      <c r="AK49" s="13">
        <f t="shared" si="35"/>
        <v>36.884765886048392</v>
      </c>
      <c r="AL49" s="20">
        <f t="shared" si="4"/>
        <v>312.54759725153446</v>
      </c>
      <c r="AM49" s="59">
        <f t="shared" si="5"/>
        <v>605.88093058486777</v>
      </c>
      <c r="AN49" s="59">
        <f ca="1">AVERAGE(OFFSET($AM$3,0,0,'Données projet'!$E$10+1,1))-AVERAGE(OFFSET($H$3,0,0,'Données projet'!$E$10+1,1))</f>
        <v>374.01259415112554</v>
      </c>
      <c r="AO49" s="59">
        <f t="shared" si="36"/>
        <v>244.5696433180579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2.9770985650621431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2.9770985650621431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5.8</v>
      </c>
      <c r="BD49" s="12">
        <f>IF('Données projet'!$A$88&gt;35,BD48+BC49-BL48,IF(A49&lt;'Données projet'!$A$88,$BA$205^A49,IF(A49='Données projet'!$A$88,'Données projet'!$B$88,BD48+BC49-BL48)))</f>
        <v>147.79999999999998</v>
      </c>
      <c r="BE49" s="13">
        <f>BD49*VLOOKUP('Données projet'!$B$11,Paramètres!$A$1:$I$89,3,0)*VLOOKUP('Données projet'!$B$11,Paramètres!$A$1:$I$89,5,0)</f>
        <v>119.89536</v>
      </c>
      <c r="BF49" s="13">
        <f t="shared" si="37"/>
        <v>31.650592493512807</v>
      </c>
      <c r="BG49" s="20">
        <f t="shared" si="7"/>
        <v>263.94253392620141</v>
      </c>
      <c r="BH49" s="59">
        <f t="shared" si="8"/>
        <v>557.27586725953472</v>
      </c>
      <c r="BI49" s="59">
        <f ca="1">AVERAGE(OFFSET($BH$3,0,0,'Données projet'!$E$11+1,1))-AVERAGE(OFFSET($H$3,0,0,'Données projet'!$E$11+1,1))</f>
        <v>252.20412072815043</v>
      </c>
      <c r="BJ49" s="59">
        <f t="shared" si="38"/>
        <v>208.19930959443013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1.5877859013664766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1.5877859013664766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9.1943279999999952</v>
      </c>
      <c r="D50" s="11">
        <f t="shared" si="32"/>
        <v>3.2727914392580066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21.172230907371489</v>
      </c>
      <c r="H50" s="67">
        <f t="shared" si="1"/>
        <v>278.38023302337439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15.643589743589738</v>
      </c>
      <c r="N50" s="13">
        <f>IF('Données projet'!$A$36&gt;35,N49+M50-V49,IF(A50&lt;'Données projet'!$A$36,$K$205^A50,IF(A50='Données projet'!$A$36,'Données projet'!$B$36,N49+M50-V49)))</f>
        <v>308.56666666666678</v>
      </c>
      <c r="O50" s="13">
        <f>N50*VLOOKUP('Données projet'!$B$9,Paramètres!$A$1:$I$89,3,0)*VLOOKUP('Données projet'!$B$9,Paramètres!$A$1:$I$89,5,0)</f>
        <v>144.40920000000006</v>
      </c>
      <c r="P50" s="13">
        <f t="shared" si="33"/>
        <v>37.305261189150315</v>
      </c>
      <c r="Q50" s="20">
        <f t="shared" si="53"/>
        <v>316.48601990443689</v>
      </c>
      <c r="R50" s="59">
        <f t="shared" si="0"/>
        <v>609.8193532377702</v>
      </c>
      <c r="S50" s="59">
        <f ca="1">AVERAGE(OFFSET($R$3,0,0,'Données projet'!$E$9+1,1))-AVERAGE(OFFSET($H$3,0,0,'Données projet'!$E$9+1,1))</f>
        <v>270.18797004581819</v>
      </c>
      <c r="T50" s="59">
        <f t="shared" si="34"/>
        <v>246.88276293504617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5.5620356534906872</v>
      </c>
      <c r="AA50" s="21">
        <f>EXP(-LN(2)/25)*AA49+(1-EXP(-LN(2)/25))/(LN(2)/25)*Calculateur!V50*Calculateur!X50*VLOOKUP('Données projet'!$B$9,Paramètres!$A$1:$I$89,3,0)*0.475*44/12</f>
        <v>21.29995508151384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26.861990735004525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7.6</v>
      </c>
      <c r="AI50" s="13">
        <f>IF('Données projet'!$A$62&gt;35,AI49+AH50-AQ49,IF(A50&lt;'Données projet'!$A$62,$AF$205^A50,IF(A50='Données projet'!$A$62,'Données projet'!$B$62,AI49+AH50-AQ49)))</f>
        <v>148.20000000000007</v>
      </c>
      <c r="AJ50" s="13">
        <f>AI50*VLOOKUP('Données projet'!$B$10,Paramètres!$A$1:$I$89,3,0)*VLOOKUP('Données projet'!$B$10,Paramètres!$A$1:$I$89,5,0)</f>
        <v>150.27480000000008</v>
      </c>
      <c r="AK50" s="13">
        <f t="shared" si="35"/>
        <v>38.641028252978359</v>
      </c>
      <c r="AL50" s="20">
        <f t="shared" si="4"/>
        <v>329.02840087393741</v>
      </c>
      <c r="AM50" s="59">
        <f t="shared" si="5"/>
        <v>622.36173420727073</v>
      </c>
      <c r="AN50" s="59">
        <f ca="1">AVERAGE(OFFSET($AM$3,0,0,'Données projet'!$E$10+1,1))-AVERAGE(OFFSET($H$3,0,0,'Données projet'!$E$10+1,1))</f>
        <v>374.01259415112554</v>
      </c>
      <c r="AO50" s="59">
        <f t="shared" si="36"/>
        <v>244.5696433180579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2.9187194780520986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2.9187194780520986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5.8</v>
      </c>
      <c r="BD50" s="12">
        <f>IF('Données projet'!$A$88&gt;35,BD49+BC50-BL49,IF(A50&lt;'Données projet'!$A$88,$BA$205^A50,IF(A50='Données projet'!$A$88,'Données projet'!$B$88,BD49+BC50-BL49)))</f>
        <v>153.6</v>
      </c>
      <c r="BE50" s="13">
        <f>BD50*VLOOKUP('Données projet'!$B$11,Paramètres!$A$1:$I$89,3,0)*VLOOKUP('Données projet'!$B$11,Paramètres!$A$1:$I$89,5,0)</f>
        <v>124.60032000000001</v>
      </c>
      <c r="BF50" s="13">
        <f t="shared" si="37"/>
        <v>32.745587947600931</v>
      </c>
      <c r="BG50" s="20">
        <f t="shared" si="7"/>
        <v>274.04412300873832</v>
      </c>
      <c r="BH50" s="59">
        <f t="shared" si="8"/>
        <v>567.37745634207158</v>
      </c>
      <c r="BI50" s="59">
        <f ca="1">AVERAGE(OFFSET($BH$3,0,0,'Données projet'!$E$11+1,1))-AVERAGE(OFFSET($H$3,0,0,'Données projet'!$E$11+1,1))</f>
        <v>252.20412072815043</v>
      </c>
      <c r="BJ50" s="59">
        <f t="shared" si="38"/>
        <v>208.19930959443013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1.5566503882944529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1.5566503882944529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9.3899519999999956</v>
      </c>
      <c r="D51" s="11">
        <f t="shared" si="32"/>
        <v>3.3342443242855047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21.608810599839241</v>
      </c>
      <c r="H51" s="67">
        <f t="shared" si="1"/>
        <v>278.82797526479726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15.643589743589738</v>
      </c>
      <c r="N51" s="13">
        <f>IF('Données projet'!$A$36&gt;35,N50+M51-V50,IF(A51&lt;'Données projet'!$A$36,$K$205^A51,IF(A51='Données projet'!$A$36,'Données projet'!$B$36,N50+M51-V50)))</f>
        <v>324.21025641025653</v>
      </c>
      <c r="O51" s="13">
        <f>N51*VLOOKUP('Données projet'!$B$9,Paramètres!$A$1:$I$89,3,0)*VLOOKUP('Données projet'!$B$9,Paramètres!$A$1:$I$89,5,0)</f>
        <v>151.73040000000006</v>
      </c>
      <c r="P51" s="13">
        <f t="shared" si="33"/>
        <v>38.971562337519707</v>
      </c>
      <c r="Q51" s="20">
        <f t="shared" si="53"/>
        <v>332.1392510711803</v>
      </c>
      <c r="R51" s="59">
        <f t="shared" si="0"/>
        <v>625.47258440451355</v>
      </c>
      <c r="S51" s="59">
        <f ca="1">AVERAGE(OFFSET($R$3,0,0,'Données projet'!$E$9+1,1))-AVERAGE(OFFSET($H$3,0,0,'Données projet'!$E$9+1,1))</f>
        <v>270.18797004581819</v>
      </c>
      <c r="T51" s="59">
        <f t="shared" si="34"/>
        <v>246.88276293504617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5.4529675268325013</v>
      </c>
      <c r="AA51" s="21">
        <f>EXP(-LN(2)/25)*AA50+(1-EXP(-LN(2)/25))/(LN(2)/25)*Calculateur!V51*Calculateur!X51*VLOOKUP('Données projet'!$B$9,Paramètres!$A$1:$I$89,3,0)*0.475*44/12</f>
        <v>20.717506689693888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26.17047421652639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7.6</v>
      </c>
      <c r="AI51" s="13">
        <f>IF('Données projet'!$A$62&gt;35,AI50+AH51-AQ50,IF(A51&lt;'Données projet'!$A$62,$AF$205^A51,IF(A51='Données projet'!$A$62,'Données projet'!$B$62,AI50+AH51-AQ50)))</f>
        <v>155.80000000000007</v>
      </c>
      <c r="AJ51" s="13">
        <f>AI51*VLOOKUP('Données projet'!$B$10,Paramètres!$A$1:$I$89,3,0)*VLOOKUP('Données projet'!$B$10,Paramètres!$A$1:$I$89,5,0)</f>
        <v>157.98120000000009</v>
      </c>
      <c r="AK51" s="13">
        <f t="shared" si="35"/>
        <v>40.386833472870585</v>
      </c>
      <c r="AL51" s="20">
        <f t="shared" si="4"/>
        <v>345.49099163191642</v>
      </c>
      <c r="AM51" s="59">
        <f t="shared" si="5"/>
        <v>638.82432496524973</v>
      </c>
      <c r="AN51" s="59">
        <f ca="1">AVERAGE(OFFSET($AM$3,0,0,'Données projet'!$E$10+1,1))-AVERAGE(OFFSET($H$3,0,0,'Données projet'!$E$10+1,1))</f>
        <v>374.01259415112554</v>
      </c>
      <c r="AO51" s="59">
        <f t="shared" si="36"/>
        <v>244.5696433180579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2.861485169330594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2.861485169330594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5.8</v>
      </c>
      <c r="BD51" s="12">
        <f>IF('Données projet'!$A$88&gt;35,BD50+BC51-BL50,IF(A51&lt;'Données projet'!$A$88,$BA$205^A51,IF(A51='Données projet'!$A$88,'Données projet'!$B$88,BD50+BC51-BL50)))</f>
        <v>159.4</v>
      </c>
      <c r="BE51" s="13">
        <f>BD51*VLOOKUP('Données projet'!$B$11,Paramètres!$A$1:$I$89,3,0)*VLOOKUP('Données projet'!$B$11,Paramètres!$A$1:$I$89,5,0)</f>
        <v>129.30528000000001</v>
      </c>
      <c r="BF51" s="13">
        <f t="shared" si="37"/>
        <v>33.835779910277751</v>
      </c>
      <c r="BG51" s="20">
        <f t="shared" si="7"/>
        <v>284.13734601040039</v>
      </c>
      <c r="BH51" s="59">
        <f t="shared" si="8"/>
        <v>577.47067934373376</v>
      </c>
      <c r="BI51" s="59">
        <f ca="1">AVERAGE(OFFSET($BH$3,0,0,'Données projet'!$E$11+1,1))-AVERAGE(OFFSET($H$3,0,0,'Données projet'!$E$11+1,1))</f>
        <v>252.20412072815043</v>
      </c>
      <c r="BJ51" s="59">
        <f t="shared" si="38"/>
        <v>208.19930959443013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1.5261254236429838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1.5261254236429838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9.5855759999999961</v>
      </c>
      <c r="D52" s="11">
        <f t="shared" si="32"/>
        <v>3.3955483552296517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22.045137501512809</v>
      </c>
      <c r="H52" s="67">
        <f t="shared" si="1"/>
        <v>279.27545825202498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339.85384615384612</v>
      </c>
      <c r="L52" s="12">
        <f>VLOOKUP(A52,'Données projet'!$A$35:$I$55,9,0)</f>
        <v>15.643589743589738</v>
      </c>
      <c r="M52" s="12">
        <f t="array" ref="M52">INDEX(L:L,MIN(IF(ISNUMBER(L52:L248),ROW(L52:L248),"")))</f>
        <v>15.643589743589738</v>
      </c>
      <c r="N52" s="13">
        <f>IF('Données projet'!$A$36&gt;35,N51+M52-V51,IF(A52&lt;'Données projet'!$A$36,$K$205^A52,IF(A52='Données projet'!$A$36,'Données projet'!$B$36,N51+M52-V51)))</f>
        <v>339.85384615384629</v>
      </c>
      <c r="O52" s="13">
        <f>N52*VLOOKUP('Données projet'!$B$9,Paramètres!$A$1:$I$89,3,0)*VLOOKUP('Données projet'!$B$9,Paramètres!$A$1:$I$89,5,0)</f>
        <v>159.05160000000006</v>
      </c>
      <c r="P52" s="13">
        <f t="shared" si="33"/>
        <v>40.628527179850586</v>
      </c>
      <c r="Q52" s="20">
        <f t="shared" si="53"/>
        <v>347.77622150490652</v>
      </c>
      <c r="R52" s="59">
        <f t="shared" si="0"/>
        <v>641.10955483823977</v>
      </c>
      <c r="S52" s="59">
        <f ca="1">AVERAGE(OFFSET($R$3,0,0,'Données projet'!$E$9+1,1))-AVERAGE(OFFSET($H$3,0,0,'Données projet'!$E$9+1,1))</f>
        <v>270.18797004581819</v>
      </c>
      <c r="T52" s="59">
        <f t="shared" si="34"/>
        <v>246.88276293504617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94.476923076923072</v>
      </c>
      <c r="W52" s="16">
        <f>IF(ISNA(VLOOKUP(A52,'Données projet'!$A$35:$I$55,5,0)),0%,VLOOKUP(A52,'Données projet'!$A$35:$I$55,5,0)*VLOOKUP('Données projet'!$B$9,Paramètres!$A$1:$I$89,7,0))</f>
        <v>5.5000000000000007E-2</v>
      </c>
      <c r="X52" s="16">
        <f>IF(ISNA(VLOOKUP(A52,'Données projet'!$A$35:$I$55,6,0)),0%,VLOOKUP(A52,'Données projet'!$A$35:$I$55,6,0)*VLOOKUP('Données projet'!$B$9,Paramètres!$A$1:$I$89,7,0))</f>
        <v>0.22000000000000003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8.5720253586713628</v>
      </c>
      <c r="AA52" s="21">
        <f>EXP(-LN(2)/25)*AA51+(1-EXP(-LN(2)/25))/(LN(2)/25)*Calculateur!V52*Calculateur!X52*VLOOKUP('Données projet'!$B$9,Paramètres!$A$1:$I$89,3,0)*0.475*44/12</f>
        <v>33.00412641281023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41.576151771481591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7.6</v>
      </c>
      <c r="AI52" s="13">
        <f>IF('Données projet'!$A$62&gt;35,AI51+AH52-AQ51,IF(A52&lt;'Données projet'!$A$62,$AF$205^A52,IF(A52='Données projet'!$A$62,'Données projet'!$B$62,AI51+AH52-AQ51)))</f>
        <v>163.40000000000006</v>
      </c>
      <c r="AJ52" s="13">
        <f>AI52*VLOOKUP('Données projet'!$B$10,Paramètres!$A$1:$I$89,3,0)*VLOOKUP('Données projet'!$B$10,Paramètres!$A$1:$I$89,5,0)</f>
        <v>165.68760000000009</v>
      </c>
      <c r="AK52" s="13">
        <f t="shared" si="35"/>
        <v>42.122749874294243</v>
      </c>
      <c r="AL52" s="20">
        <f t="shared" si="4"/>
        <v>361.93635936439591</v>
      </c>
      <c r="AM52" s="59">
        <f t="shared" si="5"/>
        <v>655.26969269772917</v>
      </c>
      <c r="AN52" s="59">
        <f ca="1">AVERAGE(OFFSET($AM$3,0,0,'Données projet'!$E$10+1,1))-AVERAGE(OFFSET($H$3,0,0,'Données projet'!$E$10+1,1))</f>
        <v>374.01259415112554</v>
      </c>
      <c r="AO52" s="59">
        <f t="shared" si="36"/>
        <v>244.5696433180579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2.8053731904936372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2.8053731904936372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5.8</v>
      </c>
      <c r="BD52" s="12">
        <f>IF('Données projet'!$A$88&gt;35,BD51+BC52-BL51,IF(A52&lt;'Données projet'!$A$88,$BA$205^A52,IF(A52='Données projet'!$A$88,'Données projet'!$B$88,BD51+BC52-BL51)))</f>
        <v>165.20000000000002</v>
      </c>
      <c r="BE52" s="13">
        <f>BD52*VLOOKUP('Données projet'!$B$11,Paramètres!$A$1:$I$89,3,0)*VLOOKUP('Données projet'!$B$11,Paramètres!$A$1:$I$89,5,0)</f>
        <v>134.01024000000001</v>
      </c>
      <c r="BF52" s="13">
        <f t="shared" si="37"/>
        <v>34.921363182969436</v>
      </c>
      <c r="BG52" s="20">
        <f t="shared" si="7"/>
        <v>294.22254221033842</v>
      </c>
      <c r="BH52" s="59">
        <f t="shared" si="8"/>
        <v>587.55587554367173</v>
      </c>
      <c r="BI52" s="59">
        <f ca="1">AVERAGE(OFFSET($BH$3,0,0,'Données projet'!$E$11+1,1))-AVERAGE(OFFSET($H$3,0,0,'Données projet'!$E$11+1,1))</f>
        <v>252.20412072815043</v>
      </c>
      <c r="BJ52" s="59">
        <f t="shared" si="38"/>
        <v>208.19930959443013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1.4961990349299401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1.4961990349299401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9.7811999999999966</v>
      </c>
      <c r="D53" s="11">
        <f t="shared" si="32"/>
        <v>3.4567069199829903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22.481217365865845</v>
      </c>
      <c r="H53" s="67">
        <f t="shared" si="1"/>
        <v>279.72268788563707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14.413461538461547</v>
      </c>
      <c r="N53" s="13">
        <f>IF('Données projet'!$A$36&gt;35,N52+M53-V52,IF(A53&lt;'Données projet'!$A$36,$K$205^A53,IF(A53='Données projet'!$A$36,'Données projet'!$B$36,N52+M53-V52)))</f>
        <v>259.79038461538477</v>
      </c>
      <c r="O53" s="13">
        <f>N53*VLOOKUP('Données projet'!$B$9,Paramètres!$A$1:$I$89,3,0)*VLOOKUP('Données projet'!$B$9,Paramètres!$A$1:$I$89,5,0)</f>
        <v>121.58190000000008</v>
      </c>
      <c r="P53" s="13">
        <f t="shared" si="33"/>
        <v>32.043669802343274</v>
      </c>
      <c r="Q53" s="20">
        <f t="shared" si="53"/>
        <v>267.56453407241469</v>
      </c>
      <c r="R53" s="59">
        <f t="shared" si="0"/>
        <v>560.897867405748</v>
      </c>
      <c r="S53" s="59">
        <f ca="1">AVERAGE(OFFSET($R$3,0,0,'Données projet'!$E$9+1,1))-AVERAGE(OFFSET($H$3,0,0,'Données projet'!$E$9+1,1))</f>
        <v>270.18797004581819</v>
      </c>
      <c r="T53" s="59">
        <f t="shared" si="34"/>
        <v>246.88276293504617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8.4039331698070221</v>
      </c>
      <c r="AA53" s="21">
        <f>EXP(-LN(2)/25)*AA52+(1-EXP(-LN(2)/25))/(LN(2)/25)*Calculateur!V53*Calculateur!X53*VLOOKUP('Données projet'!$B$9,Paramètres!$A$1:$I$89,3,0)*0.475*44/12</f>
        <v>32.10162684044036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40.505560010247379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171</v>
      </c>
      <c r="AG53" s="12">
        <f>VLOOKUP(A53,'Données projet'!$A$61:$I$81,9,0)</f>
        <v>7.6</v>
      </c>
      <c r="AH53" s="12">
        <f t="array" ref="AH53">INDEX(AG:AG,MIN(IF(ISNUMBER(AG53:AG249),ROW(AG53:AG249),"")))</f>
        <v>7.6</v>
      </c>
      <c r="AI53" s="13">
        <f>IF('Données projet'!$A$62&gt;35,AI52+AH53-AQ52,IF(A53&lt;'Données projet'!$A$62,$AF$205^A53,IF(A53='Données projet'!$A$62,'Données projet'!$B$62,AI52+AH53-AQ52)))</f>
        <v>171.00000000000006</v>
      </c>
      <c r="AJ53" s="13">
        <f>AI53*VLOOKUP('Données projet'!$B$10,Paramètres!$A$1:$I$89,3,0)*VLOOKUP('Données projet'!$B$10,Paramètres!$A$1:$I$89,5,0)</f>
        <v>173.39400000000006</v>
      </c>
      <c r="AK53" s="13">
        <f t="shared" si="35"/>
        <v>43.849289930196633</v>
      </c>
      <c r="AL53" s="20">
        <f t="shared" si="4"/>
        <v>378.36539662842591</v>
      </c>
      <c r="AM53" s="59">
        <f t="shared" si="5"/>
        <v>671.69872996175923</v>
      </c>
      <c r="AN53" s="59">
        <f ca="1">AVERAGE(OFFSET($AM$3,0,0,'Données projet'!$E$10+1,1))-AVERAGE(OFFSET($H$3,0,0,'Données projet'!$E$10+1,1))</f>
        <v>374.01259415112554</v>
      </c>
      <c r="AO53" s="59">
        <f t="shared" si="36"/>
        <v>244.5696433180579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22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5.9316090195708604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5.9316090195708604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171</v>
      </c>
      <c r="BB53" s="12">
        <f>VLOOKUP(A53,'Données projet'!$A$87:$I$107,9,0)</f>
        <v>5.8</v>
      </c>
      <c r="BC53" s="12">
        <f t="array" ref="BC53">INDEX(BB:BB,MIN(IF(ISNUMBER(BB53:BB249),ROW(BB53:BB249),"")))</f>
        <v>5.8</v>
      </c>
      <c r="BD53" s="12">
        <f>IF('Données projet'!$A$88&gt;35,BD52+BC53-BL52,IF(A53&lt;'Données projet'!$A$88,$BA$205^A53,IF(A53='Données projet'!$A$88,'Données projet'!$B$88,BD52+BC53-BL52)))</f>
        <v>171.00000000000003</v>
      </c>
      <c r="BE53" s="13">
        <f>BD53*VLOOKUP('Données projet'!$B$11,Paramètres!$A$1:$I$89,3,0)*VLOOKUP('Données projet'!$B$11,Paramètres!$A$1:$I$89,5,0)</f>
        <v>138.71520000000004</v>
      </c>
      <c r="BF53" s="13">
        <f t="shared" si="37"/>
        <v>36.002518112949986</v>
      </c>
      <c r="BG53" s="20">
        <f t="shared" si="7"/>
        <v>304.30002571338792</v>
      </c>
      <c r="BH53" s="59">
        <f t="shared" si="8"/>
        <v>597.63335904672124</v>
      </c>
      <c r="BI53" s="59">
        <f ca="1">AVERAGE(OFFSET($BH$3,0,0,'Données projet'!$E$11+1,1))-AVERAGE(OFFSET($H$3,0,0,'Données projet'!$E$11+1,1))</f>
        <v>252.20412072815043</v>
      </c>
      <c r="BJ53" s="59">
        <f t="shared" si="38"/>
        <v>208.19930959443013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14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3.0864036592563595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3.0864036592563595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9.976823999999997</v>
      </c>
      <c r="D54" s="11">
        <f t="shared" si="32"/>
        <v>3.5177232631734885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22.917055703073569</v>
      </c>
      <c r="H54" s="67">
        <f t="shared" si="1"/>
        <v>280.16966981669384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14.413461538461547</v>
      </c>
      <c r="N54" s="13">
        <f>IF('Données projet'!$A$36&gt;35,N53+M54-V53,IF(A54&lt;'Données projet'!$A$36,$K$205^A54,IF(A54='Données projet'!$A$36,'Données projet'!$B$36,N53+M54-V53)))</f>
        <v>274.20384615384631</v>
      </c>
      <c r="O54" s="13">
        <f>N54*VLOOKUP('Données projet'!$B$9,Paramètres!$A$1:$I$89,3,0)*VLOOKUP('Données projet'!$B$9,Paramètres!$A$1:$I$89,5,0)</f>
        <v>128.32740000000007</v>
      </c>
      <c r="P54" s="13">
        <f t="shared" si="33"/>
        <v>33.609579779226429</v>
      </c>
      <c r="Q54" s="20">
        <f t="shared" si="53"/>
        <v>282.04023978215281</v>
      </c>
      <c r="R54" s="59">
        <f t="shared" si="0"/>
        <v>575.37357311548612</v>
      </c>
      <c r="S54" s="59">
        <f ca="1">AVERAGE(OFFSET($R$3,0,0,'Données projet'!$E$9+1,1))-AVERAGE(OFFSET($H$3,0,0,'Données projet'!$E$9+1,1))</f>
        <v>270.18797004581819</v>
      </c>
      <c r="T54" s="59">
        <f t="shared" si="34"/>
        <v>246.88276293504617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8.2391371662401998</v>
      </c>
      <c r="AA54" s="21">
        <f>EXP(-LN(2)/25)*AA53+(1-EXP(-LN(2)/25))/(LN(2)/25)*Calculateur!V54*Calculateur!X54*VLOOKUP('Données projet'!$B$9,Paramètres!$A$1:$I$89,3,0)*0.475*44/12</f>
        <v>31.223806166337333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39.462943332577531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</v>
      </c>
      <c r="AI54" s="13">
        <f>IF('Données projet'!$A$62&gt;35,AI53+AH54-AQ53,IF(A54&lt;'Données projet'!$A$62,$AF$205^A54,IF(A54='Données projet'!$A$62,'Données projet'!$B$62,AI53+AH54-AQ53)))</f>
        <v>156.20000000000005</v>
      </c>
      <c r="AJ54" s="13">
        <f>AI54*VLOOKUP('Données projet'!$B$10,Paramètres!$A$1:$I$89,3,0)*VLOOKUP('Données projet'!$B$10,Paramètres!$A$1:$I$89,5,0)</f>
        <v>158.38680000000005</v>
      </c>
      <c r="AK54" s="13">
        <f t="shared" si="35"/>
        <v>40.478439323673456</v>
      </c>
      <c r="AL54" s="20">
        <f t="shared" si="4"/>
        <v>346.35695848873138</v>
      </c>
      <c r="AM54" s="59">
        <f t="shared" si="5"/>
        <v>639.69029182206464</v>
      </c>
      <c r="AN54" s="59">
        <f ca="1">AVERAGE(OFFSET($AM$3,0,0,'Données projet'!$E$10+1,1))-AVERAGE(OFFSET($H$3,0,0,'Données projet'!$E$10+1,1))</f>
        <v>374.01259415112554</v>
      </c>
      <c r="AO54" s="59">
        <f t="shared" si="36"/>
        <v>244.5696433180579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5.8152937846213373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5.8152937846213373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5.4</v>
      </c>
      <c r="BD54" s="12">
        <f>IF('Données projet'!$A$88&gt;35,BD53+BC54-BL53,IF(A54&lt;'Données projet'!$A$88,$BA$205^A54,IF(A54='Données projet'!$A$88,'Données projet'!$B$88,BD53+BC54-BL53)))</f>
        <v>162.40000000000003</v>
      </c>
      <c r="BE54" s="13">
        <f>BD54*VLOOKUP('Données projet'!$B$11,Paramètres!$A$1:$I$89,3,0)*VLOOKUP('Données projet'!$B$11,Paramètres!$A$1:$I$89,5,0)</f>
        <v>131.73888000000005</v>
      </c>
      <c r="BF54" s="13">
        <f t="shared" si="37"/>
        <v>34.397852193895858</v>
      </c>
      <c r="BG54" s="20">
        <f t="shared" si="7"/>
        <v>289.35480857103533</v>
      </c>
      <c r="BH54" s="59">
        <f t="shared" si="8"/>
        <v>582.68814190436865</v>
      </c>
      <c r="BI54" s="59">
        <f ca="1">AVERAGE(OFFSET($BH$3,0,0,'Données projet'!$E$11+1,1))-AVERAGE(OFFSET($H$3,0,0,'Données projet'!$E$11+1,1))</f>
        <v>252.20412072815043</v>
      </c>
      <c r="BJ54" s="59">
        <f t="shared" si="38"/>
        <v>208.19930959443013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3.0258811660186908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3.0258811660186908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10.172447999999997</v>
      </c>
      <c r="D55" s="11">
        <f t="shared" si="32"/>
        <v>3.5786004949111083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23.352657794866584</v>
      </c>
      <c r="H55" s="67">
        <f t="shared" si="1"/>
        <v>280.61640946197019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14.413461538461547</v>
      </c>
      <c r="N55" s="13">
        <f>IF('Données projet'!$A$36&gt;35,N54+M55-V54,IF(A55&lt;'Données projet'!$A$36,$K$205^A55,IF(A55='Données projet'!$A$36,'Données projet'!$B$36,N54+M55-V54)))</f>
        <v>288.61730769230786</v>
      </c>
      <c r="O55" s="13">
        <f>N55*VLOOKUP('Données projet'!$B$9,Paramètres!$A$1:$I$89,3,0)*VLOOKUP('Données projet'!$B$9,Paramètres!$A$1:$I$89,5,0)</f>
        <v>135.07290000000009</v>
      </c>
      <c r="P55" s="13">
        <f t="shared" si="33"/>
        <v>35.165933280431886</v>
      </c>
      <c r="Q55" s="20">
        <f t="shared" si="53"/>
        <v>296.49930129675232</v>
      </c>
      <c r="R55" s="59">
        <f t="shared" si="0"/>
        <v>589.83263463008564</v>
      </c>
      <c r="S55" s="59">
        <f ca="1">AVERAGE(OFFSET($R$3,0,0,'Données projet'!$E$9+1,1))-AVERAGE(OFFSET($H$3,0,0,'Données projet'!$E$9+1,1))</f>
        <v>270.18797004581819</v>
      </c>
      <c r="T55" s="59">
        <f t="shared" si="34"/>
        <v>246.88276293504617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8.0775727117876865</v>
      </c>
      <c r="AA55" s="21">
        <f>EXP(-LN(2)/25)*AA54+(1-EXP(-LN(2)/25))/(LN(2)/25)*Calculateur!V55*Calculateur!X55*VLOOKUP('Données projet'!$B$9,Paramètres!$A$1:$I$89,3,0)*0.475*44/12</f>
        <v>30.369989544730235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38.447562256517919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</v>
      </c>
      <c r="AI55" s="13">
        <f>IF('Données projet'!$A$62&gt;35,AI54+AH55-AQ54,IF(A55&lt;'Données projet'!$A$62,$AF$205^A55,IF(A55='Données projet'!$A$62,'Données projet'!$B$62,AI54+AH55-AQ54)))</f>
        <v>163.40000000000003</v>
      </c>
      <c r="AJ55" s="13">
        <f>AI55*VLOOKUP('Données projet'!$B$10,Paramètres!$A$1:$I$89,3,0)*VLOOKUP('Données projet'!$B$10,Paramètres!$A$1:$I$89,5,0)</f>
        <v>165.68760000000003</v>
      </c>
      <c r="AK55" s="13">
        <f t="shared" si="35"/>
        <v>42.122749874294207</v>
      </c>
      <c r="AL55" s="20">
        <f t="shared" si="4"/>
        <v>361.93635936439574</v>
      </c>
      <c r="AM55" s="59">
        <f t="shared" si="5"/>
        <v>655.26969269772906</v>
      </c>
      <c r="AN55" s="59">
        <f ca="1">AVERAGE(OFFSET($AM$3,0,0,'Données projet'!$E$10+1,1))-AVERAGE(OFFSET($H$3,0,0,'Données projet'!$E$10+1,1))</f>
        <v>374.01259415112554</v>
      </c>
      <c r="AO55" s="59">
        <f t="shared" si="36"/>
        <v>244.5696433180579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5.7012594204838862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5.7012594204838862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5.4</v>
      </c>
      <c r="BD55" s="12">
        <f>IF('Données projet'!$A$88&gt;35,BD54+BC55-BL54,IF(A55&lt;'Données projet'!$A$88,$BA$205^A55,IF(A55='Données projet'!$A$88,'Données projet'!$B$88,BD54+BC55-BL54)))</f>
        <v>167.80000000000004</v>
      </c>
      <c r="BE55" s="13">
        <f>BD55*VLOOKUP('Données projet'!$B$11,Paramètres!$A$1:$I$89,3,0)*VLOOKUP('Données projet'!$B$11,Paramètres!$A$1:$I$89,5,0)</f>
        <v>136.11936000000006</v>
      </c>
      <c r="BF55" s="13">
        <f t="shared" si="37"/>
        <v>35.406556182020879</v>
      </c>
      <c r="BG55" s="20">
        <f t="shared" si="7"/>
        <v>298.74097068368638</v>
      </c>
      <c r="BH55" s="59">
        <f t="shared" si="8"/>
        <v>592.0743040170197</v>
      </c>
      <c r="BI55" s="59">
        <f ca="1">AVERAGE(OFFSET($BH$3,0,0,'Données projet'!$E$11+1,1))-AVERAGE(OFFSET($H$3,0,0,'Données projet'!$E$11+1,1))</f>
        <v>252.20412072815043</v>
      </c>
      <c r="BJ55" s="59">
        <f t="shared" si="38"/>
        <v>208.19930959443013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2.9665454819583372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2.9665454819583372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10.368071999999998</v>
      </c>
      <c r="D56" s="11">
        <f t="shared" si="32"/>
        <v>3.6393415988425457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23.788028708209797</v>
      </c>
      <c r="H56" s="67">
        <f t="shared" si="1"/>
        <v>281.0629120179841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>
        <f>VLOOKUP(A56,'Données projet'!$A$35:$I$55,2,0)</f>
        <v>303.03076923076924</v>
      </c>
      <c r="L56" s="12">
        <f>VLOOKUP(A56,'Données projet'!$A$35:$I$55,9,0)</f>
        <v>14.413461538461547</v>
      </c>
      <c r="M56" s="12">
        <f t="array" ref="M56">INDEX(L:L,MIN(IF(ISNUMBER(L56:L252),ROW(L56:L252),"")))</f>
        <v>14.413461538461547</v>
      </c>
      <c r="N56" s="13">
        <f>IF('Données projet'!$A$36&gt;35,N55+M56-V55,IF(A56&lt;'Données projet'!$A$36,$K$205^A56,IF(A56='Données projet'!$A$36,'Données projet'!$B$36,N55+M56-V55)))</f>
        <v>303.03076923076941</v>
      </c>
      <c r="O56" s="13">
        <f>N56*VLOOKUP('Données projet'!$B$9,Paramètres!$A$1:$I$89,3,0)*VLOOKUP('Données projet'!$B$9,Paramètres!$A$1:$I$89,5,0)</f>
        <v>141.81840000000008</v>
      </c>
      <c r="P56" s="13">
        <f t="shared" si="33"/>
        <v>36.713262012169757</v>
      </c>
      <c r="Q56" s="20">
        <f t="shared" si="53"/>
        <v>310.94264467119581</v>
      </c>
      <c r="R56" s="59">
        <f t="shared" si="0"/>
        <v>604.27597800452918</v>
      </c>
      <c r="S56" s="59">
        <f ca="1">AVERAGE(OFFSET($R$3,0,0,'Données projet'!$E$9+1,1))-AVERAGE(OFFSET($H$3,0,0,'Données projet'!$E$9+1,1))</f>
        <v>270.18797004581819</v>
      </c>
      <c r="T56" s="59">
        <f t="shared" si="34"/>
        <v>246.88276293504617</v>
      </c>
      <c r="U56" s="15">
        <f>IF(ISNA(VLOOKUP(A56,'Données projet'!$A$35:$I$55,3,0)),0,VLOOKUP(A56,'Données projet'!$A$35:$I$55,3,0))</f>
        <v>6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0.11000000000000001</v>
      </c>
      <c r="X56" s="16">
        <f>IF(ISNA(VLOOKUP(A56,'Données projet'!$A$35:$I$55,6,0)),0%,VLOOKUP(A56,'Données projet'!$A$35:$I$55,6,0)*VLOOKUP('Données projet'!$B$9,Paramètres!$A$1:$I$89,7,0))</f>
        <v>0.27500000000000002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7.9191764377423999</v>
      </c>
      <c r="AA56" s="21">
        <f>EXP(-LN(2)/25)*AA55+(1-EXP(-LN(2)/25))/(LN(2)/25)*Calculateur!V56*Calculateur!X56*VLOOKUP('Données projet'!$B$9,Paramètres!$A$1:$I$89,3,0)*0.475*44/12</f>
        <v>29.539520583541247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37.458697021283648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</v>
      </c>
      <c r="AI56" s="13">
        <f>IF('Données projet'!$A$62&gt;35,AI55+AH56-AQ55,IF(A56&lt;'Données projet'!$A$62,$AF$205^A56,IF(A56='Données projet'!$A$62,'Données projet'!$B$62,AI55+AH56-AQ55)))</f>
        <v>170.60000000000002</v>
      </c>
      <c r="AJ56" s="13">
        <f>AI56*VLOOKUP('Données projet'!$B$10,Paramètres!$A$1:$I$89,3,0)*VLOOKUP('Données projet'!$B$10,Paramètres!$A$1:$I$89,5,0)</f>
        <v>172.98840000000004</v>
      </c>
      <c r="AK56" s="13">
        <f t="shared" si="35"/>
        <v>43.758645457754092</v>
      </c>
      <c r="AL56" s="20">
        <f t="shared" si="4"/>
        <v>377.50110417225505</v>
      </c>
      <c r="AM56" s="59">
        <f t="shared" si="5"/>
        <v>670.83443750558831</v>
      </c>
      <c r="AN56" s="59">
        <f ca="1">AVERAGE(OFFSET($AM$3,0,0,'Données projet'!$E$10+1,1))-AVERAGE(OFFSET($H$3,0,0,'Données projet'!$E$10+1,1))</f>
        <v>374.01259415112554</v>
      </c>
      <c r="AO56" s="59">
        <f t="shared" si="36"/>
        <v>244.5696433180579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5.5894612006730764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5.5894612006730764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5.4</v>
      </c>
      <c r="BD56" s="12">
        <f>IF('Données projet'!$A$88&gt;35,BD55+BC56-BL55,IF(A56&lt;'Données projet'!$A$88,$BA$205^A56,IF(A56='Données projet'!$A$88,'Données projet'!$B$88,BD55+BC56-BL55)))</f>
        <v>173.20000000000005</v>
      </c>
      <c r="BE56" s="13">
        <f>BD56*VLOOKUP('Données projet'!$B$11,Paramètres!$A$1:$I$89,3,0)*VLOOKUP('Données projet'!$B$11,Paramètres!$A$1:$I$89,5,0)</f>
        <v>140.49984000000003</v>
      </c>
      <c r="BF56" s="13">
        <f t="shared" si="37"/>
        <v>36.411488058235591</v>
      </c>
      <c r="BG56" s="20">
        <f t="shared" si="7"/>
        <v>308.12056303476032</v>
      </c>
      <c r="BH56" s="59">
        <f t="shared" si="8"/>
        <v>601.45389636809364</v>
      </c>
      <c r="BI56" s="59">
        <f ca="1">AVERAGE(OFFSET($BH$3,0,0,'Données projet'!$E$11+1,1))-AVERAGE(OFFSET($H$3,0,0,'Données projet'!$E$11+1,1))</f>
        <v>252.20412072815043</v>
      </c>
      <c r="BJ56" s="59">
        <f t="shared" si="38"/>
        <v>208.19930959443013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2.9083733344712135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2.9083733344712135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10.563695999999998</v>
      </c>
      <c r="D57" s="11">
        <f t="shared" si="32"/>
        <v>3.6999494395808648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24.223173307919783</v>
      </c>
      <c r="H57" s="67">
        <f t="shared" si="1"/>
        <v>281.50918247393668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15.007692307692309</v>
      </c>
      <c r="N57" s="13">
        <f>IF('Données projet'!$A$36&gt;35,N56+M57-V56,IF(A57&lt;'Données projet'!$A$36,$K$205^A57,IF(A57='Données projet'!$A$36,'Données projet'!$B$36,N56+M57-V56)))</f>
        <v>318.03846153846172</v>
      </c>
      <c r="O57" s="13">
        <f>N57*VLOOKUP('Données projet'!$B$9,Paramètres!$A$1:$I$89,3,0)*VLOOKUP('Données projet'!$B$9,Paramètres!$A$1:$I$89,5,0)</f>
        <v>148.8420000000001</v>
      </c>
      <c r="P57" s="13">
        <f t="shared" si="33"/>
        <v>38.315307385764029</v>
      </c>
      <c r="Q57" s="20">
        <f t="shared" si="53"/>
        <v>325.96564369687246</v>
      </c>
      <c r="R57" s="59">
        <f t="shared" si="0"/>
        <v>619.29897703020583</v>
      </c>
      <c r="S57" s="59">
        <f ca="1">AVERAGE(OFFSET($R$3,0,0,'Données projet'!$E$9+1,1))-AVERAGE(OFFSET($H$3,0,0,'Données projet'!$E$9+1,1))</f>
        <v>270.18797004581819</v>
      </c>
      <c r="T57" s="59">
        <f t="shared" si="34"/>
        <v>246.88276293504617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7.7638862180189534</v>
      </c>
      <c r="AA57" s="21">
        <f>EXP(-LN(2)/25)*AA56+(1-EXP(-LN(2)/25))/(LN(2)/25)*Calculateur!V57*Calculateur!X57*VLOOKUP('Données projet'!$B$9,Paramètres!$A$1:$I$89,3,0)*0.475*44/12</f>
        <v>28.731760839768437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36.495647057787394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7.2</v>
      </c>
      <c r="AI57" s="13">
        <f>IF('Données projet'!$A$62&gt;35,AI56+AH57-AQ56,IF(A57&lt;'Données projet'!$A$62,$AF$205^A57,IF(A57='Données projet'!$A$62,'Données projet'!$B$62,AI56+AH57-AQ56)))</f>
        <v>177.8</v>
      </c>
      <c r="AJ57" s="13">
        <f>AI57*VLOOKUP('Données projet'!$B$10,Paramètres!$A$1:$I$89,3,0)*VLOOKUP('Données projet'!$B$10,Paramètres!$A$1:$I$89,5,0)</f>
        <v>180.28920000000002</v>
      </c>
      <c r="AK57" s="13">
        <f t="shared" si="35"/>
        <v>45.386521825503259</v>
      </c>
      <c r="AL57" s="20">
        <f t="shared" si="4"/>
        <v>393.05188217941821</v>
      </c>
      <c r="AM57" s="59">
        <f t="shared" si="5"/>
        <v>686.38521551275153</v>
      </c>
      <c r="AN57" s="59">
        <f ca="1">AVERAGE(OFFSET($AM$3,0,0,'Données projet'!$E$10+1,1))-AVERAGE(OFFSET($H$3,0,0,'Données projet'!$E$10+1,1))</f>
        <v>374.01259415112554</v>
      </c>
      <c r="AO57" s="59">
        <f t="shared" si="36"/>
        <v>244.5696433180579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5.479855275762576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5.479855275762576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5.4</v>
      </c>
      <c r="BD57" s="12">
        <f>IF('Données projet'!$A$88&gt;35,BD56+BC57-BL56,IF(A57&lt;'Données projet'!$A$88,$BA$205^A57,IF(A57='Données projet'!$A$88,'Données projet'!$B$88,BD56+BC57-BL56)))</f>
        <v>178.60000000000005</v>
      </c>
      <c r="BE57" s="13">
        <f>BD57*VLOOKUP('Données projet'!$B$11,Paramètres!$A$1:$I$89,3,0)*VLOOKUP('Données projet'!$B$11,Paramètres!$A$1:$I$89,5,0)</f>
        <v>144.88032000000004</v>
      </c>
      <c r="BF57" s="13">
        <f t="shared" si="37"/>
        <v>37.412778923310412</v>
      </c>
      <c r="BG57" s="20">
        <f t="shared" si="7"/>
        <v>317.493813958099</v>
      </c>
      <c r="BH57" s="59">
        <f t="shared" si="8"/>
        <v>610.82714729143231</v>
      </c>
      <c r="BI57" s="59">
        <f ca="1">AVERAGE(OFFSET($BH$3,0,0,'Données projet'!$E$11+1,1))-AVERAGE(OFFSET($H$3,0,0,'Données projet'!$E$11+1,1))</f>
        <v>252.20412072815043</v>
      </c>
      <c r="BJ57" s="59">
        <f t="shared" si="38"/>
        <v>208.19930959443013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2.8513419073148056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2.8513419073148056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10.759319999999999</v>
      </c>
      <c r="D58" s="11">
        <f t="shared" si="32"/>
        <v>3.7604267695692353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24.658096268321088</v>
      </c>
      <c r="H58" s="67">
        <f t="shared" si="1"/>
        <v>281.95522562366642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15.007692307692309</v>
      </c>
      <c r="N58" s="13">
        <f>IF('Données projet'!$A$36&gt;35,N57+M58-V57,IF(A58&lt;'Données projet'!$A$36,$K$205^A58,IF(A58='Données projet'!$A$36,'Données projet'!$B$36,N57+M58-V57)))</f>
        <v>333.04615384615403</v>
      </c>
      <c r="O58" s="13">
        <f>N58*VLOOKUP('Données projet'!$B$9,Paramètres!$A$1:$I$89,3,0)*VLOOKUP('Données projet'!$B$9,Paramètres!$A$1:$I$89,5,0)</f>
        <v>155.86560000000009</v>
      </c>
      <c r="P58" s="13">
        <f t="shared" si="33"/>
        <v>39.908573859453959</v>
      </c>
      <c r="Q58" s="20">
        <f t="shared" si="53"/>
        <v>340.97335280521577</v>
      </c>
      <c r="R58" s="59">
        <f t="shared" si="0"/>
        <v>634.30668613854914</v>
      </c>
      <c r="S58" s="59">
        <f ca="1">AVERAGE(OFFSET($R$3,0,0,'Données projet'!$E$9+1,1))-AVERAGE(OFFSET($H$3,0,0,'Données projet'!$E$9+1,1))</f>
        <v>270.18797004581819</v>
      </c>
      <c r="T58" s="59">
        <f t="shared" si="34"/>
        <v>246.88276293504617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7.6116411447866028</v>
      </c>
      <c r="AA58" s="21">
        <f>EXP(-LN(2)/25)*AA57+(1-EXP(-LN(2)/25))/(LN(2)/25)*Calculateur!V58*Calculateur!X58*VLOOKUP('Données projet'!$B$9,Paramètres!$A$1:$I$89,3,0)*0.475*44/12</f>
        <v>27.946089328667334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35.557730473453937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185</v>
      </c>
      <c r="AG58" s="12">
        <f>VLOOKUP(A58,'Données projet'!$A$61:$I$81,9,0)</f>
        <v>7.2</v>
      </c>
      <c r="AH58" s="12">
        <f t="array" ref="AH58">INDEX(AG:AG,MIN(IF(ISNUMBER(AG58:AG254),ROW(AG58:AG254),"")))</f>
        <v>7.2</v>
      </c>
      <c r="AI58" s="13">
        <f>IF('Données projet'!$A$62&gt;35,AI57+AH58-AQ57,IF(A58&lt;'Données projet'!$A$62,$AF$205^A58,IF(A58='Données projet'!$A$62,'Données projet'!$B$62,AI57+AH58-AQ57)))</f>
        <v>185</v>
      </c>
      <c r="AJ58" s="13">
        <f>AI58*VLOOKUP('Données projet'!$B$10,Paramètres!$A$1:$I$89,3,0)*VLOOKUP('Données projet'!$B$10,Paramètres!$A$1:$I$89,5,0)</f>
        <v>187.59</v>
      </c>
      <c r="AK58" s="13">
        <f t="shared" si="35"/>
        <v>47.006740863164012</v>
      </c>
      <c r="AL58" s="20">
        <f t="shared" si="4"/>
        <v>408.58932367001074</v>
      </c>
      <c r="AM58" s="59">
        <f t="shared" si="5"/>
        <v>701.92265700334406</v>
      </c>
      <c r="AN58" s="59">
        <f ca="1">AVERAGE(OFFSET($AM$3,0,0,'Données projet'!$E$10+1,1))-AVERAGE(OFFSET($H$3,0,0,'Données projet'!$E$10+1,1))</f>
        <v>374.01259415112554</v>
      </c>
      <c r="AO58" s="59">
        <f t="shared" si="36"/>
        <v>244.5696433180579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22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8.5536461424206731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8.5536461424206731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184</v>
      </c>
      <c r="BB58" s="12">
        <f>VLOOKUP(A58,'Données projet'!$A$87:$I$107,9,0)</f>
        <v>5.4</v>
      </c>
      <c r="BC58" s="12">
        <f t="array" ref="BC58">INDEX(BB:BB,MIN(IF(ISNUMBER(BB58:BB254),ROW(BB58:BB254),"")))</f>
        <v>5.4</v>
      </c>
      <c r="BD58" s="12">
        <f>IF('Données projet'!$A$88&gt;35,BD57+BC58-BL57,IF(A58&lt;'Données projet'!$A$88,$BA$205^A58,IF(A58='Données projet'!$A$88,'Données projet'!$B$88,BD57+BC58-BL57)))</f>
        <v>184.00000000000006</v>
      </c>
      <c r="BE58" s="13">
        <f>BD58*VLOOKUP('Données projet'!$B$11,Paramètres!$A$1:$I$89,3,0)*VLOOKUP('Données projet'!$B$11,Paramètres!$A$1:$I$89,5,0)</f>
        <v>149.26080000000005</v>
      </c>
      <c r="BF58" s="13">
        <f t="shared" si="37"/>
        <v>38.410551499792909</v>
      </c>
      <c r="BG58" s="20">
        <f t="shared" si="7"/>
        <v>326.86093719547273</v>
      </c>
      <c r="BH58" s="59">
        <f t="shared" si="8"/>
        <v>620.1942705288061</v>
      </c>
      <c r="BI58" s="59">
        <f ca="1">AVERAGE(OFFSET($BH$3,0,0,'Données projet'!$E$11+1,1))-AVERAGE(OFFSET($H$3,0,0,'Données projet'!$E$11+1,1))</f>
        <v>252.20412072815043</v>
      </c>
      <c r="BJ58" s="59">
        <f t="shared" si="38"/>
        <v>208.19930959443013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14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4.4149730064692942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4.4149730064692942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10.954943999999999</v>
      </c>
      <c r="D59" s="11">
        <f t="shared" si="32"/>
        <v>3.8207762354313526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25.09280208403079</v>
      </c>
      <c r="H59" s="67">
        <f t="shared" si="1"/>
        <v>282.40104607670963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348.05384615384617</v>
      </c>
      <c r="L59" s="12">
        <f>VLOOKUP(A59,'Données projet'!$A$35:$I$55,9,0)</f>
        <v>15.007692307692309</v>
      </c>
      <c r="M59" s="12">
        <f t="array" ref="M59">INDEX(L:L,MIN(IF(ISNUMBER(L59:L255),ROW(L59:L255),"")))</f>
        <v>15.007692307692309</v>
      </c>
      <c r="N59" s="13">
        <f>IF('Données projet'!$A$36&gt;35,N58+M59-V58,IF(A59&lt;'Données projet'!$A$36,$K$205^A59,IF(A59='Données projet'!$A$36,'Données projet'!$B$36,N58+M59-V58)))</f>
        <v>348.05384615384634</v>
      </c>
      <c r="O59" s="13">
        <f>N59*VLOOKUP('Données projet'!$B$9,Paramètres!$A$1:$I$89,3,0)*VLOOKUP('Données projet'!$B$9,Paramètres!$A$1:$I$89,5,0)</f>
        <v>162.8892000000001</v>
      </c>
      <c r="P59" s="13">
        <f t="shared" si="33"/>
        <v>41.493502222820929</v>
      </c>
      <c r="Q59" s="20">
        <f t="shared" si="53"/>
        <v>355.96653970474659</v>
      </c>
      <c r="R59" s="59">
        <f t="shared" si="0"/>
        <v>649.29987303807991</v>
      </c>
      <c r="S59" s="59">
        <f ca="1">AVERAGE(OFFSET($R$3,0,0,'Données projet'!$E$9+1,1))-AVERAGE(OFFSET($H$3,0,0,'Données projet'!$E$9+1,1))</f>
        <v>270.18797004581819</v>
      </c>
      <c r="T59" s="59">
        <f t="shared" si="34"/>
        <v>246.88276293504617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72.769230769230745</v>
      </c>
      <c r="W59" s="16">
        <f>IF(ISNA(VLOOKUP(A59,'Données projet'!$A$35:$I$55,5,0)),0%,VLOOKUP(A59,'Données projet'!$A$35:$I$55,5,0)*VLOOKUP('Données projet'!$B$9,Paramètres!$A$1:$I$89,7,0))</f>
        <v>0.11000000000000001</v>
      </c>
      <c r="X59" s="16">
        <f>IF(ISNA(VLOOKUP(A59,'Données projet'!$A$35:$I$55,6,0)),0%,VLOOKUP(A59,'Données projet'!$A$35:$I$55,6,0)*VLOOKUP('Données projet'!$B$9,Paramètres!$A$1:$I$89,7,0))</f>
        <v>0.27500000000000002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12.431904204969399</v>
      </c>
      <c r="AA59" s="21">
        <f>EXP(-LN(2)/25)*AA58+(1-EXP(-LN(2)/25))/(LN(2)/25)*Calculateur!V59*Calculateur!X59*VLOOKUP('Données projet'!$B$9,Paramètres!$A$1:$I$89,3,0)*0.475*44/12</f>
        <v>39.556791536307344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51.988695741276743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7.2</v>
      </c>
      <c r="AI59" s="13">
        <f>IF('Données projet'!$A$62&gt;35,AI58+AH59-AQ58,IF(A59&lt;'Données projet'!$A$62,$AF$205^A59,IF(A59='Données projet'!$A$62,'Données projet'!$B$62,AI58+AH59-AQ58)))</f>
        <v>170.2</v>
      </c>
      <c r="AJ59" s="13">
        <f>AI59*VLOOKUP('Données projet'!$B$10,Paramètres!$A$1:$I$89,3,0)*VLOOKUP('Données projet'!$B$10,Paramètres!$A$1:$I$89,5,0)</f>
        <v>172.58279999999999</v>
      </c>
      <c r="AK59" s="13">
        <f t="shared" si="35"/>
        <v>43.667976243302661</v>
      </c>
      <c r="AL59" s="20">
        <f t="shared" si="4"/>
        <v>376.63676862375206</v>
      </c>
      <c r="AM59" s="59">
        <f t="shared" si="5"/>
        <v>669.97010195708538</v>
      </c>
      <c r="AN59" s="59">
        <f ca="1">AVERAGE(OFFSET($AM$3,0,0,'Données projet'!$E$10+1,1))-AVERAGE(OFFSET($H$3,0,0,'Données projet'!$E$10+1,1))</f>
        <v>374.01259415112554</v>
      </c>
      <c r="AO59" s="59">
        <f t="shared" si="36"/>
        <v>244.5696433180579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8.3859143587767946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8.3859143587767946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5.4</v>
      </c>
      <c r="BD59" s="12">
        <f>IF('Données projet'!$A$88&gt;35,BD58+BC59-BL58,IF(A59&lt;'Données projet'!$A$88,$BA$205^A59,IF(A59='Données projet'!$A$88,'Données projet'!$B$88,BD58+BC59-BL58)))</f>
        <v>175.40000000000006</v>
      </c>
      <c r="BE59" s="13">
        <f>BD59*VLOOKUP('Données projet'!$B$11,Paramètres!$A$1:$I$89,3,0)*VLOOKUP('Données projet'!$B$11,Paramètres!$A$1:$I$89,5,0)</f>
        <v>142.28448000000006</v>
      </c>
      <c r="BF59" s="13">
        <f t="shared" si="37"/>
        <v>36.819853762091817</v>
      </c>
      <c r="BG59" s="20">
        <f t="shared" si="7"/>
        <v>311.94004796897667</v>
      </c>
      <c r="BH59" s="59">
        <f t="shared" si="8"/>
        <v>605.27338130230999</v>
      </c>
      <c r="BI59" s="59">
        <f ca="1">AVERAGE(OFFSET($BH$3,0,0,'Données projet'!$E$11+1,1))-AVERAGE(OFFSET($H$3,0,0,'Données projet'!$E$11+1,1))</f>
        <v>252.20412072815043</v>
      </c>
      <c r="BJ59" s="59">
        <f t="shared" si="38"/>
        <v>208.19930959443013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4.3283980786800669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4.3283980786800669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11.150568</v>
      </c>
      <c r="D60" s="11">
        <f t="shared" si="32"/>
        <v>3.8810003838554246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25.527295079950971</v>
      </c>
      <c r="H60" s="67">
        <f t="shared" si="1"/>
        <v>282.84664826854822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14.05961538461537</v>
      </c>
      <c r="N60" s="13">
        <f>IF('Données projet'!$A$36&gt;35,N59+M60-V59,IF(A60&lt;'Données projet'!$A$36,$K$205^A60,IF(A60='Données projet'!$A$36,'Données projet'!$B$36,N59+M60-V59)))</f>
        <v>289.34423076923099</v>
      </c>
      <c r="O60" s="13">
        <f>N60*VLOOKUP('Données projet'!$B$9,Paramètres!$A$1:$I$89,3,0)*VLOOKUP('Données projet'!$B$9,Paramètres!$A$1:$I$89,5,0)</f>
        <v>135.4131000000001</v>
      </c>
      <c r="P60" s="13">
        <f t="shared" si="33"/>
        <v>35.24418255752245</v>
      </c>
      <c r="Q60" s="20">
        <f t="shared" si="53"/>
        <v>297.2281004543517</v>
      </c>
      <c r="R60" s="59">
        <f t="shared" si="0"/>
        <v>590.56143378768502</v>
      </c>
      <c r="S60" s="59">
        <f ca="1">AVERAGE(OFFSET($R$3,0,0,'Données projet'!$E$9+1,1))-AVERAGE(OFFSET($H$3,0,0,'Données projet'!$E$9+1,1))</f>
        <v>270.18797004581819</v>
      </c>
      <c r="T60" s="59">
        <f t="shared" si="34"/>
        <v>246.88276293504617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12.188122146222783</v>
      </c>
      <c r="AA60" s="21">
        <f>EXP(-LN(2)/25)*AA59+(1-EXP(-LN(2)/25))/(LN(2)/25)*Calculateur!V60*Calculateur!X60*VLOOKUP('Données projet'!$B$9,Paramètres!$A$1:$I$89,3,0)*0.475*44/12</f>
        <v>38.47510899154576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50.663231137768541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7.2</v>
      </c>
      <c r="AI60" s="13">
        <f>IF('Données projet'!$A$62&gt;35,AI59+AH60-AQ59,IF(A60&lt;'Données projet'!$A$62,$AF$205^A60,IF(A60='Données projet'!$A$62,'Données projet'!$B$62,AI59+AH60-AQ59)))</f>
        <v>177.39999999999998</v>
      </c>
      <c r="AJ60" s="13">
        <f>AI60*VLOOKUP('Données projet'!$B$10,Paramètres!$A$1:$I$89,3,0)*VLOOKUP('Données projet'!$B$10,Paramètres!$A$1:$I$89,5,0)</f>
        <v>179.8836</v>
      </c>
      <c r="AK60" s="13">
        <f t="shared" si="35"/>
        <v>45.296288336218105</v>
      </c>
      <c r="AL60" s="20">
        <f t="shared" si="4"/>
        <v>392.18830551891324</v>
      </c>
      <c r="AM60" s="59">
        <f t="shared" si="5"/>
        <v>685.5216388522465</v>
      </c>
      <c r="AN60" s="59">
        <f ca="1">AVERAGE(OFFSET($AM$3,0,0,'Données projet'!$E$10+1,1))-AVERAGE(OFFSET($H$3,0,0,'Données projet'!$E$10+1,1))</f>
        <v>374.01259415112554</v>
      </c>
      <c r="AO60" s="59">
        <f t="shared" si="36"/>
        <v>244.5696433180579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8.2214716931038865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8.2214716931038865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5.4</v>
      </c>
      <c r="BD60" s="12">
        <f>IF('Données projet'!$A$88&gt;35,BD59+BC60-BL59,IF(A60&lt;'Données projet'!$A$88,$BA$205^A60,IF(A60='Données projet'!$A$88,'Données projet'!$B$88,BD59+BC60-BL59)))</f>
        <v>180.80000000000007</v>
      </c>
      <c r="BE60" s="13">
        <f>BD60*VLOOKUP('Données projet'!$B$11,Paramètres!$A$1:$I$89,3,0)*VLOOKUP('Données projet'!$B$11,Paramètres!$A$1:$I$89,5,0)</f>
        <v>146.66496000000006</v>
      </c>
      <c r="BF60" s="13">
        <f t="shared" si="37"/>
        <v>37.819696883427554</v>
      </c>
      <c r="BG60" s="20">
        <f t="shared" si="7"/>
        <v>321.3107774053031</v>
      </c>
      <c r="BH60" s="59">
        <f t="shared" si="8"/>
        <v>614.64411073863641</v>
      </c>
      <c r="BI60" s="59">
        <f ca="1">AVERAGE(OFFSET($BH$3,0,0,'Données projet'!$E$11+1,1))-AVERAGE(OFFSET($H$3,0,0,'Données projet'!$E$11+1,1))</f>
        <v>252.20412072815043</v>
      </c>
      <c r="BJ60" s="59">
        <f t="shared" si="38"/>
        <v>208.19930959443013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4.2435208324192946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4.2435208324192946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11.346192</v>
      </c>
      <c r="D61" s="11">
        <f t="shared" si="32"/>
        <v>3.9411016670535575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25.961579420540076</v>
      </c>
      <c r="H61" s="67">
        <f t="shared" si="1"/>
        <v>283.29203647011832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14.05961538461537</v>
      </c>
      <c r="N61" s="13">
        <f>IF('Données projet'!$A$36&gt;35,N60+M61-V60,IF(A61&lt;'Données projet'!$A$36,$K$205^A61,IF(A61='Données projet'!$A$36,'Données projet'!$B$36,N60+M61-V60)))</f>
        <v>303.40384615384636</v>
      </c>
      <c r="O61" s="13">
        <f>N61*VLOOKUP('Données projet'!$B$9,Paramètres!$A$1:$I$89,3,0)*VLOOKUP('Données projet'!$B$9,Paramètres!$A$1:$I$89,5,0)</f>
        <v>141.99300000000008</v>
      </c>
      <c r="P61" s="13">
        <f t="shared" si="33"/>
        <v>36.7531975220394</v>
      </c>
      <c r="Q61" s="20">
        <f t="shared" si="53"/>
        <v>311.31629401755214</v>
      </c>
      <c r="R61" s="59">
        <f t="shared" si="0"/>
        <v>604.64962735088545</v>
      </c>
      <c r="S61" s="59">
        <f ca="1">AVERAGE(OFFSET($R$3,0,0,'Données projet'!$E$9+1,1))-AVERAGE(OFFSET($H$3,0,0,'Données projet'!$E$9+1,1))</f>
        <v>270.18797004581819</v>
      </c>
      <c r="T61" s="59">
        <f t="shared" si="34"/>
        <v>246.88276293504617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11.949120504955815</v>
      </c>
      <c r="AA61" s="21">
        <f>EXP(-LN(2)/25)*AA60+(1-EXP(-LN(2)/25))/(LN(2)/25)*Calculateur!V61*Calculateur!X61*VLOOKUP('Données projet'!$B$9,Paramètres!$A$1:$I$89,3,0)*0.475*44/12</f>
        <v>37.423005112853893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49.372125617809708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7.2</v>
      </c>
      <c r="AI61" s="13">
        <f>IF('Données projet'!$A$62&gt;35,AI60+AH61-AQ60,IF(A61&lt;'Données projet'!$A$62,$AF$205^A61,IF(A61='Données projet'!$A$62,'Données projet'!$B$62,AI60+AH61-AQ60)))</f>
        <v>184.59999999999997</v>
      </c>
      <c r="AJ61" s="13">
        <f>AI61*VLOOKUP('Données projet'!$B$10,Paramètres!$A$1:$I$89,3,0)*VLOOKUP('Données projet'!$B$10,Paramètres!$A$1:$I$89,5,0)</f>
        <v>187.18439999999998</v>
      </c>
      <c r="AK61" s="13">
        <f t="shared" si="35"/>
        <v>46.916923809907296</v>
      </c>
      <c r="AL61" s="20">
        <f t="shared" si="4"/>
        <v>407.72647230225516</v>
      </c>
      <c r="AM61" s="59">
        <f t="shared" si="5"/>
        <v>701.05980563558842</v>
      </c>
      <c r="AN61" s="59">
        <f ca="1">AVERAGE(OFFSET($AM$3,0,0,'Données projet'!$E$10+1,1))-AVERAGE(OFFSET($H$3,0,0,'Données projet'!$E$10+1,1))</f>
        <v>374.01259415112554</v>
      </c>
      <c r="AO61" s="59">
        <f t="shared" si="36"/>
        <v>244.5696433180579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8.0602536478047018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8.0602536478047018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5.4</v>
      </c>
      <c r="BD61" s="12">
        <f>IF('Données projet'!$A$88&gt;35,BD60+BC61-BL60,IF(A61&lt;'Données projet'!$A$88,$BA$205^A61,IF(A61='Données projet'!$A$88,'Données projet'!$B$88,BD60+BC61-BL60)))</f>
        <v>186.20000000000007</v>
      </c>
      <c r="BE61" s="13">
        <f>BD61*VLOOKUP('Données projet'!$B$11,Paramètres!$A$1:$I$89,3,0)*VLOOKUP('Données projet'!$B$11,Paramètres!$A$1:$I$89,5,0)</f>
        <v>151.04544000000007</v>
      </c>
      <c r="BF61" s="13">
        <f t="shared" si="37"/>
        <v>38.816069491558714</v>
      </c>
      <c r="BG61" s="20">
        <f t="shared" si="7"/>
        <v>330.67546236446486</v>
      </c>
      <c r="BH61" s="59">
        <f t="shared" si="8"/>
        <v>624.00879569779818</v>
      </c>
      <c r="BI61" s="59">
        <f ca="1">AVERAGE(OFFSET($BH$3,0,0,'Données projet'!$E$11+1,1))-AVERAGE(OFFSET($H$3,0,0,'Données projet'!$E$11+1,1))</f>
        <v>252.20412072815043</v>
      </c>
      <c r="BJ61" s="59">
        <f t="shared" si="38"/>
        <v>208.19930959443013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4.1603079771876876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4.1603079771876876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11.541816000000001</v>
      </c>
      <c r="D62" s="11">
        <f t="shared" si="32"/>
        <v>4.0010824478339586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26.395659118426796</v>
      </c>
      <c r="H62" s="67">
        <f t="shared" si="1"/>
        <v>283.73721479664414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14.05961538461537</v>
      </c>
      <c r="N62" s="13">
        <f>IF('Données projet'!$A$36&gt;35,N61+M62-V61,IF(A62&lt;'Données projet'!$A$36,$K$205^A62,IF(A62='Données projet'!$A$36,'Données projet'!$B$36,N61+M62-V61)))</f>
        <v>317.46346153846173</v>
      </c>
      <c r="O62" s="13">
        <f>N62*VLOOKUP('Données projet'!$B$9,Paramètres!$A$1:$I$89,3,0)*VLOOKUP('Données projet'!$B$9,Paramètres!$A$1:$I$89,5,0)</f>
        <v>148.57290000000009</v>
      </c>
      <c r="P62" s="13">
        <f t="shared" si="33"/>
        <v>38.254091808653101</v>
      </c>
      <c r="Q62" s="20">
        <f t="shared" si="53"/>
        <v>325.39034406673767</v>
      </c>
      <c r="R62" s="59">
        <f t="shared" si="0"/>
        <v>618.72367740007098</v>
      </c>
      <c r="S62" s="59">
        <f ca="1">AVERAGE(OFFSET($R$3,0,0,'Données projet'!$E$9+1,1))-AVERAGE(OFFSET($H$3,0,0,'Données projet'!$E$9+1,1))</f>
        <v>270.18797004581819</v>
      </c>
      <c r="T62" s="59">
        <f t="shared" si="34"/>
        <v>246.88276293504617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11.714805540097485</v>
      </c>
      <c r="AA62" s="21">
        <f>EXP(-LN(2)/25)*AA61+(1-EXP(-LN(2)/25))/(LN(2)/25)*Calculateur!V62*Calculateur!X62*VLOOKUP('Données projet'!$B$9,Paramètres!$A$1:$I$89,3,0)*0.475*44/12</f>
        <v>36.399671070052598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48.114476610150085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7.2</v>
      </c>
      <c r="AI62" s="13">
        <f>IF('Données projet'!$A$62&gt;35,AI61+AH62-AQ61,IF(A62&lt;'Données projet'!$A$62,$AF$205^A62,IF(A62='Données projet'!$A$62,'Données projet'!$B$62,AI61+AH62-AQ61)))</f>
        <v>191.79999999999995</v>
      </c>
      <c r="AJ62" s="13">
        <f>AI62*VLOOKUP('Données projet'!$B$10,Paramètres!$A$1:$I$89,3,0)*VLOOKUP('Données projet'!$B$10,Paramètres!$A$1:$I$89,5,0)</f>
        <v>194.48519999999996</v>
      </c>
      <c r="AK62" s="13">
        <f t="shared" si="35"/>
        <v>48.530216343846028</v>
      </c>
      <c r="AL62" s="20">
        <f t="shared" si="4"/>
        <v>423.2518501321984</v>
      </c>
      <c r="AM62" s="59">
        <f t="shared" si="5"/>
        <v>716.58518346553171</v>
      </c>
      <c r="AN62" s="59">
        <f ca="1">AVERAGE(OFFSET($AM$3,0,0,'Données projet'!$E$10+1,1))-AVERAGE(OFFSET($H$3,0,0,'Données projet'!$E$10+1,1))</f>
        <v>374.01259415112554</v>
      </c>
      <c r="AO62" s="59">
        <f t="shared" si="36"/>
        <v>244.5696433180579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7.9021969900405358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7.9021969900405358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5.4</v>
      </c>
      <c r="BD62" s="12">
        <f>IF('Données projet'!$A$88&gt;35,BD61+BC62-BL61,IF(A62&lt;'Données projet'!$A$88,$BA$205^A62,IF(A62='Données projet'!$A$88,'Données projet'!$B$88,BD61+BC62-BL61)))</f>
        <v>191.60000000000008</v>
      </c>
      <c r="BE62" s="13">
        <f>BD62*VLOOKUP('Données projet'!$B$11,Paramètres!$A$1:$I$89,3,0)*VLOOKUP('Données projet'!$B$11,Paramètres!$A$1:$I$89,5,0)</f>
        <v>155.42592000000008</v>
      </c>
      <c r="BF62" s="13">
        <f t="shared" si="37"/>
        <v>39.809083793032812</v>
      </c>
      <c r="BG62" s="20">
        <f t="shared" si="7"/>
        <v>340.03429827286561</v>
      </c>
      <c r="BH62" s="59">
        <f t="shared" si="8"/>
        <v>633.36763160619898</v>
      </c>
      <c r="BI62" s="59">
        <f ca="1">AVERAGE(OFFSET($BH$3,0,0,'Données projet'!$E$11+1,1))-AVERAGE(OFFSET($H$3,0,0,'Données projet'!$E$11+1,1))</f>
        <v>252.20412072815043</v>
      </c>
      <c r="BJ62" s="59">
        <f t="shared" si="38"/>
        <v>208.19930959443013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4.0787268752923422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4.0787268752923422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11.737440000000001</v>
      </c>
      <c r="D63" s="11">
        <f t="shared" si="32"/>
        <v>4.0609450043195352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26.829538042423355</v>
      </c>
      <c r="H63" s="67">
        <f t="shared" si="1"/>
        <v>284.18218721585652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331.52307692307693</v>
      </c>
      <c r="L63" s="12">
        <f>VLOOKUP(A63,'Données projet'!$A$35:$I$55,9,0)</f>
        <v>14.05961538461537</v>
      </c>
      <c r="M63" s="12">
        <f t="array" ref="M63">INDEX(L:L,MIN(IF(ISNUMBER(L63:L259),ROW(L63:L259),"")))</f>
        <v>14.05961538461537</v>
      </c>
      <c r="N63" s="13">
        <f>IF('Données projet'!$A$36&gt;35,N62+M63-V62,IF(A63&lt;'Données projet'!$A$36,$K$205^A63,IF(A63='Données projet'!$A$36,'Données projet'!$B$36,N62+M63-V62)))</f>
        <v>331.5230769230771</v>
      </c>
      <c r="O63" s="13">
        <f>N63*VLOOKUP('Données projet'!$B$9,Paramètres!$A$1:$I$89,3,0)*VLOOKUP('Données projet'!$B$9,Paramètres!$A$1:$I$89,5,0)</f>
        <v>155.1528000000001</v>
      </c>
      <c r="P63" s="13">
        <f t="shared" si="33"/>
        <v>39.747266157565534</v>
      </c>
      <c r="Q63" s="20">
        <f t="shared" si="53"/>
        <v>339.45094855776011</v>
      </c>
      <c r="R63" s="59">
        <f t="shared" si="0"/>
        <v>632.78428189109343</v>
      </c>
      <c r="S63" s="59">
        <f ca="1">AVERAGE(OFFSET($R$3,0,0,'Données projet'!$E$9+1,1))-AVERAGE(OFFSET($H$3,0,0,'Données projet'!$E$9+1,1))</f>
        <v>270.18797004581819</v>
      </c>
      <c r="T63" s="59">
        <f t="shared" si="34"/>
        <v>246.88276293504617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0.11000000000000001</v>
      </c>
      <c r="X63" s="16">
        <f>IF(ISNA(VLOOKUP(A63,'Données projet'!$A$35:$I$55,6,0)),0%,VLOOKUP(A63,'Données projet'!$A$35:$I$55,6,0)*VLOOKUP('Données projet'!$B$9,Paramètres!$A$1:$I$89,7,0))</f>
        <v>0.27500000000000002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11.485085348782011</v>
      </c>
      <c r="AA63" s="21">
        <f>EXP(-LN(2)/25)*AA62+(1-EXP(-LN(2)/25))/(LN(2)/25)*Calculateur!V63*Calculateur!X63*VLOOKUP('Données projet'!$B$9,Paramètres!$A$1:$I$89,3,0)*0.475*44/12</f>
        <v>35.404320150466503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46.889405499248511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199</v>
      </c>
      <c r="AG63" s="12">
        <f>VLOOKUP(A63,'Données projet'!$A$61:$I$81,9,0)</f>
        <v>7.2</v>
      </c>
      <c r="AH63" s="12">
        <f t="array" ref="AH63">INDEX(AG:AG,MIN(IF(ISNUMBER(AG63:AG259),ROW(AG63:AG259),"")))</f>
        <v>7.2</v>
      </c>
      <c r="AI63" s="13">
        <f>IF('Données projet'!$A$62&gt;35,AI62+AH63-AQ62,IF(A63&lt;'Données projet'!$A$62,$AF$205^A63,IF(A63='Données projet'!$A$62,'Données projet'!$B$62,AI62+AH63-AQ62)))</f>
        <v>198.99999999999994</v>
      </c>
      <c r="AJ63" s="13">
        <f>AI63*VLOOKUP('Données projet'!$B$10,Paramètres!$A$1:$I$89,3,0)*VLOOKUP('Données projet'!$B$10,Paramètres!$A$1:$I$89,5,0)</f>
        <v>201.78599999999994</v>
      </c>
      <c r="AK63" s="13">
        <f t="shared" si="35"/>
        <v>50.136473146268756</v>
      </c>
      <c r="AL63" s="20">
        <f t="shared" si="4"/>
        <v>438.76497406308459</v>
      </c>
      <c r="AM63" s="59">
        <f t="shared" si="5"/>
        <v>732.09830739641791</v>
      </c>
      <c r="AN63" s="59">
        <f ca="1">AVERAGE(OFFSET($AM$3,0,0,'Données projet'!$E$10+1,1))-AVERAGE(OFFSET($H$3,0,0,'Données projet'!$E$10+1,1))</f>
        <v>374.01259415112554</v>
      </c>
      <c r="AO63" s="59">
        <f t="shared" si="36"/>
        <v>244.5696433180579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22</v>
      </c>
      <c r="AR63" s="16">
        <f>IF(ISNA(VLOOKUP(A63,'Données projet'!$A$61:$I$81,5,0)),0%,VLOOKUP(A63,'Données projet'!$A$61:$I$81,5,0)*VLOOKUP('Données projet'!$B$10,Paramètres!$A$1:$I$89,7,0))</f>
        <v>0.129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10.928487213164198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10.928487213164198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197</v>
      </c>
      <c r="BB63" s="12">
        <f>VLOOKUP(A63,'Données projet'!$A$87:$I$107,9,0)</f>
        <v>5.4</v>
      </c>
      <c r="BC63" s="12">
        <f t="array" ref="BC63">INDEX(BB:BB,MIN(IF(ISNUMBER(BB63:BB259),ROW(BB63:BB259),"")))</f>
        <v>5.4</v>
      </c>
      <c r="BD63" s="12">
        <f>IF('Données projet'!$A$88&gt;35,BD62+BC63-BL62,IF(A63&lt;'Données projet'!$A$88,$BA$205^A63,IF(A63='Données projet'!$A$88,'Données projet'!$B$88,BD62+BC63-BL62)))</f>
        <v>197.00000000000009</v>
      </c>
      <c r="BE63" s="13">
        <f>BD63*VLOOKUP('Données projet'!$B$11,Paramètres!$A$1:$I$89,3,0)*VLOOKUP('Données projet'!$B$11,Paramètres!$A$1:$I$89,5,0)</f>
        <v>159.80640000000008</v>
      </c>
      <c r="BF63" s="13">
        <f t="shared" si="37"/>
        <v>40.798845309789208</v>
      </c>
      <c r="BG63" s="20">
        <f t="shared" si="7"/>
        <v>349.38746891454963</v>
      </c>
      <c r="BH63" s="59">
        <f t="shared" si="8"/>
        <v>642.72080224788294</v>
      </c>
      <c r="BI63" s="59">
        <f ca="1">AVERAGE(OFFSET($BH$3,0,0,'Données projet'!$E$11+1,1))-AVERAGE(OFFSET($H$3,0,0,'Données projet'!$E$11+1,1))</f>
        <v>252.20412072815043</v>
      </c>
      <c r="BJ63" s="59">
        <f t="shared" si="38"/>
        <v>208.19930959443013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0.129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5.6182897038557007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5.6182897038557007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11.933064000000002</v>
      </c>
      <c r="D64" s="11">
        <f t="shared" si="32"/>
        <v>4.1206915343429849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27.263219924989496</v>
      </c>
      <c r="H64" s="67">
        <f t="shared" si="1"/>
        <v>284.62695755564738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14.551282051282044</v>
      </c>
      <c r="N64" s="13">
        <f>IF('Données projet'!$A$36&gt;35,N63+M64-V63,IF(A64&lt;'Données projet'!$A$36,$K$205^A64,IF(A64='Données projet'!$A$36,'Données projet'!$B$36,N63+M64-V63)))</f>
        <v>346.07435897435914</v>
      </c>
      <c r="O64" s="13">
        <f>N64*VLOOKUP('Données projet'!$B$9,Paramètres!$A$1:$I$89,3,0)*VLOOKUP('Données projet'!$B$9,Paramètres!$A$1:$I$89,5,0)</f>
        <v>161.96280000000007</v>
      </c>
      <c r="P64" s="13">
        <f t="shared" si="33"/>
        <v>41.28491577462448</v>
      </c>
      <c r="Q64" s="20">
        <f t="shared" si="53"/>
        <v>353.98977164080446</v>
      </c>
      <c r="R64" s="59">
        <f t="shared" si="0"/>
        <v>647.32310497413778</v>
      </c>
      <c r="S64" s="59">
        <f ca="1">AVERAGE(OFFSET($R$3,0,0,'Données projet'!$E$9+1,1))-AVERAGE(OFFSET($H$3,0,0,'Données projet'!$E$9+1,1))</f>
        <v>270.18797004581819</v>
      </c>
      <c r="T64" s="59">
        <f t="shared" si="34"/>
        <v>246.88276293504617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11.259869830302751</v>
      </c>
      <c r="AA64" s="21">
        <f>EXP(-LN(2)/25)*AA63+(1-EXP(-LN(2)/25))/(LN(2)/25)*Calculateur!V64*Calculateur!X64*VLOOKUP('Données projet'!$B$9,Paramètres!$A$1:$I$89,3,0)*0.475*44/12</f>
        <v>34.436187154119715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45.696056984422469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183.99999999999994</v>
      </c>
      <c r="AJ64" s="13">
        <f>AI64*VLOOKUP('Données projet'!$B$10,Paramètres!$A$1:$I$89,3,0)*VLOOKUP('Données projet'!$B$10,Paramètres!$A$1:$I$89,5,0)</f>
        <v>186.57599999999996</v>
      </c>
      <c r="AK64" s="13">
        <f t="shared" si="35"/>
        <v>46.782155731694274</v>
      </c>
      <c r="AL64" s="20">
        <f t="shared" si="4"/>
        <v>406.43212123270081</v>
      </c>
      <c r="AM64" s="59">
        <f t="shared" si="5"/>
        <v>699.76545456603412</v>
      </c>
      <c r="AN64" s="59">
        <f ca="1">AVERAGE(OFFSET($AM$3,0,0,'Données projet'!$E$10+1,1))-AVERAGE(OFFSET($H$3,0,0,'Données projet'!$E$10+1,1))</f>
        <v>374.01259415112554</v>
      </c>
      <c r="AO64" s="59">
        <f t="shared" si="36"/>
        <v>244.5696433180579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10.714186244633064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10.714186244633064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</v>
      </c>
      <c r="BD64" s="12">
        <f>IF('Données projet'!$A$88&gt;35,BD63+BC64-BL63,IF(A64&lt;'Données projet'!$A$88,$BA$205^A64,IF(A64='Données projet'!$A$88,'Données projet'!$B$88,BD63+BC64-BL63)))</f>
        <v>188.00000000000009</v>
      </c>
      <c r="BE64" s="13">
        <f>BD64*VLOOKUP('Données projet'!$B$11,Paramètres!$A$1:$I$89,3,0)*VLOOKUP('Données projet'!$B$11,Paramètres!$A$1:$I$89,5,0)</f>
        <v>152.50560000000007</v>
      </c>
      <c r="BF64" s="13">
        <f t="shared" si="37"/>
        <v>39.147442061162252</v>
      </c>
      <c r="BG64" s="20">
        <f t="shared" si="7"/>
        <v>333.79571492319104</v>
      </c>
      <c r="BH64" s="59">
        <f t="shared" si="8"/>
        <v>627.12904825652436</v>
      </c>
      <c r="BI64" s="59">
        <f ca="1">AVERAGE(OFFSET($BH$3,0,0,'Données projet'!$E$11+1,1))-AVERAGE(OFFSET($H$3,0,0,'Données projet'!$E$11+1,1))</f>
        <v>252.20412072815043</v>
      </c>
      <c r="BJ64" s="59">
        <f t="shared" si="38"/>
        <v>208.19930959443013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5.5081184695814391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5.5081184695814391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12.128688000000002</v>
      </c>
      <c r="D65" s="11">
        <f t="shared" si="32"/>
        <v>4.1803241595455267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27.696708369193107</v>
      </c>
      <c r="H65" s="67">
        <f t="shared" si="1"/>
        <v>285.0715295112085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14.551282051282044</v>
      </c>
      <c r="N65" s="13">
        <f>IF('Données projet'!$A$36&gt;35,N64+M65-V64,IF(A65&lt;'Données projet'!$A$36,$K$205^A65,IF(A65='Données projet'!$A$36,'Données projet'!$B$36,N64+M65-V64)))</f>
        <v>360.62564102564119</v>
      </c>
      <c r="O65" s="13">
        <f>N65*VLOOKUP('Données projet'!$B$9,Paramètres!$A$1:$I$89,3,0)*VLOOKUP('Données projet'!$B$9,Paramètres!$A$1:$I$89,5,0)</f>
        <v>168.77280000000007</v>
      </c>
      <c r="P65" s="13">
        <f t="shared" si="33"/>
        <v>42.81505582243534</v>
      </c>
      <c r="Q65" s="20">
        <f t="shared" si="53"/>
        <v>368.51551555740826</v>
      </c>
      <c r="R65" s="59">
        <f t="shared" si="0"/>
        <v>661.84884889074158</v>
      </c>
      <c r="S65" s="59">
        <f ca="1">AVERAGE(OFFSET($R$3,0,0,'Données projet'!$E$9+1,1))-AVERAGE(OFFSET($H$3,0,0,'Données projet'!$E$9+1,1))</f>
        <v>270.18797004581819</v>
      </c>
      <c r="T65" s="59">
        <f t="shared" si="34"/>
        <v>246.88276293504617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11.039070650772967</v>
      </c>
      <c r="AA65" s="21">
        <f>EXP(-LN(2)/25)*AA64+(1-EXP(-LN(2)/25))/(LN(2)/25)*Calculateur!V65*Calculateur!X65*VLOOKUP('Données projet'!$B$9,Paramètres!$A$1:$I$89,3,0)*0.475*44/12</f>
        <v>33.494527805469936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44.533598456242899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190.99999999999994</v>
      </c>
      <c r="AJ65" s="13">
        <f>AI65*VLOOKUP('Données projet'!$B$10,Paramètres!$A$1:$I$89,3,0)*VLOOKUP('Données projet'!$B$10,Paramètres!$A$1:$I$89,5,0)</f>
        <v>193.67399999999995</v>
      </c>
      <c r="AK65" s="13">
        <f t="shared" si="35"/>
        <v>48.351314467254007</v>
      </c>
      <c r="AL65" s="20">
        <f t="shared" si="4"/>
        <v>421.527422697134</v>
      </c>
      <c r="AM65" s="59">
        <f t="shared" si="5"/>
        <v>714.86075603046731</v>
      </c>
      <c r="AN65" s="59">
        <f ca="1">AVERAGE(OFFSET($AM$3,0,0,'Données projet'!$E$10+1,1))-AVERAGE(OFFSET($H$3,0,0,'Données projet'!$E$10+1,1))</f>
        <v>374.01259415112554</v>
      </c>
      <c r="AO65" s="59">
        <f t="shared" si="36"/>
        <v>244.5696433180579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10.50408758738414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10.50408758738414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</v>
      </c>
      <c r="BD65" s="12">
        <f>IF('Données projet'!$A$88&gt;35,BD64+BC65-BL64,IF(A65&lt;'Données projet'!$A$88,$BA$205^A65,IF(A65='Données projet'!$A$88,'Données projet'!$B$88,BD64+BC65-BL64)))</f>
        <v>193.00000000000009</v>
      </c>
      <c r="BE65" s="13">
        <f>BD65*VLOOKUP('Données projet'!$B$11,Paramètres!$A$1:$I$89,3,0)*VLOOKUP('Données projet'!$B$11,Paramètres!$A$1:$I$89,5,0)</f>
        <v>156.56160000000008</v>
      </c>
      <c r="BF65" s="13">
        <f t="shared" si="37"/>
        <v>40.065996859746512</v>
      </c>
      <c r="BG65" s="20">
        <f t="shared" si="7"/>
        <v>342.45973119739205</v>
      </c>
      <c r="BH65" s="59">
        <f t="shared" si="8"/>
        <v>635.79306453072536</v>
      </c>
      <c r="BI65" s="59">
        <f ca="1">AVERAGE(OFFSET($BH$3,0,0,'Données projet'!$E$11+1,1))-AVERAGE(OFFSET($H$3,0,0,'Données projet'!$E$11+1,1))</f>
        <v>252.20412072815043</v>
      </c>
      <c r="BJ65" s="59">
        <f t="shared" si="38"/>
        <v>208.19930959443013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5.4001076260134786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5.4001076260134786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12.324312000000003</v>
      </c>
      <c r="D66" s="11">
        <f t="shared" si="32"/>
        <v>4.239844929203703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28.1300068552091</v>
      </c>
      <c r="H66" s="67">
        <f t="shared" si="1"/>
        <v>285.51590665169647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375.17692307692306</v>
      </c>
      <c r="L66" s="12">
        <f>VLOOKUP(A66,'Données projet'!$A$35:$I$55,9,0)</f>
        <v>14.551282051282044</v>
      </c>
      <c r="M66" s="12">
        <f t="array" ref="M66">INDEX(L:L,MIN(IF(ISNUMBER(L66:L262),ROW(L66:L262),"")))</f>
        <v>14.551282051282044</v>
      </c>
      <c r="N66" s="13">
        <f>IF('Données projet'!$A$36&gt;35,N65+M66-V65,IF(A66&lt;'Données projet'!$A$36,$K$205^A66,IF(A66='Données projet'!$A$36,'Données projet'!$B$36,N65+M66-V65)))</f>
        <v>375.17692307692323</v>
      </c>
      <c r="O66" s="13">
        <f>N66*VLOOKUP('Données projet'!$B$9,Paramètres!$A$1:$I$89,3,0)*VLOOKUP('Données projet'!$B$9,Paramètres!$A$1:$I$89,5,0)</f>
        <v>175.58280000000005</v>
      </c>
      <c r="P66" s="13">
        <f t="shared" si="33"/>
        <v>44.338023977070634</v>
      </c>
      <c r="Q66" s="20">
        <f t="shared" si="53"/>
        <v>383.0287684267314</v>
      </c>
      <c r="R66" s="59">
        <f t="shared" si="0"/>
        <v>676.36210176006466</v>
      </c>
      <c r="S66" s="59">
        <f ca="1">AVERAGE(OFFSET($R$3,0,0,'Données projet'!$E$9+1,1))-AVERAGE(OFFSET($H$3,0,0,'Données projet'!$E$9+1,1))</f>
        <v>270.18797004581819</v>
      </c>
      <c r="T66" s="59">
        <f t="shared" si="34"/>
        <v>246.88276293504617</v>
      </c>
      <c r="U66" s="15">
        <f>IF(ISNA(VLOOKUP(A66,'Données projet'!$A$35:$I$55,3,0)),0,VLOOKUP(A66,'Données projet'!$A$35:$I$55,3,0))</f>
        <v>9</v>
      </c>
      <c r="V66" s="15">
        <f>IF(ISNA(VLOOKUP(A66,'Données projet'!$A$35:$I$55,4,0)),0,VLOOKUP(A66,'Données projet'!$A$35:$I$55,4,0))</f>
        <v>71.123076923076923</v>
      </c>
      <c r="W66" s="16">
        <f>IF(ISNA(VLOOKUP(A66,'Données projet'!$A$35:$I$55,5,0)),0%,VLOOKUP(A66,'Données projet'!$A$35:$I$55,5,0)*VLOOKUP('Données projet'!$B$9,Paramètres!$A$1:$I$89,7,0))</f>
        <v>0.11000000000000001</v>
      </c>
      <c r="X66" s="16">
        <f>IF(ISNA(VLOOKUP(A66,'Données projet'!$A$35:$I$55,6,0)),0%,VLOOKUP(A66,'Données projet'!$A$35:$I$55,6,0)*VLOOKUP('Données projet'!$B$9,Paramètres!$A$1:$I$89,7,0))</f>
        <v>0.27500000000000002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15.679705530657182</v>
      </c>
      <c r="AA66" s="21">
        <f>EXP(-LN(2)/25)*AA65+(1-EXP(-LN(2)/25))/(LN(2)/25)*Calculateur!V66*Calculateur!X66*VLOOKUP('Données projet'!$B$9,Paramètres!$A$1:$I$89,3,0)*0.475*44/12</f>
        <v>44.673568310627118</v>
      </c>
      <c r="AB66" s="21">
        <f>EXP(-LN(2)/2)*AB65+(1-EXP(-LN(2)/2))/(LN(2)/2)*V66*Y66*VLOOKUP('Données projet'!$B$9,Paramètres!$A$1:$I$89,3,0)*0.475*44/12</f>
        <v>0</v>
      </c>
      <c r="AC66" s="22">
        <f t="shared" si="3"/>
        <v>60.353273841284299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197.99999999999994</v>
      </c>
      <c r="AJ66" s="13">
        <f>AI66*VLOOKUP('Données projet'!$B$10,Paramètres!$A$1:$I$89,3,0)*VLOOKUP('Données projet'!$B$10,Paramètres!$A$1:$I$89,5,0)</f>
        <v>200.77199999999993</v>
      </c>
      <c r="AK66" s="13">
        <f t="shared" si="35"/>
        <v>49.913791898945412</v>
      </c>
      <c r="AL66" s="20">
        <f t="shared" si="4"/>
        <v>436.61108755732977</v>
      </c>
      <c r="AM66" s="59">
        <f t="shared" si="5"/>
        <v>729.94442089066308</v>
      </c>
      <c r="AN66" s="59">
        <f ca="1">AVERAGE(OFFSET($AM$3,0,0,'Données projet'!$E$10+1,1))-AVERAGE(OFFSET($H$3,0,0,'Données projet'!$E$10+1,1))</f>
        <v>374.01259415112554</v>
      </c>
      <c r="AO66" s="59">
        <f t="shared" si="36"/>
        <v>244.5696433180579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10.29810883665634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10.29810883665634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</v>
      </c>
      <c r="BD66" s="12">
        <f>IF('Données projet'!$A$88&gt;35,BD65+BC66-BL65,IF(A66&lt;'Données projet'!$A$88,$BA$205^A66,IF(A66='Données projet'!$A$88,'Données projet'!$B$88,BD65+BC66-BL65)))</f>
        <v>198.00000000000009</v>
      </c>
      <c r="BE66" s="13">
        <f>BD66*VLOOKUP('Données projet'!$B$11,Paramètres!$A$1:$I$89,3,0)*VLOOKUP('Données projet'!$B$11,Paramètres!$A$1:$I$89,5,0)</f>
        <v>160.6176000000001</v>
      </c>
      <c r="BF66" s="13">
        <f t="shared" si="37"/>
        <v>40.981785561145109</v>
      </c>
      <c r="BG66" s="20">
        <f t="shared" si="7"/>
        <v>351.11892985232788</v>
      </c>
      <c r="BH66" s="59">
        <f t="shared" si="8"/>
        <v>644.4522631856612</v>
      </c>
      <c r="BI66" s="59">
        <f ca="1">AVERAGE(OFFSET($BH$3,0,0,'Données projet'!$E$11+1,1))-AVERAGE(OFFSET($H$3,0,0,'Données projet'!$E$11+1,1))</f>
        <v>252.20412072815043</v>
      </c>
      <c r="BJ66" s="59">
        <f t="shared" si="38"/>
        <v>208.19930959443013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5.2942148092077765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5.2942148092077765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12.519936000000003</v>
      </c>
      <c r="D67" s="11">
        <f t="shared" si="32"/>
        <v>4.2992558238062983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28.563118746393855</v>
      </c>
      <c r="H67" s="67">
        <f t="shared" si="1"/>
        <v>285.96009242646267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13.549999999999997</v>
      </c>
      <c r="N67" s="13">
        <f>IF('Données projet'!$A$36&gt;35,N66+M67-V66,IF(A67&lt;'Données projet'!$A$36,$K$205^A67,IF(A67='Données projet'!$A$36,'Données projet'!$B$36,N66+M67-V66)))</f>
        <v>317.60384615384635</v>
      </c>
      <c r="O67" s="13">
        <f>N67*VLOOKUP('Données projet'!$B$9,Paramètres!$A$1:$I$89,3,0)*VLOOKUP('Données projet'!$B$9,Paramètres!$A$1:$I$89,5,0)</f>
        <v>148.63860000000008</v>
      </c>
      <c r="P67" s="13">
        <f t="shared" si="33"/>
        <v>38.269038607733293</v>
      </c>
      <c r="Q67" s="20">
        <f t="shared" ref="Q67:Q98" si="54">(O67+P67)*0.475*44/12</f>
        <v>325.5308039084689</v>
      </c>
      <c r="R67" s="59">
        <f t="shared" ref="R67:R130" si="55">Q67+(I67+J67)*44/12</f>
        <v>618.86413724180215</v>
      </c>
      <c r="S67" s="59">
        <f ca="1">AVERAGE(OFFSET($R$3,0,0,'Données projet'!$E$9+1,1))-AVERAGE(OFFSET($H$3,0,0,'Données projet'!$E$9+1,1))</f>
        <v>270.18797004581819</v>
      </c>
      <c r="T67" s="59">
        <f t="shared" si="34"/>
        <v>246.88276293504617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15.372236068877035</v>
      </c>
      <c r="AA67" s="21">
        <f>EXP(-LN(2)/25)*AA66+(1-EXP(-LN(2)/25))/(LN(2)/25)*Calculateur!V67*Calculateur!X67*VLOOKUP('Données projet'!$B$9,Paramètres!$A$1:$I$89,3,0)*0.475*44/12</f>
        <v>43.451967235892162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58.824203304769199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204.99999999999994</v>
      </c>
      <c r="AJ67" s="13">
        <f>AI67*VLOOKUP('Données projet'!$B$10,Paramètres!$A$1:$I$89,3,0)*VLOOKUP('Données projet'!$B$10,Paramètres!$A$1:$I$89,5,0)</f>
        <v>207.86999999999998</v>
      </c>
      <c r="AK67" s="13">
        <f t="shared" si="35"/>
        <v>51.469851298719313</v>
      </c>
      <c r="AL67" s="20">
        <f t="shared" si="4"/>
        <v>451.68357434526939</v>
      </c>
      <c r="AM67" s="59">
        <f t="shared" si="5"/>
        <v>745.01690767860271</v>
      </c>
      <c r="AN67" s="59">
        <f ca="1">AVERAGE(OFFSET($AM$3,0,0,'Données projet'!$E$10+1,1))-AVERAGE(OFFSET($H$3,0,0,'Données projet'!$E$10+1,1))</f>
        <v>374.01259415112554</v>
      </c>
      <c r="AO67" s="59">
        <f t="shared" si="36"/>
        <v>244.5696433180579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10.09616920359568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10.09616920359568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</v>
      </c>
      <c r="BD67" s="12">
        <f>IF('Données projet'!$A$88&gt;35,BD66+BC67-BL66,IF(A67&lt;'Données projet'!$A$88,$BA$205^A67,IF(A67='Données projet'!$A$88,'Données projet'!$B$88,BD66+BC67-BL66)))</f>
        <v>203.00000000000009</v>
      </c>
      <c r="BE67" s="13">
        <f>BD67*VLOOKUP('Données projet'!$B$11,Paramètres!$A$1:$I$89,3,0)*VLOOKUP('Données projet'!$B$11,Paramètres!$A$1:$I$89,5,0)</f>
        <v>164.67360000000008</v>
      </c>
      <c r="BF67" s="13">
        <f t="shared" si="37"/>
        <v>41.894886049197019</v>
      </c>
      <c r="BG67" s="20">
        <f t="shared" si="7"/>
        <v>359.77344653568497</v>
      </c>
      <c r="BH67" s="59">
        <f t="shared" si="8"/>
        <v>653.10677986901828</v>
      </c>
      <c r="BI67" s="59">
        <f ca="1">AVERAGE(OFFSET($BH$3,0,0,'Données projet'!$E$11+1,1))-AVERAGE(OFFSET($H$3,0,0,'Données projet'!$E$11+1,1))</f>
        <v>252.20412072815043</v>
      </c>
      <c r="BJ67" s="59">
        <f t="shared" si="38"/>
        <v>208.19930959443013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5.190398485951393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5.190398485951393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12.715560000000004</v>
      </c>
      <c r="D68" s="11">
        <f t="shared" si="32"/>
        <v>4.3585587584013803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28.996047294969369</v>
      </c>
      <c r="H68" s="67">
        <f t="shared" ref="H68:H131" si="56">(B68+E68+F68)*44/12+(C68+D68)*0.475*44/12</f>
        <v>286.40409017088245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13.549999999999997</v>
      </c>
      <c r="N68" s="13">
        <f>IF('Données projet'!$A$36&gt;35,N67+M68-V67,IF(A68&lt;'Données projet'!$A$36,$K$205^A68,IF(A68='Données projet'!$A$36,'Données projet'!$B$36,N67+M68-V67)))</f>
        <v>331.15384615384636</v>
      </c>
      <c r="O68" s="13">
        <f>N68*VLOOKUP('Données projet'!$B$9,Paramètres!$A$1:$I$89,3,0)*VLOOKUP('Données projet'!$B$9,Paramètres!$A$1:$I$89,5,0)</f>
        <v>154.98000000000008</v>
      </c>
      <c r="P68" s="13">
        <f t="shared" si="33"/>
        <v>39.708148282768263</v>
      </c>
      <c r="Q68" s="20">
        <f t="shared" si="54"/>
        <v>339.08185825915484</v>
      </c>
      <c r="R68" s="59">
        <f t="shared" si="55"/>
        <v>632.4151915924881</v>
      </c>
      <c r="S68" s="59">
        <f ca="1">AVERAGE(OFFSET($R$3,0,0,'Données projet'!$E$9+1,1))-AVERAGE(OFFSET($H$3,0,0,'Données projet'!$E$9+1,1))</f>
        <v>270.18797004581819</v>
      </c>
      <c r="T68" s="59">
        <f t="shared" si="34"/>
        <v>246.88276293504617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15.070795895704542</v>
      </c>
      <c r="AA68" s="21">
        <f>EXP(-LN(2)/25)*AA67+(1-EXP(-LN(2)/25))/(LN(2)/25)*Calculateur!V68*Calculateur!X68*VLOOKUP('Données projet'!$B$9,Paramètres!$A$1:$I$89,3,0)*0.475*44/12</f>
        <v>42.263770906787045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57.334566802491587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212</v>
      </c>
      <c r="AG68" s="12">
        <f>VLOOKUP(A68,'Données projet'!$A$61:$I$81,9,0)</f>
        <v>7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211.99999999999994</v>
      </c>
      <c r="AJ68" s="13">
        <f>AI68*VLOOKUP('Données projet'!$B$10,Paramètres!$A$1:$I$89,3,0)*VLOOKUP('Données projet'!$B$10,Paramètres!$A$1:$I$89,5,0)</f>
        <v>214.96799999999993</v>
      </c>
      <c r="AK68" s="13">
        <f t="shared" si="35"/>
        <v>53.019736939092994</v>
      </c>
      <c r="AL68" s="20">
        <f t="shared" ref="AL68:AL131" si="58">(AJ68+AK68)*0.475*44/12</f>
        <v>466.74530850225352</v>
      </c>
      <c r="AM68" s="59">
        <f t="shared" ref="AM68:AM131" si="59">AL68+(AD68+AE68)*44/12</f>
        <v>760.07864183558684</v>
      </c>
      <c r="AN68" s="59">
        <f ca="1">AVERAGE(OFFSET($AM$3,0,0,'Données projet'!$E$10+1,1))-AVERAGE(OFFSET($H$3,0,0,'Données projet'!$E$10+1,1))</f>
        <v>374.01259415112554</v>
      </c>
      <c r="AO68" s="59">
        <f t="shared" si="36"/>
        <v>244.5696433180579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22</v>
      </c>
      <c r="AR68" s="16">
        <f>IF(ISNA(VLOOKUP(A68,'Données projet'!$A$61:$I$81,5,0)),0%,VLOOKUP(A68,'Données projet'!$A$61:$I$81,5,0)*VLOOKUP('Données projet'!$B$10,Paramètres!$A$1:$I$89,7,0))</f>
        <v>0.25800000000000001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16.260684456036557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16.260684456036557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208</v>
      </c>
      <c r="BB68" s="12">
        <f>VLOOKUP(A68,'Données projet'!$A$87:$I$107,9,0)</f>
        <v>5</v>
      </c>
      <c r="BC68" s="12">
        <f t="array" ref="BC68">INDEX(BB:BB,MIN(IF(ISNUMBER(BB68:BB264),ROW(BB68:BB264),"")))</f>
        <v>5</v>
      </c>
      <c r="BD68" s="12">
        <f>IF('Données projet'!$A$88&gt;35,BD67+BC68-BL67,IF(A68&lt;'Données projet'!$A$88,$BA$205^A68,IF(A68='Données projet'!$A$88,'Données projet'!$B$88,BD67+BC68-BL67)))</f>
        <v>208.00000000000009</v>
      </c>
      <c r="BE68" s="13">
        <f>BD68*VLOOKUP('Données projet'!$B$11,Paramètres!$A$1:$I$89,3,0)*VLOOKUP('Données projet'!$B$11,Paramètres!$A$1:$I$89,5,0)</f>
        <v>168.72960000000009</v>
      </c>
      <c r="BF68" s="13">
        <f t="shared" si="37"/>
        <v>42.805372152385111</v>
      </c>
      <c r="BG68" s="20">
        <f t="shared" ref="BG68:BG131" si="61">(BE68+BF68)*0.475*44/12</f>
        <v>368.42340983207083</v>
      </c>
      <c r="BH68" s="59">
        <f t="shared" ref="BH68:BH131" si="62">BG68+(AY68+AZ68)*44/12</f>
        <v>661.75674316540415</v>
      </c>
      <c r="BI68" s="59">
        <f ca="1">AVERAGE(OFFSET($BH$3,0,0,'Données projet'!$E$11+1,1))-AVERAGE(OFFSET($H$3,0,0,'Données projet'!$E$11+1,1))</f>
        <v>252.20412072815043</v>
      </c>
      <c r="BJ68" s="59">
        <f t="shared" si="38"/>
        <v>208.19930959443013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14</v>
      </c>
      <c r="BM68" s="16">
        <f>IF(ISNA(VLOOKUP(A68,'Données projet'!$A$87:$I$107,5,0)),0%,VLOOKUP(A68,'Données projet'!$A$87:$I$107,5,0)*VLOOKUP('Données projet'!$B$11,Paramètres!$A$1:$I$89,7,0))</f>
        <v>0.25800000000000001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8.3277062870925533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8.3277062870925533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12.911184000000004</v>
      </c>
      <c r="D69" s="11">
        <f t="shared" ref="D69:D132" si="86">IFERROR(EXP(-1.0587+0.8836*LN(C69)+0.284),0)</f>
        <v>4.4177555857315163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29.428795647347567</v>
      </c>
      <c r="H69" s="67">
        <f t="shared" si="56"/>
        <v>286.84790311181575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13.549999999999997</v>
      </c>
      <c r="N69" s="13">
        <f>IF('Données projet'!$A$36&gt;35,N68+M69-V68,IF(A69&lt;'Données projet'!$A$36,$K$205^A69,IF(A69='Données projet'!$A$36,'Données projet'!$B$36,N68+M69-V68)))</f>
        <v>344.70384615384637</v>
      </c>
      <c r="O69" s="13">
        <f>N69*VLOOKUP('Données projet'!$B$9,Paramètres!$A$1:$I$89,3,0)*VLOOKUP('Données projet'!$B$9,Paramètres!$A$1:$I$89,5,0)</f>
        <v>161.3214000000001</v>
      </c>
      <c r="P69" s="13">
        <f t="shared" ref="P69:P132" si="87">EXP(-1.0587+0.8836*LN(O69)+0.284)</f>
        <v>41.140418045227108</v>
      </c>
      <c r="Q69" s="20">
        <f t="shared" si="54"/>
        <v>352.62099976210402</v>
      </c>
      <c r="R69" s="59">
        <f t="shared" si="55"/>
        <v>645.95433309543728</v>
      </c>
      <c r="S69" s="59">
        <f ca="1">AVERAGE(OFFSET($R$3,0,0,'Données projet'!$E$9+1,1))-AVERAGE(OFFSET($H$3,0,0,'Données projet'!$E$9+1,1))</f>
        <v>270.18797004581819</v>
      </c>
      <c r="T69" s="59">
        <f t="shared" ref="T69:T132" si="88">$T$3</f>
        <v>246.88276293504617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14.775266780467611</v>
      </c>
      <c r="AA69" s="21">
        <f>EXP(-LN(2)/25)*AA68+(1-EXP(-LN(2)/25))/(LN(2)/25)*Calculateur!V69*Calculateur!X69*VLOOKUP('Données projet'!$B$9,Paramètres!$A$1:$I$89,3,0)*0.475*44/12</f>
        <v>41.108065868785836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55.883332649253447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6.6</v>
      </c>
      <c r="AI69" s="13">
        <f>IF('Données projet'!$A$62&gt;35,AI68+AH69-AQ68,IF(A69&lt;'Données projet'!$A$62,$AF$205^A69,IF(A69='Données projet'!$A$62,'Données projet'!$B$62,AI68+AH69-AQ68)))</f>
        <v>196.59999999999994</v>
      </c>
      <c r="AJ69" s="13">
        <f>AI69*VLOOKUP('Données projet'!$B$10,Paramètres!$A$1:$I$89,3,0)*VLOOKUP('Données projet'!$B$10,Paramètres!$A$1:$I$89,5,0)</f>
        <v>199.35239999999996</v>
      </c>
      <c r="AK69" s="13">
        <f t="shared" ref="AK69:AK132" si="89">EXP(-1.0587+0.8836*LN(AJ69)+0.284)</f>
        <v>49.601817992937235</v>
      </c>
      <c r="AL69" s="20">
        <f t="shared" si="58"/>
        <v>433.59526300436556</v>
      </c>
      <c r="AM69" s="59">
        <f t="shared" si="59"/>
        <v>726.92859633769888</v>
      </c>
      <c r="AN69" s="59">
        <f ca="1">AVERAGE(OFFSET($AM$3,0,0,'Données projet'!$E$10+1,1))-AVERAGE(OFFSET($H$3,0,0,'Données projet'!$E$10+1,1))</f>
        <v>374.01259415112554</v>
      </c>
      <c r="AO69" s="59">
        <f t="shared" ref="AO69:AO132" si="90">$AO$3</f>
        <v>244.5696433180579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15.941822351891874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15.941822351891874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4.8</v>
      </c>
      <c r="BD69" s="12">
        <f>IF('Données projet'!$A$88&gt;35,BD68+BC69-BL68,IF(A69&lt;'Données projet'!$A$88,$BA$205^A69,IF(A69='Données projet'!$A$88,'Données projet'!$B$88,BD68+BC69-BL68)))</f>
        <v>198.8000000000001</v>
      </c>
      <c r="BE69" s="13">
        <f>BD69*VLOOKUP('Données projet'!$B$11,Paramètres!$A$1:$I$89,3,0)*VLOOKUP('Données projet'!$B$11,Paramètres!$A$1:$I$89,5,0)</f>
        <v>161.26656000000008</v>
      </c>
      <c r="BF69" s="13">
        <f t="shared" ref="BF69:BF132" si="91">EXP(-1.0587+0.8836*LN(BE69)+0.284)</f>
        <v>41.128060321982552</v>
      </c>
      <c r="BG69" s="20">
        <f t="shared" si="61"/>
        <v>352.50396372745308</v>
      </c>
      <c r="BH69" s="59">
        <f t="shared" si="62"/>
        <v>645.83729706078634</v>
      </c>
      <c r="BI69" s="59">
        <f ca="1">AVERAGE(OFFSET($BH$3,0,0,'Données projet'!$E$11+1,1))-AVERAGE(OFFSET($H$3,0,0,'Données projet'!$E$11+1,1))</f>
        <v>252.20412072815043</v>
      </c>
      <c r="BJ69" s="59">
        <f t="shared" ref="BJ69:BJ132" si="92">$BJ$3</f>
        <v>208.19930959443013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8.1644050462019546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8.1644050462019546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13.106808000000004</v>
      </c>
      <c r="D70" s="11">
        <f t="shared" si="86"/>
        <v>4.4768480991735622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29.861366849122835</v>
      </c>
      <c r="H70" s="67">
        <f t="shared" si="56"/>
        <v>287.29153437272731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358.25384615384615</v>
      </c>
      <c r="L70" s="12">
        <f>VLOOKUP(A70,'Données projet'!$A$35:$I$55,9,0)</f>
        <v>13.549999999999997</v>
      </c>
      <c r="M70" s="12">
        <f t="array" ref="M70">INDEX(L:L,MIN(IF(ISNUMBER(L70:L266),ROW(L70:L266),"")))</f>
        <v>13.549999999999997</v>
      </c>
      <c r="N70" s="13">
        <f>IF('Données projet'!$A$36&gt;35,N69+M70-V69,IF(A70&lt;'Données projet'!$A$36,$K$205^A70,IF(A70='Données projet'!$A$36,'Données projet'!$B$36,N69+M70-V69)))</f>
        <v>358.25384615384638</v>
      </c>
      <c r="O70" s="13">
        <f>N70*VLOOKUP('Données projet'!$B$9,Paramètres!$A$1:$I$89,3,0)*VLOOKUP('Données projet'!$B$9,Paramètres!$A$1:$I$89,5,0)</f>
        <v>167.66280000000012</v>
      </c>
      <c r="P70" s="13">
        <f t="shared" si="87"/>
        <v>42.566147534051922</v>
      </c>
      <c r="Q70" s="20">
        <f t="shared" si="54"/>
        <v>366.14875028847399</v>
      </c>
      <c r="R70" s="59">
        <f t="shared" si="55"/>
        <v>659.48208362180731</v>
      </c>
      <c r="S70" s="59">
        <f ca="1">AVERAGE(OFFSET($R$3,0,0,'Données projet'!$E$9+1,1))-AVERAGE(OFFSET($H$3,0,0,'Données projet'!$E$9+1,1))</f>
        <v>270.18797004581819</v>
      </c>
      <c r="T70" s="59">
        <f t="shared" si="88"/>
        <v>246.88276293504617</v>
      </c>
      <c r="U70" s="15">
        <f>IF(ISNA(VLOOKUP(A70,'Données projet'!$A$35:$I$55,3,0)),0,VLOOKUP(A70,'Données projet'!$A$35:$I$55,3,0))</f>
        <v>10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0.11000000000000001</v>
      </c>
      <c r="X70" s="16">
        <f>IF(ISNA(VLOOKUP(A70,'Données projet'!$A$35:$I$55,6,0)),0%,VLOOKUP(A70,'Données projet'!$A$35:$I$55,6,0)*VLOOKUP('Données projet'!$B$9,Paramètres!$A$1:$I$89,7,0))</f>
        <v>0.27500000000000002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14.485532810925514</v>
      </c>
      <c r="AA70" s="21">
        <f>EXP(-LN(2)/25)*AA69+(1-EXP(-LN(2)/25))/(LN(2)/25)*Calculateur!V70*Calculateur!X70*VLOOKUP('Données projet'!$B$9,Paramètres!$A$1:$I$89,3,0)*0.475*44/12</f>
        <v>39.983963645824659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54.469496456750171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6.6</v>
      </c>
      <c r="AI70" s="13">
        <f>IF('Données projet'!$A$62&gt;35,AI69+AH70-AQ69,IF(A70&lt;'Données projet'!$A$62,$AF$205^A70,IF(A70='Données projet'!$A$62,'Données projet'!$B$62,AI69+AH70-AQ69)))</f>
        <v>203.19999999999993</v>
      </c>
      <c r="AJ70" s="13">
        <f>AI70*VLOOKUP('Données projet'!$B$10,Paramètres!$A$1:$I$89,3,0)*VLOOKUP('Données projet'!$B$10,Paramètres!$A$1:$I$89,5,0)</f>
        <v>206.04479999999992</v>
      </c>
      <c r="AK70" s="13">
        <f t="shared" si="89"/>
        <v>51.070320860749725</v>
      </c>
      <c r="AL70" s="20">
        <f t="shared" si="58"/>
        <v>447.80883549913892</v>
      </c>
      <c r="AM70" s="59">
        <f t="shared" si="59"/>
        <v>741.14216883247218</v>
      </c>
      <c r="AN70" s="59">
        <f ca="1">AVERAGE(OFFSET($AM$3,0,0,'Données projet'!$E$10+1,1))-AVERAGE(OFFSET($H$3,0,0,'Données projet'!$E$10+1,1))</f>
        <v>374.01259415112554</v>
      </c>
      <c r="AO70" s="59">
        <f t="shared" si="90"/>
        <v>244.5696433180579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15.629212939122787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15.629212939122787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4.8</v>
      </c>
      <c r="BD70" s="12">
        <f>IF('Données projet'!$A$88&gt;35,BD69+BC70-BL69,IF(A70&lt;'Données projet'!$A$88,$BA$205^A70,IF(A70='Données projet'!$A$88,'Données projet'!$B$88,BD69+BC70-BL69)))</f>
        <v>203.60000000000011</v>
      </c>
      <c r="BE70" s="13">
        <f>BD70*VLOOKUP('Données projet'!$B$11,Paramètres!$A$1:$I$89,3,0)*VLOOKUP('Données projet'!$B$11,Paramètres!$A$1:$I$89,5,0)</f>
        <v>165.1603200000001</v>
      </c>
      <c r="BF70" s="13">
        <f t="shared" si="91"/>
        <v>42.004281006119641</v>
      </c>
      <c r="BG70" s="20">
        <f t="shared" si="61"/>
        <v>360.81168008565851</v>
      </c>
      <c r="BH70" s="59">
        <f t="shared" si="62"/>
        <v>654.14501341899177</v>
      </c>
      <c r="BI70" s="59">
        <f ca="1">AVERAGE(OFFSET($BH$3,0,0,'Données projet'!$E$11+1,1))-AVERAGE(OFFSET($H$3,0,0,'Données projet'!$E$11+1,1))</f>
        <v>252.20412072815043</v>
      </c>
      <c r="BJ70" s="59">
        <f t="shared" si="92"/>
        <v>208.19930959443013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8.0043060430412982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8.0043060430412982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13.302432000000005</v>
      </c>
      <c r="D71" s="11">
        <f t="shared" si="86"/>
        <v>4.5358380354979975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30.293763849758012</v>
      </c>
      <c r="H71" s="67">
        <f t="shared" si="56"/>
        <v>287.73498697849237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13.924999999999997</v>
      </c>
      <c r="N71" s="13">
        <f>IF('Données projet'!$A$36&gt;35,N70+M71-V70,IF(A71&lt;'Données projet'!$A$36,$K$205^A71,IF(A71='Données projet'!$A$36,'Données projet'!$B$36,N70+M71-V70)))</f>
        <v>372.17884615384639</v>
      </c>
      <c r="O71" s="13">
        <f>N71*VLOOKUP('Données projet'!$B$9,Paramètres!$A$1:$I$89,3,0)*VLOOKUP('Données projet'!$B$9,Paramètres!$A$1:$I$89,5,0)</f>
        <v>174.17970000000011</v>
      </c>
      <c r="P71" s="13">
        <f t="shared" si="87"/>
        <v>44.02480992799758</v>
      </c>
      <c r="Q71" s="20">
        <f t="shared" si="54"/>
        <v>380.03952145792931</v>
      </c>
      <c r="R71" s="59">
        <f t="shared" si="55"/>
        <v>673.37285479126263</v>
      </c>
      <c r="S71" s="59">
        <f ca="1">AVERAGE(OFFSET($R$3,0,0,'Données projet'!$E$9+1,1))-AVERAGE(OFFSET($H$3,0,0,'Données projet'!$E$9+1,1))</f>
        <v>270.18797004581819</v>
      </c>
      <c r="T71" s="59">
        <f t="shared" si="88"/>
        <v>246.88276293504617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14.201480347805866</v>
      </c>
      <c r="AA71" s="21">
        <f>EXP(-LN(2)/25)*AA70+(1-EXP(-LN(2)/25))/(LN(2)/25)*Calculateur!V71*Calculateur!X71*VLOOKUP('Données projet'!$B$9,Paramètres!$A$1:$I$89,3,0)*0.475*44/12</f>
        <v>38.890600057264322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53.092080405070192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6.6</v>
      </c>
      <c r="AI71" s="13">
        <f>IF('Données projet'!$A$62&gt;35,AI70+AH71-AQ70,IF(A71&lt;'Données projet'!$A$62,$AF$205^A71,IF(A71='Données projet'!$A$62,'Données projet'!$B$62,AI70+AH71-AQ70)))</f>
        <v>209.79999999999993</v>
      </c>
      <c r="AJ71" s="13">
        <f>AI71*VLOOKUP('Données projet'!$B$10,Paramètres!$A$1:$I$89,3,0)*VLOOKUP('Données projet'!$B$10,Paramètres!$A$1:$I$89,5,0)</f>
        <v>212.73719999999992</v>
      </c>
      <c r="AK71" s="13">
        <f t="shared" si="89"/>
        <v>52.533281199481387</v>
      </c>
      <c r="AL71" s="20">
        <f t="shared" si="58"/>
        <v>462.0127547557633</v>
      </c>
      <c r="AM71" s="59">
        <f t="shared" si="59"/>
        <v>755.34608808909661</v>
      </c>
      <c r="AN71" s="59">
        <f ca="1">AVERAGE(OFFSET($AM$3,0,0,'Données projet'!$E$10+1,1))-AVERAGE(OFFSET($H$3,0,0,'Données projet'!$E$10+1,1))</f>
        <v>374.01259415112554</v>
      </c>
      <c r="AO71" s="59">
        <f t="shared" si="90"/>
        <v>244.5696433180579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15.322733606265189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15.322733606265189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4.8</v>
      </c>
      <c r="BD71" s="12">
        <f>IF('Données projet'!$A$88&gt;35,BD70+BC71-BL70,IF(A71&lt;'Données projet'!$A$88,$BA$205^A71,IF(A71='Données projet'!$A$88,'Données projet'!$B$88,BD70+BC71-BL70)))</f>
        <v>208.40000000000012</v>
      </c>
      <c r="BE71" s="13">
        <f>BD71*VLOOKUP('Données projet'!$B$11,Paramètres!$A$1:$I$89,3,0)*VLOOKUP('Données projet'!$B$11,Paramètres!$A$1:$I$89,5,0)</f>
        <v>169.05408000000011</v>
      </c>
      <c r="BF71" s="13">
        <f t="shared" si="91"/>
        <v>42.878100222794899</v>
      </c>
      <c r="BG71" s="20">
        <f t="shared" si="61"/>
        <v>369.1152138880347</v>
      </c>
      <c r="BH71" s="59">
        <f t="shared" si="62"/>
        <v>662.44854722136802</v>
      </c>
      <c r="BI71" s="59">
        <f ca="1">AVERAGE(OFFSET($BH$3,0,0,'Données projet'!$E$11+1,1))-AVERAGE(OFFSET($H$3,0,0,'Données projet'!$E$11+1,1))</f>
        <v>252.20412072815043</v>
      </c>
      <c r="BJ71" s="59">
        <f t="shared" si="92"/>
        <v>208.19930959443013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7.8473464836818732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7.8473464836818732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13.498056000000005</v>
      </c>
      <c r="D72" s="11">
        <f t="shared" si="86"/>
        <v>4.5947270774612985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30.72598950698692</v>
      </c>
      <c r="H72" s="67">
        <f t="shared" si="56"/>
        <v>288.17826385991179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13.924999999999997</v>
      </c>
      <c r="N72" s="13">
        <f>IF('Données projet'!$A$36&gt;35,N71+M72-V71,IF(A72&lt;'Données projet'!$A$36,$K$205^A72,IF(A72='Données projet'!$A$36,'Données projet'!$B$36,N71+M72-V71)))</f>
        <v>386.1038461538464</v>
      </c>
      <c r="O72" s="13">
        <f>N72*VLOOKUP('Données projet'!$B$9,Paramètres!$A$1:$I$89,3,0)*VLOOKUP('Données projet'!$B$9,Paramètres!$A$1:$I$89,5,0)</f>
        <v>180.69660000000013</v>
      </c>
      <c r="P72" s="13">
        <f t="shared" si="87"/>
        <v>45.477131975723992</v>
      </c>
      <c r="Q72" s="20">
        <f t="shared" si="54"/>
        <v>393.91924985771954</v>
      </c>
      <c r="R72" s="59">
        <f t="shared" si="55"/>
        <v>687.25258319105285</v>
      </c>
      <c r="S72" s="59">
        <f ca="1">AVERAGE(OFFSET($R$3,0,0,'Données projet'!$E$9+1,1))-AVERAGE(OFFSET($H$3,0,0,'Données projet'!$E$9+1,1))</f>
        <v>270.18797004581819</v>
      </c>
      <c r="T72" s="59">
        <f t="shared" si="88"/>
        <v>246.88276293504617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13.922997980233099</v>
      </c>
      <c r="AA72" s="21">
        <f>EXP(-LN(2)/25)*AA71+(1-EXP(-LN(2)/25))/(LN(2)/25)*Calculateur!V72*Calculateur!X72*VLOOKUP('Données projet'!$B$9,Paramètres!$A$1:$I$89,3,0)*0.475*44/12</f>
        <v>37.827134553530655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51.750132533763754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6.6</v>
      </c>
      <c r="AI72" s="13">
        <f>IF('Données projet'!$A$62&gt;35,AI71+AH72-AQ71,IF(A72&lt;'Données projet'!$A$62,$AF$205^A72,IF(A72='Données projet'!$A$62,'Données projet'!$B$62,AI71+AH72-AQ71)))</f>
        <v>216.39999999999992</v>
      </c>
      <c r="AJ72" s="13">
        <f>AI72*VLOOKUP('Données projet'!$B$10,Paramètres!$A$1:$I$89,3,0)*VLOOKUP('Données projet'!$B$10,Paramètres!$A$1:$I$89,5,0)</f>
        <v>219.42959999999991</v>
      </c>
      <c r="AK72" s="13">
        <f t="shared" si="89"/>
        <v>53.990893373543535</v>
      </c>
      <c r="AL72" s="20">
        <f t="shared" si="58"/>
        <v>476.20735929225475</v>
      </c>
      <c r="AM72" s="59">
        <f t="shared" si="59"/>
        <v>769.54069262558801</v>
      </c>
      <c r="AN72" s="59">
        <f ca="1">AVERAGE(OFFSET($AM$3,0,0,'Données projet'!$E$10+1,1))-AVERAGE(OFFSET($H$3,0,0,'Données projet'!$E$10+1,1))</f>
        <v>374.01259415112554</v>
      </c>
      <c r="AO72" s="59">
        <f t="shared" si="90"/>
        <v>244.5696433180579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15.022264146190993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15.022264146190993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4.8</v>
      </c>
      <c r="BD72" s="12">
        <f>IF('Données projet'!$A$88&gt;35,BD71+BC72-BL71,IF(A72&lt;'Données projet'!$A$88,$BA$205^A72,IF(A72='Données projet'!$A$88,'Données projet'!$B$88,BD71+BC72-BL71)))</f>
        <v>213.20000000000013</v>
      </c>
      <c r="BE72" s="13">
        <f>BD72*VLOOKUP('Données projet'!$B$11,Paramètres!$A$1:$I$89,3,0)*VLOOKUP('Données projet'!$B$11,Paramètres!$A$1:$I$89,5,0)</f>
        <v>172.94784000000013</v>
      </c>
      <c r="BF72" s="13">
        <f t="shared" si="91"/>
        <v>43.749579650768077</v>
      </c>
      <c r="BG72" s="20">
        <f t="shared" si="61"/>
        <v>377.41467255842127</v>
      </c>
      <c r="BH72" s="59">
        <f t="shared" si="62"/>
        <v>670.74800589175459</v>
      </c>
      <c r="BI72" s="59">
        <f ca="1">AVERAGE(OFFSET($BH$3,0,0,'Données projet'!$E$11+1,1))-AVERAGE(OFFSET($H$3,0,0,'Données projet'!$E$11+1,1))</f>
        <v>252.20412072815043</v>
      </c>
      <c r="BJ72" s="59">
        <f t="shared" si="92"/>
        <v>208.19930959443013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7.6934648055456076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7.6934648055456076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13.693680000000006</v>
      </c>
      <c r="D73" s="11">
        <f t="shared" si="86"/>
        <v>4.6535168562437805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31.15804659095436</v>
      </c>
      <c r="H73" s="67">
        <f t="shared" si="56"/>
        <v>288.62136785795792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13.924999999999997</v>
      </c>
      <c r="N73" s="13">
        <f>IF('Données projet'!$A$36&gt;35,N72+M73-V72,IF(A73&lt;'Données projet'!$A$36,$K$205^A73,IF(A73='Données projet'!$A$36,'Données projet'!$B$36,N72+M73-V72)))</f>
        <v>400.02884615384642</v>
      </c>
      <c r="O73" s="13">
        <f>N73*VLOOKUP('Données projet'!$B$9,Paramètres!$A$1:$I$89,3,0)*VLOOKUP('Données projet'!$B$9,Paramètres!$A$1:$I$89,5,0)</f>
        <v>187.21350000000012</v>
      </c>
      <c r="P73" s="13">
        <f t="shared" si="87"/>
        <v>46.923368538674644</v>
      </c>
      <c r="Q73" s="20">
        <f t="shared" si="54"/>
        <v>407.78837937152525</v>
      </c>
      <c r="R73" s="59">
        <f t="shared" si="55"/>
        <v>701.12171270485851</v>
      </c>
      <c r="S73" s="59">
        <f ca="1">AVERAGE(OFFSET($R$3,0,0,'Données projet'!$E$9+1,1))-AVERAGE(OFFSET($H$3,0,0,'Données projet'!$E$9+1,1))</f>
        <v>270.18797004581819</v>
      </c>
      <c r="T73" s="59">
        <f t="shared" si="88"/>
        <v>246.88276293504617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13.649976482030961</v>
      </c>
      <c r="AA73" s="21">
        <f>EXP(-LN(2)/25)*AA72+(1-EXP(-LN(2)/25))/(LN(2)/25)*Calculateur!V73*Calculateur!X73*VLOOKUP('Données projet'!$B$9,Paramètres!$A$1:$I$89,3,0)*0.475*44/12</f>
        <v>36.79274956992181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50.442726051952775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223</v>
      </c>
      <c r="AG73" s="12">
        <f>VLOOKUP(A73,'Données projet'!$A$61:$I$81,9,0)</f>
        <v>6.6</v>
      </c>
      <c r="AH73" s="12">
        <f t="array" ref="AH73">INDEX(AG:AG,MIN(IF(ISNUMBER(AG73:AG269),ROW(AG73:AG269),"")))</f>
        <v>6.6</v>
      </c>
      <c r="AI73" s="13">
        <f>IF('Données projet'!$A$62&gt;35,AI72+AH73-AQ72,IF(A73&lt;'Données projet'!$A$62,$AF$205^A73,IF(A73='Données projet'!$A$62,'Données projet'!$B$62,AI72+AH73-AQ72)))</f>
        <v>222.99999999999991</v>
      </c>
      <c r="AJ73" s="13">
        <f>AI73*VLOOKUP('Données projet'!$B$10,Paramètres!$A$1:$I$89,3,0)*VLOOKUP('Données projet'!$B$10,Paramètres!$A$1:$I$89,5,0)</f>
        <v>226.12199999999996</v>
      </c>
      <c r="AK73" s="13">
        <f t="shared" si="89"/>
        <v>55.443339217820046</v>
      </c>
      <c r="AL73" s="20">
        <f t="shared" si="58"/>
        <v>490.39296580436979</v>
      </c>
      <c r="AM73" s="59">
        <f t="shared" si="59"/>
        <v>783.72629913770311</v>
      </c>
      <c r="AN73" s="59">
        <f ca="1">AVERAGE(OFFSET($AM$3,0,0,'Données projet'!$E$10+1,1))-AVERAGE(OFFSET($H$3,0,0,'Données projet'!$E$10+1,1))</f>
        <v>374.01259415112554</v>
      </c>
      <c r="AO73" s="59">
        <f t="shared" si="90"/>
        <v>244.5696433180579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22</v>
      </c>
      <c r="AR73" s="16">
        <f>IF(ISNA(VLOOKUP(A73,'Données projet'!$A$61:$I$81,5,0)),0%,VLOOKUP(A73,'Données projet'!$A$61:$I$81,5,0)*VLOOKUP('Données projet'!$B$10,Paramètres!$A$1:$I$89,7,0))</f>
        <v>0.25800000000000001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21.09018168142881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21.09018168142881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218</v>
      </c>
      <c r="BB73" s="12">
        <f>VLOOKUP(A73,'Données projet'!$A$87:$I$107,9,0)</f>
        <v>4.8</v>
      </c>
      <c r="BC73" s="12">
        <f t="array" ref="BC73">INDEX(BB:BB,MIN(IF(ISNUMBER(BB73:BB269),ROW(BB73:BB269),"")))</f>
        <v>4.8</v>
      </c>
      <c r="BD73" s="12">
        <f>IF('Données projet'!$A$88&gt;35,BD72+BC73-BL72,IF(A73&lt;'Données projet'!$A$88,$BA$205^A73,IF(A73='Données projet'!$A$88,'Données projet'!$B$88,BD72+BC73-BL72)))</f>
        <v>218.00000000000014</v>
      </c>
      <c r="BE73" s="13">
        <f>BD73*VLOOKUP('Données projet'!$B$11,Paramètres!$A$1:$I$89,3,0)*VLOOKUP('Données projet'!$B$11,Paramètres!$A$1:$I$89,5,0)</f>
        <v>176.84160000000014</v>
      </c>
      <c r="BF73" s="13">
        <f t="shared" si="91"/>
        <v>44.618778032982952</v>
      </c>
      <c r="BG73" s="20">
        <f t="shared" si="61"/>
        <v>385.71015840744553</v>
      </c>
      <c r="BH73" s="59">
        <f t="shared" si="62"/>
        <v>679.04349174077879</v>
      </c>
      <c r="BI73" s="59">
        <f ca="1">AVERAGE(OFFSET($BH$3,0,0,'Données projet'!$E$11+1,1))-AVERAGE(OFFSET($H$3,0,0,'Données projet'!$E$11+1,1))</f>
        <v>252.20412072815043</v>
      </c>
      <c r="BJ73" s="59">
        <f t="shared" si="92"/>
        <v>208.19930959443013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0.25800000000000001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10.781689002879229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10.781689002879229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13.889304000000006</v>
      </c>
      <c r="D74" s="11">
        <f t="shared" si="86"/>
        <v>4.7122089537441703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31.589937788112916</v>
      </c>
      <c r="H74" s="67">
        <f t="shared" si="56"/>
        <v>289.06430172777112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413.95384615384614</v>
      </c>
      <c r="L74" s="12">
        <f>VLOOKUP(A74,'Données projet'!$A$35:$I$55,9,0)</f>
        <v>13.924999999999997</v>
      </c>
      <c r="M74" s="12">
        <f t="array" ref="M74">INDEX(L:L,MIN(IF(ISNUMBER(L74:L270),ROW(L74:L270),"")))</f>
        <v>13.924999999999997</v>
      </c>
      <c r="N74" s="13">
        <f>IF('Données projet'!$A$36&gt;35,N73+M74-V73,IF(A74&lt;'Données projet'!$A$36,$K$205^A74,IF(A74='Données projet'!$A$36,'Données projet'!$B$36,N73+M74-V73)))</f>
        <v>413.95384615384643</v>
      </c>
      <c r="O74" s="13">
        <f>N74*VLOOKUP('Données projet'!$B$9,Paramètres!$A$1:$I$89,3,0)*VLOOKUP('Données projet'!$B$9,Paramètres!$A$1:$I$89,5,0)</f>
        <v>193.73040000000015</v>
      </c>
      <c r="P74" s="13">
        <f t="shared" si="87"/>
        <v>48.363755728631737</v>
      </c>
      <c r="Q74" s="20">
        <f t="shared" si="54"/>
        <v>421.64732122736717</v>
      </c>
      <c r="R74" s="59">
        <f t="shared" si="55"/>
        <v>714.98065456070049</v>
      </c>
      <c r="S74" s="59">
        <f ca="1">AVERAGE(OFFSET($R$3,0,0,'Données projet'!$E$9+1,1))-AVERAGE(OFFSET($H$3,0,0,'Données projet'!$E$9+1,1))</f>
        <v>270.18797004581819</v>
      </c>
      <c r="T74" s="59">
        <f t="shared" si="88"/>
        <v>246.88276293504617</v>
      </c>
      <c r="U74" s="15">
        <f>IF(ISNA(VLOOKUP(A74,'Données projet'!$A$35:$I$55,3,0)),0,VLOOKUP(A74,'Données projet'!$A$35:$I$55,3,0))</f>
        <v>11</v>
      </c>
      <c r="V74" s="15">
        <f>IF(ISNA(VLOOKUP(A74,'Données projet'!$A$35:$I$55,4,0)),0,VLOOKUP(A74,'Données projet'!$A$35:$I$55,4,0))</f>
        <v>80.399999999999977</v>
      </c>
      <c r="W74" s="16">
        <f>IF(ISNA(VLOOKUP(A74,'Données projet'!$A$35:$I$55,5,0)),0%,VLOOKUP(A74,'Données projet'!$A$35:$I$55,5,0)*VLOOKUP('Données projet'!$B$9,Paramètres!$A$1:$I$89,7,0))</f>
        <v>0.11000000000000001</v>
      </c>
      <c r="X74" s="16">
        <f>IF(ISNA(VLOOKUP(A74,'Données projet'!$A$35:$I$55,6,0)),0%,VLOOKUP(A74,'Données projet'!$A$35:$I$55,6,0)*VLOOKUP('Données projet'!$B$9,Paramètres!$A$1:$I$89,7,0))</f>
        <v>0.27500000000000002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18.872948437430509</v>
      </c>
      <c r="AA74" s="21">
        <f>EXP(-LN(2)/25)*AA73+(1-EXP(-LN(2)/25))/(LN(2)/25)*Calculateur!V74*Calculateur!X74*VLOOKUP('Données projet'!$B$9,Paramètres!$A$1:$I$89,3,0)*0.475*44/12</f>
        <v>49.459202218275202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68.332150655705703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6.6</v>
      </c>
      <c r="AI74" s="13">
        <f>IF('Données projet'!$A$62&gt;35,AI73+AH74-AQ73,IF(A74&lt;'Données projet'!$A$62,$AF$205^A74,IF(A74='Données projet'!$A$62,'Données projet'!$B$62,AI73+AH74-AQ73)))</f>
        <v>207.59999999999991</v>
      </c>
      <c r="AJ74" s="13">
        <f>AI74*VLOOKUP('Données projet'!$B$10,Paramètres!$A$1:$I$89,3,0)*VLOOKUP('Données projet'!$B$10,Paramètres!$A$1:$I$89,5,0)</f>
        <v>210.50639999999993</v>
      </c>
      <c r="AK74" s="13">
        <f t="shared" si="89"/>
        <v>52.046231322304777</v>
      </c>
      <c r="AL74" s="20">
        <f t="shared" si="58"/>
        <v>457.27916621968069</v>
      </c>
      <c r="AM74" s="59">
        <f t="shared" si="59"/>
        <v>750.612499553014</v>
      </c>
      <c r="AN74" s="59">
        <f ca="1">AVERAGE(OFFSET($AM$3,0,0,'Données projet'!$E$10+1,1))-AVERAGE(OFFSET($H$3,0,0,'Données projet'!$E$10+1,1))</f>
        <v>374.01259415112554</v>
      </c>
      <c r="AO74" s="59">
        <f t="shared" si="90"/>
        <v>244.5696433180579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20.676616082396627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20.676616082396627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4.5999999999999996</v>
      </c>
      <c r="BD74" s="12">
        <f>IF('Données projet'!$A$88&gt;35,BD73+BC74-BL73,IF(A74&lt;'Données projet'!$A$88,$BA$205^A74,IF(A74='Données projet'!$A$88,'Données projet'!$B$88,BD73+BC74-BL73)))</f>
        <v>208.60000000000014</v>
      </c>
      <c r="BE74" s="13">
        <f>BD74*VLOOKUP('Données projet'!$B$11,Paramètres!$A$1:$I$89,3,0)*VLOOKUP('Données projet'!$B$11,Paramètres!$A$1:$I$89,5,0)</f>
        <v>169.21632000000014</v>
      </c>
      <c r="BF74" s="13">
        <f t="shared" si="91"/>
        <v>42.91445816325745</v>
      </c>
      <c r="BG74" s="20">
        <f t="shared" si="61"/>
        <v>369.46110530100697</v>
      </c>
      <c r="BH74" s="59">
        <f t="shared" si="62"/>
        <v>662.79443863434028</v>
      </c>
      <c r="BI74" s="59">
        <f ca="1">AVERAGE(OFFSET($BH$3,0,0,'Données projet'!$E$11+1,1))-AVERAGE(OFFSET($H$3,0,0,'Données projet'!$E$11+1,1))</f>
        <v>252.20412072815043</v>
      </c>
      <c r="BJ74" s="59">
        <f t="shared" si="92"/>
        <v>208.19930959443013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10.570266657713715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10.570266657713715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14.084928000000007</v>
      </c>
      <c r="D75" s="11">
        <f t="shared" si="86"/>
        <v>4.7708049047412278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32.021665704893884</v>
      </c>
      <c r="H75" s="67">
        <f t="shared" si="56"/>
        <v>289.50706814242432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12.782692307692301</v>
      </c>
      <c r="N75" s="13">
        <f>IF('Données projet'!$A$36&gt;35,N74+M75-V74,IF(A75&lt;'Données projet'!$A$36,$K$205^A75,IF(A75='Données projet'!$A$36,'Données projet'!$B$36,N74+M75-V74)))</f>
        <v>346.33653846153874</v>
      </c>
      <c r="O75" s="13">
        <f>N75*VLOOKUP('Données projet'!$B$9,Paramètres!$A$1:$I$89,3,0)*VLOOKUP('Données projet'!$B$9,Paramètres!$A$1:$I$89,5,0)</f>
        <v>162.08550000000014</v>
      </c>
      <c r="P75" s="13">
        <f t="shared" si="87"/>
        <v>41.312550633624205</v>
      </c>
      <c r="Q75" s="20">
        <f t="shared" si="54"/>
        <v>354.25160485356236</v>
      </c>
      <c r="R75" s="59">
        <f t="shared" si="55"/>
        <v>647.58493818689567</v>
      </c>
      <c r="S75" s="59">
        <f ca="1">AVERAGE(OFFSET($R$3,0,0,'Données projet'!$E$9+1,1))-AVERAGE(OFFSET($H$3,0,0,'Données projet'!$E$9+1,1))</f>
        <v>270.18797004581819</v>
      </c>
      <c r="T75" s="59">
        <f t="shared" si="88"/>
        <v>246.88276293504617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18.502861429934391</v>
      </c>
      <c r="AA75" s="21">
        <f>EXP(-LN(2)/25)*AA74+(1-EXP(-LN(2)/25))/(LN(2)/25)*Calculateur!V75*Calculateur!X75*VLOOKUP('Données projet'!$B$9,Paramètres!$A$1:$I$89,3,0)*0.475*44/12</f>
        <v>48.106737732670062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66.609599162604454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6.6</v>
      </c>
      <c r="AI75" s="13">
        <f>IF('Données projet'!$A$62&gt;35,AI74+AH75-AQ74,IF(A75&lt;'Données projet'!$A$62,$AF$205^A75,IF(A75='Données projet'!$A$62,'Données projet'!$B$62,AI74+AH75-AQ74)))</f>
        <v>214.1999999999999</v>
      </c>
      <c r="AJ75" s="13">
        <f>AI75*VLOOKUP('Données projet'!$B$10,Paramètres!$A$1:$I$89,3,0)*VLOOKUP('Données projet'!$B$10,Paramètres!$A$1:$I$89,5,0)</f>
        <v>217.19879999999989</v>
      </c>
      <c r="AK75" s="13">
        <f t="shared" si="89"/>
        <v>53.505605420483995</v>
      </c>
      <c r="AL75" s="20">
        <f t="shared" si="58"/>
        <v>471.47683944067609</v>
      </c>
      <c r="AM75" s="59">
        <f t="shared" si="59"/>
        <v>764.8101727740094</v>
      </c>
      <c r="AN75" s="59">
        <f ca="1">AVERAGE(OFFSET($AM$3,0,0,'Données projet'!$E$10+1,1))-AVERAGE(OFFSET($H$3,0,0,'Données projet'!$E$10+1,1))</f>
        <v>374.01259415112554</v>
      </c>
      <c r="AO75" s="59">
        <f t="shared" si="90"/>
        <v>244.5696433180579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20.271160252511358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20.271160252511358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4.5999999999999996</v>
      </c>
      <c r="BD75" s="12">
        <f>IF('Données projet'!$A$88&gt;35,BD74+BC75-BL74,IF(A75&lt;'Données projet'!$A$88,$BA$205^A75,IF(A75='Données projet'!$A$88,'Données projet'!$B$88,BD74+BC75-BL74)))</f>
        <v>213.20000000000013</v>
      </c>
      <c r="BE75" s="13">
        <f>BD75*VLOOKUP('Données projet'!$B$11,Paramètres!$A$1:$I$89,3,0)*VLOOKUP('Données projet'!$B$11,Paramètres!$A$1:$I$89,5,0)</f>
        <v>172.94784000000013</v>
      </c>
      <c r="BF75" s="13">
        <f t="shared" si="91"/>
        <v>43.749579650768077</v>
      </c>
      <c r="BG75" s="20">
        <f t="shared" si="61"/>
        <v>377.41467255842127</v>
      </c>
      <c r="BH75" s="59">
        <f t="shared" si="62"/>
        <v>670.74800589175459</v>
      </c>
      <c r="BI75" s="59">
        <f ca="1">AVERAGE(OFFSET($BH$3,0,0,'Données projet'!$E$11+1,1))-AVERAGE(OFFSET($H$3,0,0,'Données projet'!$E$11+1,1))</f>
        <v>252.20412072815043</v>
      </c>
      <c r="BJ75" s="59">
        <f t="shared" si="92"/>
        <v>208.19930959443013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10.362990175781999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10.362990175781999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14.280552000000007</v>
      </c>
      <c r="D76" s="11">
        <f t="shared" si="86"/>
        <v>4.8293061989318726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32.453232871168531</v>
      </c>
      <c r="H76" s="67">
        <f t="shared" si="56"/>
        <v>289.94966969647305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12.782692307692301</v>
      </c>
      <c r="N76" s="13">
        <f>IF('Données projet'!$A$36&gt;35,N75+M76-V75,IF(A76&lt;'Données projet'!$A$36,$K$205^A76,IF(A76='Données projet'!$A$36,'Données projet'!$B$36,N75+M76-V75)))</f>
        <v>359.11923076923102</v>
      </c>
      <c r="O76" s="13">
        <f>N76*VLOOKUP('Données projet'!$B$9,Paramètres!$A$1:$I$89,3,0)*VLOOKUP('Données projet'!$B$9,Paramètres!$A$1:$I$89,5,0)</f>
        <v>168.06780000000012</v>
      </c>
      <c r="P76" s="13">
        <f t="shared" si="87"/>
        <v>42.656987582382385</v>
      </c>
      <c r="Q76" s="20">
        <f t="shared" si="54"/>
        <v>367.01233837264954</v>
      </c>
      <c r="R76" s="59">
        <f t="shared" si="55"/>
        <v>660.3456717059828</v>
      </c>
      <c r="S76" s="59">
        <f ca="1">AVERAGE(OFFSET($R$3,0,0,'Données projet'!$E$9+1,1))-AVERAGE(OFFSET($H$3,0,0,'Données projet'!$E$9+1,1))</f>
        <v>270.18797004581819</v>
      </c>
      <c r="T76" s="59">
        <f t="shared" si="88"/>
        <v>246.88276293504617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18.140031602924488</v>
      </c>
      <c r="AA76" s="21">
        <f>EXP(-LN(2)/25)*AA75+(1-EXP(-LN(2)/25))/(LN(2)/25)*Calculateur!V76*Calculateur!X76*VLOOKUP('Données projet'!$B$9,Paramètres!$A$1:$I$89,3,0)*0.475*44/12</f>
        <v>46.791256459546808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64.931288062471296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6.6</v>
      </c>
      <c r="AI76" s="13">
        <f>IF('Données projet'!$A$62&gt;35,AI75+AH76-AQ75,IF(A76&lt;'Données projet'!$A$62,$AF$205^A76,IF(A76='Données projet'!$A$62,'Données projet'!$B$62,AI75+AH76-AQ75)))</f>
        <v>220.7999999999999</v>
      </c>
      <c r="AJ76" s="13">
        <f>AI76*VLOOKUP('Données projet'!$B$10,Paramètres!$A$1:$I$89,3,0)*VLOOKUP('Données projet'!$B$10,Paramètres!$A$1:$I$89,5,0)</f>
        <v>223.89119999999988</v>
      </c>
      <c r="AK76" s="13">
        <f t="shared" si="89"/>
        <v>54.95975389514858</v>
      </c>
      <c r="AL76" s="20">
        <f t="shared" si="58"/>
        <v>485.66541136738351</v>
      </c>
      <c r="AM76" s="59">
        <f t="shared" si="59"/>
        <v>778.99874470071677</v>
      </c>
      <c r="AN76" s="59">
        <f ca="1">AVERAGE(OFFSET($AM$3,0,0,'Données projet'!$E$10+1,1))-AVERAGE(OFFSET($H$3,0,0,'Données projet'!$E$10+1,1))</f>
        <v>374.01259415112554</v>
      </c>
      <c r="AO76" s="59">
        <f t="shared" si="90"/>
        <v>244.5696433180579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19.873655164146502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19.873655164146502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4.5999999999999996</v>
      </c>
      <c r="BD76" s="12">
        <f>IF('Données projet'!$A$88&gt;35,BD75+BC76-BL75,IF(A76&lt;'Données projet'!$A$88,$BA$205^A76,IF(A76='Données projet'!$A$88,'Données projet'!$B$88,BD75+BC76-BL75)))</f>
        <v>217.80000000000013</v>
      </c>
      <c r="BE76" s="13">
        <f>BD76*VLOOKUP('Données projet'!$B$11,Paramètres!$A$1:$I$89,3,0)*VLOOKUP('Données projet'!$B$11,Paramètres!$A$1:$I$89,5,0)</f>
        <v>176.67936000000012</v>
      </c>
      <c r="BF76" s="13">
        <f t="shared" si="91"/>
        <v>44.5826062365838</v>
      </c>
      <c r="BG76" s="20">
        <f t="shared" si="61"/>
        <v>385.36459119538364</v>
      </c>
      <c r="BH76" s="59">
        <f t="shared" si="62"/>
        <v>678.69792452871695</v>
      </c>
      <c r="BI76" s="59">
        <f ca="1">AVERAGE(OFFSET($BH$3,0,0,'Données projet'!$E$11+1,1))-AVERAGE(OFFSET($H$3,0,0,'Données projet'!$E$11+1,1))</f>
        <v>252.20412072815043</v>
      </c>
      <c r="BJ76" s="59">
        <f t="shared" si="92"/>
        <v>208.19930959443013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10.159778259234793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10.159778259234793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14.476176000000008</v>
      </c>
      <c r="D77" s="11">
        <f t="shared" si="86"/>
        <v>4.88771428285445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32.884641743514237</v>
      </c>
      <c r="H77" s="67">
        <f t="shared" si="56"/>
        <v>290.39210890930485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12.782692307692301</v>
      </c>
      <c r="N77" s="13">
        <f>IF('Données projet'!$A$36&gt;35,N76+M77-V76,IF(A77&lt;'Données projet'!$A$36,$K$205^A77,IF(A77='Données projet'!$A$36,'Données projet'!$B$36,N76+M77-V76)))</f>
        <v>371.90192307692331</v>
      </c>
      <c r="O77" s="13">
        <f>N77*VLOOKUP('Données projet'!$B$9,Paramètres!$A$1:$I$89,3,0)*VLOOKUP('Données projet'!$B$9,Paramètres!$A$1:$I$89,5,0)</f>
        <v>174.0501000000001</v>
      </c>
      <c r="P77" s="13">
        <f t="shared" si="87"/>
        <v>43.995864533580161</v>
      </c>
      <c r="Q77" s="20">
        <f t="shared" si="54"/>
        <v>379.76338822931893</v>
      </c>
      <c r="R77" s="59">
        <f t="shared" si="55"/>
        <v>673.09672156265219</v>
      </c>
      <c r="S77" s="59">
        <f ca="1">AVERAGE(OFFSET($R$3,0,0,'Données projet'!$E$9+1,1))-AVERAGE(OFFSET($H$3,0,0,'Données projet'!$E$9+1,1))</f>
        <v>270.18797004581819</v>
      </c>
      <c r="T77" s="59">
        <f t="shared" si="88"/>
        <v>246.88276293504617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17.784316647517905</v>
      </c>
      <c r="AA77" s="21">
        <f>EXP(-LN(2)/25)*AA76+(1-EXP(-LN(2)/25))/(LN(2)/25)*Calculateur!V77*Calculateur!X77*VLOOKUP('Données projet'!$B$9,Paramètres!$A$1:$I$89,3,0)*0.475*44/12</f>
        <v>45.511747091015266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63.296063738533171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6.6</v>
      </c>
      <c r="AI77" s="13">
        <f>IF('Données projet'!$A$62&gt;35,AI76+AH77-AQ76,IF(A77&lt;'Données projet'!$A$62,$AF$205^A77,IF(A77='Données projet'!$A$62,'Données projet'!$B$62,AI76+AH77-AQ76)))</f>
        <v>227.39999999999989</v>
      </c>
      <c r="AJ77" s="13">
        <f>AI77*VLOOKUP('Données projet'!$B$10,Paramètres!$A$1:$I$89,3,0)*VLOOKUP('Données projet'!$B$10,Paramètres!$A$1:$I$89,5,0)</f>
        <v>230.58359999999993</v>
      </c>
      <c r="AK77" s="13">
        <f t="shared" si="89"/>
        <v>56.408850878327968</v>
      </c>
      <c r="AL77" s="20">
        <f t="shared" si="58"/>
        <v>499.84518527975439</v>
      </c>
      <c r="AM77" s="59">
        <f t="shared" si="59"/>
        <v>793.1785186130877</v>
      </c>
      <c r="AN77" s="59">
        <f ca="1">AVERAGE(OFFSET($AM$3,0,0,'Données projet'!$E$10+1,1))-AVERAGE(OFFSET($H$3,0,0,'Données projet'!$E$10+1,1))</f>
        <v>374.01259415112554</v>
      </c>
      <c r="AO77" s="59">
        <f t="shared" si="90"/>
        <v>244.5696433180579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19.483944908110317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19.483944908110317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4.5999999999999996</v>
      </c>
      <c r="BD77" s="12">
        <f>IF('Données projet'!$A$88&gt;35,BD76+BC77-BL76,IF(A77&lt;'Données projet'!$A$88,$BA$205^A77,IF(A77='Données projet'!$A$88,'Données projet'!$B$88,BD76+BC77-BL76)))</f>
        <v>222.40000000000012</v>
      </c>
      <c r="BE77" s="13">
        <f>BD77*VLOOKUP('Données projet'!$B$11,Paramètres!$A$1:$I$89,3,0)*VLOOKUP('Données projet'!$B$11,Paramètres!$A$1:$I$89,5,0)</f>
        <v>180.41088000000011</v>
      </c>
      <c r="BF77" s="13">
        <f t="shared" si="91"/>
        <v>45.413587262495575</v>
      </c>
      <c r="BG77" s="20">
        <f t="shared" si="61"/>
        <v>393.31094714884665</v>
      </c>
      <c r="BH77" s="59">
        <f t="shared" si="62"/>
        <v>686.64428048217997</v>
      </c>
      <c r="BI77" s="59">
        <f ca="1">AVERAGE(OFFSET($BH$3,0,0,'Données projet'!$E$11+1,1))-AVERAGE(OFFSET($H$3,0,0,'Données projet'!$E$11+1,1))</f>
        <v>252.20412072815043</v>
      </c>
      <c r="BJ77" s="59">
        <f t="shared" si="92"/>
        <v>208.19930959443013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9.9605512044240481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9.9605512044240481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14.671800000000008</v>
      </c>
      <c r="D78" s="11">
        <f t="shared" si="86"/>
        <v>4.9460305617050757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33.315894708299162</v>
      </c>
      <c r="H78" s="67">
        <f t="shared" si="56"/>
        <v>290.83438822830306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384.68461538461537</v>
      </c>
      <c r="L78" s="12">
        <f>VLOOKUP(A78,'Données projet'!$A$35:$I$55,9,0)</f>
        <v>12.782692307692301</v>
      </c>
      <c r="M78" s="12">
        <f t="array" ref="M78">INDEX(L:L,MIN(IF(ISNUMBER(L78:L274),ROW(L78:L274),"")))</f>
        <v>12.782692307692301</v>
      </c>
      <c r="N78" s="13">
        <f>IF('Données projet'!$A$36&gt;35,N77+M78-V77,IF(A78&lt;'Données projet'!$A$36,$K$205^A78,IF(A78='Données projet'!$A$36,'Données projet'!$B$36,N77+M78-V77)))</f>
        <v>384.6846153846156</v>
      </c>
      <c r="O78" s="13">
        <f>N78*VLOOKUP('Données projet'!$B$9,Paramètres!$A$1:$I$89,3,0)*VLOOKUP('Données projet'!$B$9,Paramètres!$A$1:$I$89,5,0)</f>
        <v>180.03240000000011</v>
      </c>
      <c r="P78" s="13">
        <f t="shared" si="87"/>
        <v>45.329394494119278</v>
      </c>
      <c r="Q78" s="20">
        <f t="shared" si="54"/>
        <v>392.50512541059123</v>
      </c>
      <c r="R78" s="59">
        <f t="shared" si="55"/>
        <v>685.83845874392455</v>
      </c>
      <c r="S78" s="59">
        <f ca="1">AVERAGE(OFFSET($R$3,0,0,'Données projet'!$E$9+1,1))-AVERAGE(OFFSET($H$3,0,0,'Données projet'!$E$9+1,1))</f>
        <v>270.18797004581819</v>
      </c>
      <c r="T78" s="59">
        <f t="shared" si="88"/>
        <v>246.88276293504617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0.11000000000000001</v>
      </c>
      <c r="X78" s="16">
        <f>IF(ISNA(VLOOKUP(A78,'Données projet'!$A$35:$I$55,6,0)),0%,VLOOKUP(A78,'Données projet'!$A$35:$I$55,6,0)*VLOOKUP('Données projet'!$B$9,Paramètres!$A$1:$I$89,7,0))</f>
        <v>0.27500000000000002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17.435577045422146</v>
      </c>
      <c r="AA78" s="21">
        <f>EXP(-LN(2)/25)*AA77+(1-EXP(-LN(2)/25))/(LN(2)/25)*Calculateur!V78*Calculateur!X78*VLOOKUP('Données projet'!$B$9,Paramètres!$A$1:$I$89,3,0)*0.475*44/12</f>
        <v>44.267225973452696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61.702803018874846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234</v>
      </c>
      <c r="AG78" s="12">
        <f>VLOOKUP(A78,'Données projet'!$A$61:$I$81,9,0)</f>
        <v>6.6</v>
      </c>
      <c r="AH78" s="12">
        <f t="array" ref="AH78">INDEX(AG:AG,MIN(IF(ISNUMBER(AG78:AG274),ROW(AG78:AG274),"")))</f>
        <v>6.6</v>
      </c>
      <c r="AI78" s="13">
        <f>IF('Données projet'!$A$62&gt;35,AI77+AH78-AQ77,IF(A78&lt;'Données projet'!$A$62,$AF$205^A78,IF(A78='Données projet'!$A$62,'Données projet'!$B$62,AI77+AH78-AQ77)))</f>
        <v>233.99999999999989</v>
      </c>
      <c r="AJ78" s="13">
        <f>AI78*VLOOKUP('Données projet'!$B$10,Paramètres!$A$1:$I$89,3,0)*VLOOKUP('Données projet'!$B$10,Paramètres!$A$1:$I$89,5,0)</f>
        <v>237.2759999999999</v>
      </c>
      <c r="AK78" s="13">
        <f t="shared" si="89"/>
        <v>57.853059819349511</v>
      </c>
      <c r="AL78" s="20">
        <f t="shared" si="58"/>
        <v>514.0164458520336</v>
      </c>
      <c r="AM78" s="59">
        <f t="shared" si="59"/>
        <v>807.34977918536697</v>
      </c>
      <c r="AN78" s="59">
        <f ca="1">AVERAGE(OFFSET($AM$3,0,0,'Données projet'!$E$10+1,1))-AVERAGE(OFFSET($H$3,0,0,'Données projet'!$E$10+1,1))</f>
        <v>374.01259415112554</v>
      </c>
      <c r="AO78" s="59">
        <f t="shared" si="90"/>
        <v>244.5696433180579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22</v>
      </c>
      <c r="AR78" s="16">
        <f>IF(ISNA(VLOOKUP(A78,'Données projet'!$A$61:$I$81,5,0)),0%,VLOOKUP(A78,'Données projet'!$A$61:$I$81,5,0)*VLOOKUP('Données projet'!$B$10,Paramètres!$A$1:$I$89,7,0))</f>
        <v>0.25800000000000001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25.464371604963446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25.464371604963446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227</v>
      </c>
      <c r="BB78" s="12">
        <f>VLOOKUP(A78,'Données projet'!$A$87:$I$107,9,0)</f>
        <v>4.5999999999999996</v>
      </c>
      <c r="BC78" s="12">
        <f t="array" ref="BC78">INDEX(BB:BB,MIN(IF(ISNUMBER(BB78:BB274),ROW(BB78:BB274),"")))</f>
        <v>4.5999999999999996</v>
      </c>
      <c r="BD78" s="12">
        <f>IF('Données projet'!$A$88&gt;35,BD77+BC78-BL77,IF(A78&lt;'Données projet'!$A$88,$BA$205^A78,IF(A78='Données projet'!$A$88,'Données projet'!$B$88,BD77+BC78-BL77)))</f>
        <v>227.00000000000011</v>
      </c>
      <c r="BE78" s="13">
        <f>BD78*VLOOKUP('Données projet'!$B$11,Paramètres!$A$1:$I$89,3,0)*VLOOKUP('Données projet'!$B$11,Paramètres!$A$1:$I$89,5,0)</f>
        <v>184.14240000000009</v>
      </c>
      <c r="BF78" s="13">
        <f t="shared" si="91"/>
        <v>46.242569912520345</v>
      </c>
      <c r="BG78" s="20">
        <f t="shared" si="61"/>
        <v>401.25382259763973</v>
      </c>
      <c r="BH78" s="59">
        <f t="shared" si="62"/>
        <v>694.58715593097304</v>
      </c>
      <c r="BI78" s="59">
        <f ca="1">AVERAGE(OFFSET($BH$3,0,0,'Données projet'!$E$11+1,1))-AVERAGE(OFFSET($H$3,0,0,'Données projet'!$E$11+1,1))</f>
        <v>252.20412072815043</v>
      </c>
      <c r="BJ78" s="59">
        <f t="shared" si="92"/>
        <v>208.19930959443013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0.25800000000000001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13.004319220261829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13.004319220261829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14.867424000000009</v>
      </c>
      <c r="D79" s="11">
        <f t="shared" si="86"/>
        <v>5.0042564010543611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33.746994084597603</v>
      </c>
      <c r="H79" s="67">
        <f t="shared" si="56"/>
        <v>291.27651003183638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13.044230769230751</v>
      </c>
      <c r="N79" s="13">
        <f>IF('Données projet'!$A$36&gt;35,N78+M79-V78,IF(A79&lt;'Données projet'!$A$36,$K$205^A79,IF(A79='Données projet'!$A$36,'Données projet'!$B$36,N78+M79-V78)))</f>
        <v>397.72884615384635</v>
      </c>
      <c r="O79" s="13">
        <f>N79*VLOOKUP('Données projet'!$B$9,Paramètres!$A$1:$I$89,3,0)*VLOOKUP('Données projet'!$B$9,Paramètres!$A$1:$I$89,5,0)</f>
        <v>186.13710000000009</v>
      </c>
      <c r="P79" s="13">
        <f t="shared" si="87"/>
        <v>46.684902230021173</v>
      </c>
      <c r="Q79" s="20">
        <f t="shared" si="54"/>
        <v>405.49832055062035</v>
      </c>
      <c r="R79" s="59">
        <f t="shared" si="55"/>
        <v>698.83165388395366</v>
      </c>
      <c r="S79" s="59">
        <f ca="1">AVERAGE(OFFSET($R$3,0,0,'Données projet'!$E$9+1,1))-AVERAGE(OFFSET($H$3,0,0,'Données projet'!$E$9+1,1))</f>
        <v>270.18797004581819</v>
      </c>
      <c r="T79" s="59">
        <f t="shared" si="88"/>
        <v>246.88276293504617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17.093676014213329</v>
      </c>
      <c r="AA79" s="21">
        <f>EXP(-LN(2)/25)*AA78+(1-EXP(-LN(2)/25))/(LN(2)/25)*Calculateur!V79*Calculateur!X79*VLOOKUP('Données projet'!$B$9,Paramètres!$A$1:$I$89,3,0)*0.475*44/12</f>
        <v>43.056736351296394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60.150412365509723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6.2</v>
      </c>
      <c r="AI79" s="13">
        <f>IF('Données projet'!$A$62&gt;35,AI78+AH79-AQ78,IF(A79&lt;'Données projet'!$A$62,$AF$205^A79,IF(A79='Données projet'!$A$62,'Données projet'!$B$62,AI78+AH79-AQ78)))</f>
        <v>218.19999999999987</v>
      </c>
      <c r="AJ79" s="13">
        <f>AI79*VLOOKUP('Données projet'!$B$10,Paramètres!$A$1:$I$89,3,0)*VLOOKUP('Données projet'!$B$10,Paramètres!$A$1:$I$89,5,0)</f>
        <v>221.2547999999999</v>
      </c>
      <c r="AK79" s="13">
        <f t="shared" si="89"/>
        <v>54.387519961078311</v>
      </c>
      <c r="AL79" s="20">
        <f t="shared" si="58"/>
        <v>480.07704059887783</v>
      </c>
      <c r="AM79" s="59">
        <f t="shared" si="59"/>
        <v>773.41037393221109</v>
      </c>
      <c r="AN79" s="59">
        <f ca="1">AVERAGE(OFFSET($AM$3,0,0,'Données projet'!$E$10+1,1))-AVERAGE(OFFSET($H$3,0,0,'Données projet'!$E$10+1,1))</f>
        <v>374.01259415112554</v>
      </c>
      <c r="AO79" s="59">
        <f t="shared" si="90"/>
        <v>244.5696433180579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24.96503080952316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24.96503080952316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4.2</v>
      </c>
      <c r="BD79" s="12">
        <f>IF('Données projet'!$A$88&gt;35,BD78+BC79-BL78,IF(A79&lt;'Données projet'!$A$88,$BA$205^A79,IF(A79='Données projet'!$A$88,'Données projet'!$B$88,BD78+BC79-BL78)))</f>
        <v>217.2000000000001</v>
      </c>
      <c r="BE79" s="13">
        <f>BD79*VLOOKUP('Données projet'!$B$11,Paramètres!$A$1:$I$89,3,0)*VLOOKUP('Données projet'!$B$11,Paramètres!$A$1:$I$89,5,0)</f>
        <v>176.1926400000001</v>
      </c>
      <c r="BF79" s="13">
        <f t="shared" si="91"/>
        <v>44.474067632484541</v>
      </c>
      <c r="BG79" s="20">
        <f t="shared" si="61"/>
        <v>384.32784912657735</v>
      </c>
      <c r="BH79" s="59">
        <f t="shared" si="62"/>
        <v>677.66118245991061</v>
      </c>
      <c r="BI79" s="59">
        <f ca="1">AVERAGE(OFFSET($BH$3,0,0,'Données projet'!$E$11+1,1))-AVERAGE(OFFSET($H$3,0,0,'Données projet'!$E$11+1,1))</f>
        <v>252.20412072815043</v>
      </c>
      <c r="BJ79" s="59">
        <f t="shared" si="92"/>
        <v>208.19930959443013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12.749312452204014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12.749312452204014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15.063048000000009</v>
      </c>
      <c r="D80" s="11">
        <f t="shared" si="86"/>
        <v>5.062393128471216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34.17794212694762</v>
      </c>
      <c r="H80" s="67">
        <f t="shared" si="56"/>
        <v>291.7184766320874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13.044230769230751</v>
      </c>
      <c r="N80" s="13">
        <f>IF('Données projet'!$A$36&gt;35,N79+M80-V79,IF(A80&lt;'Données projet'!$A$36,$K$205^A80,IF(A80='Données projet'!$A$36,'Données projet'!$B$36,N79+M80-V79)))</f>
        <v>410.7730769230771</v>
      </c>
      <c r="O80" s="13">
        <f>N80*VLOOKUP('Données projet'!$B$9,Paramètres!$A$1:$I$89,3,0)*VLOOKUP('Données projet'!$B$9,Paramètres!$A$1:$I$89,5,0)</f>
        <v>192.24180000000007</v>
      </c>
      <c r="P80" s="13">
        <f t="shared" si="87"/>
        <v>48.035244138208888</v>
      </c>
      <c r="Q80" s="20">
        <f t="shared" si="54"/>
        <v>418.48251854071395</v>
      </c>
      <c r="R80" s="59">
        <f t="shared" si="55"/>
        <v>711.81585187404721</v>
      </c>
      <c r="S80" s="59">
        <f ca="1">AVERAGE(OFFSET($R$3,0,0,'Données projet'!$E$9+1,1))-AVERAGE(OFFSET($H$3,0,0,'Données projet'!$E$9+1,1))</f>
        <v>270.18797004581819</v>
      </c>
      <c r="T80" s="59">
        <f t="shared" si="88"/>
        <v>246.88276293504617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16.758479453687482</v>
      </c>
      <c r="AA80" s="21">
        <f>EXP(-LN(2)/25)*AA79+(1-EXP(-LN(2)/25))/(LN(2)/25)*Calculateur!V80*Calculateur!X80*VLOOKUP('Données projet'!$B$9,Paramètres!$A$1:$I$89,3,0)*0.475*44/12</f>
        <v>41.87934763151484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58.637827085202318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6.2</v>
      </c>
      <c r="AI80" s="13">
        <f>IF('Données projet'!$A$62&gt;35,AI79+AH80-AQ79,IF(A80&lt;'Données projet'!$A$62,$AF$205^A80,IF(A80='Données projet'!$A$62,'Données projet'!$B$62,AI79+AH80-AQ79)))</f>
        <v>224.39999999999986</v>
      </c>
      <c r="AJ80" s="13">
        <f>AI80*VLOOKUP('Données projet'!$B$10,Paramètres!$A$1:$I$89,3,0)*VLOOKUP('Données projet'!$B$10,Paramètres!$A$1:$I$89,5,0)</f>
        <v>227.5415999999999</v>
      </c>
      <c r="AK80" s="13">
        <f t="shared" si="89"/>
        <v>55.750785974779468</v>
      </c>
      <c r="AL80" s="20">
        <f t="shared" si="58"/>
        <v>493.40090557274078</v>
      </c>
      <c r="AM80" s="59">
        <f t="shared" si="59"/>
        <v>786.7342389060741</v>
      </c>
      <c r="AN80" s="59">
        <f ca="1">AVERAGE(OFFSET($AM$3,0,0,'Données projet'!$E$10+1,1))-AVERAGE(OFFSET($H$3,0,0,'Données projet'!$E$10+1,1))</f>
        <v>374.01259415112554</v>
      </c>
      <c r="AO80" s="59">
        <f t="shared" si="90"/>
        <v>244.5696433180579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24.475481782513647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24.475481782513647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4.2</v>
      </c>
      <c r="BD80" s="12">
        <f>IF('Données projet'!$A$88&gt;35,BD79+BC80-BL79,IF(A80&lt;'Données projet'!$A$88,$BA$205^A80,IF(A80='Données projet'!$A$88,'Données projet'!$B$88,BD79+BC80-BL79)))</f>
        <v>221.40000000000009</v>
      </c>
      <c r="BE80" s="13">
        <f>BD80*VLOOKUP('Données projet'!$B$11,Paramètres!$A$1:$I$89,3,0)*VLOOKUP('Données projet'!$B$11,Paramètres!$A$1:$I$89,5,0)</f>
        <v>179.59968000000009</v>
      </c>
      <c r="BF80" s="13">
        <f t="shared" si="91"/>
        <v>45.233110804333748</v>
      </c>
      <c r="BG80" s="20">
        <f t="shared" si="61"/>
        <v>391.58377731754808</v>
      </c>
      <c r="BH80" s="59">
        <f t="shared" si="62"/>
        <v>684.91711065088134</v>
      </c>
      <c r="BI80" s="59">
        <f ca="1">AVERAGE(OFFSET($BH$3,0,0,'Données projet'!$E$11+1,1))-AVERAGE(OFFSET($H$3,0,0,'Données projet'!$E$11+1,1))</f>
        <v>252.20412072815043</v>
      </c>
      <c r="BJ80" s="59">
        <f t="shared" si="92"/>
        <v>208.19930959443013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12.499306211329042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12.499306211329042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15.25867200000001</v>
      </c>
      <c r="D81" s="11">
        <f t="shared" si="86"/>
        <v>5.1204420350598738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34.608741027961351</v>
      </c>
      <c r="H81" s="67">
        <f t="shared" si="56"/>
        <v>292.1602902777293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13.044230769230751</v>
      </c>
      <c r="N81" s="13">
        <f>IF('Données projet'!$A$36&gt;35,N80+M81-V80,IF(A81&lt;'Données projet'!$A$36,$K$205^A81,IF(A81='Données projet'!$A$36,'Données projet'!$B$36,N80+M81-V80)))</f>
        <v>423.81730769230785</v>
      </c>
      <c r="O81" s="13">
        <f>N81*VLOOKUP('Données projet'!$B$9,Paramètres!$A$1:$I$89,3,0)*VLOOKUP('Données projet'!$B$9,Paramètres!$A$1:$I$89,5,0)</f>
        <v>198.34650000000005</v>
      </c>
      <c r="P81" s="13">
        <f t="shared" si="87"/>
        <v>49.380603080072376</v>
      </c>
      <c r="Q81" s="20">
        <f t="shared" si="54"/>
        <v>431.45803786445941</v>
      </c>
      <c r="R81" s="59">
        <f t="shared" si="55"/>
        <v>724.79137119779273</v>
      </c>
      <c r="S81" s="59">
        <f ca="1">AVERAGE(OFFSET($R$3,0,0,'Données projet'!$E$9+1,1))-AVERAGE(OFFSET($H$3,0,0,'Données projet'!$E$9+1,1))</f>
        <v>270.18797004581819</v>
      </c>
      <c r="T81" s="59">
        <f t="shared" si="88"/>
        <v>246.88276293504617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16.429855893263831</v>
      </c>
      <c r="AA81" s="21">
        <f>EXP(-LN(2)/25)*AA80+(1-EXP(-LN(2)/25))/(LN(2)/25)*Calculateur!V81*Calculateur!X81*VLOOKUP('Données projet'!$B$9,Paramètres!$A$1:$I$89,3,0)*0.475*44/12</f>
        <v>40.734154668191891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57.164010561455726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6.2</v>
      </c>
      <c r="AI81" s="13">
        <f>IF('Données projet'!$A$62&gt;35,AI80+AH81-AQ80,IF(A81&lt;'Données projet'!$A$62,$AF$205^A81,IF(A81='Données projet'!$A$62,'Données projet'!$B$62,AI80+AH81-AQ80)))</f>
        <v>230.59999999999985</v>
      </c>
      <c r="AJ81" s="13">
        <f>AI81*VLOOKUP('Données projet'!$B$10,Paramètres!$A$1:$I$89,3,0)*VLOOKUP('Données projet'!$B$10,Paramètres!$A$1:$I$89,5,0)</f>
        <v>233.82839999999985</v>
      </c>
      <c r="AK81" s="13">
        <f t="shared" si="89"/>
        <v>57.109674120619815</v>
      </c>
      <c r="AL81" s="20">
        <f t="shared" si="58"/>
        <v>506.71714576007918</v>
      </c>
      <c r="AM81" s="59">
        <f t="shared" si="59"/>
        <v>800.05047909341249</v>
      </c>
      <c r="AN81" s="59">
        <f ca="1">AVERAGE(OFFSET($AM$3,0,0,'Données projet'!$E$10+1,1))-AVERAGE(OFFSET($H$3,0,0,'Données projet'!$E$10+1,1))</f>
        <v>374.01259415112554</v>
      </c>
      <c r="AO81" s="59">
        <f t="shared" si="90"/>
        <v>244.5696433180579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23.995532513328367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23.995532513328367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4.2</v>
      </c>
      <c r="BD81" s="12">
        <f>IF('Données projet'!$A$88&gt;35,BD80+BC81-BL80,IF(A81&lt;'Données projet'!$A$88,$BA$205^A81,IF(A81='Données projet'!$A$88,'Données projet'!$B$88,BD80+BC81-BL80)))</f>
        <v>225.60000000000008</v>
      </c>
      <c r="BE81" s="13">
        <f>BD81*VLOOKUP('Données projet'!$B$11,Paramètres!$A$1:$I$89,3,0)*VLOOKUP('Données projet'!$B$11,Paramètres!$A$1:$I$89,5,0)</f>
        <v>183.00672000000006</v>
      </c>
      <c r="BF81" s="13">
        <f t="shared" si="91"/>
        <v>45.990479653087696</v>
      </c>
      <c r="BG81" s="20">
        <f t="shared" si="61"/>
        <v>398.83678939579448</v>
      </c>
      <c r="BH81" s="59">
        <f t="shared" si="62"/>
        <v>692.1701227291278</v>
      </c>
      <c r="BI81" s="59">
        <f ca="1">AVERAGE(OFFSET($BH$3,0,0,'Données projet'!$E$11+1,1))-AVERAGE(OFFSET($H$3,0,0,'Données projet'!$E$11+1,1))</f>
        <v>252.20412072815043</v>
      </c>
      <c r="BJ81" s="59">
        <f t="shared" si="92"/>
        <v>208.19930959443013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12.254202440348879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12.254202440348879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15.45429600000001</v>
      </c>
      <c r="D82" s="11">
        <f t="shared" si="86"/>
        <v>5.1784043769158821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35.039392920797518</v>
      </c>
      <c r="H82" s="67">
        <f t="shared" si="56"/>
        <v>292.60195315646189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>
        <f>VLOOKUP(A82,'Données projet'!$A$35:$I$55,2,0)</f>
        <v>436.86153846153837</v>
      </c>
      <c r="L82" s="12">
        <f>VLOOKUP(A82,'Données projet'!$A$35:$I$55,9,0)</f>
        <v>13.044230769230751</v>
      </c>
      <c r="M82" s="12">
        <f t="array" ref="M82">INDEX(L:L,MIN(IF(ISNUMBER(L82:L278),ROW(L82:L278),"")))</f>
        <v>13.044230769230751</v>
      </c>
      <c r="N82" s="13">
        <f>IF('Données projet'!$A$36&gt;35,N81+M82-V81,IF(A82&lt;'Données projet'!$A$36,$K$205^A82,IF(A82='Données projet'!$A$36,'Données projet'!$B$36,N81+M82-V81)))</f>
        <v>436.8615384615386</v>
      </c>
      <c r="O82" s="13">
        <f>N82*VLOOKUP('Données projet'!$B$9,Paramètres!$A$1:$I$89,3,0)*VLOOKUP('Données projet'!$B$9,Paramètres!$A$1:$I$89,5,0)</f>
        <v>204.45120000000009</v>
      </c>
      <c r="P82" s="13">
        <f t="shared" si="87"/>
        <v>50.721150021305952</v>
      </c>
      <c r="Q82" s="20">
        <f t="shared" si="54"/>
        <v>444.42517628710794</v>
      </c>
      <c r="R82" s="59">
        <f t="shared" si="55"/>
        <v>737.75850962044126</v>
      </c>
      <c r="S82" s="59">
        <f ca="1">AVERAGE(OFFSET($R$3,0,0,'Données projet'!$E$9+1,1))-AVERAGE(OFFSET($H$3,0,0,'Données projet'!$E$9+1,1))</f>
        <v>270.18797004581819</v>
      </c>
      <c r="T82" s="59">
        <f t="shared" si="88"/>
        <v>246.88276293504617</v>
      </c>
      <c r="U82" s="15">
        <f>IF(ISNA(VLOOKUP(A82,'Données projet'!$A$35:$I$55,3,0)),0,VLOOKUP(A82,'Données projet'!$A$35:$I$55,3,0))</f>
        <v>13</v>
      </c>
      <c r="V82" s="15">
        <f>IF(ISNA(VLOOKUP(A82,'Données projet'!$A$35:$I$55,4,0)),0,VLOOKUP(A82,'Données projet'!$A$35:$I$55,4,0))</f>
        <v>77.33846153846153</v>
      </c>
      <c r="W82" s="16">
        <f>IF(ISNA(VLOOKUP(A82,'Données projet'!$A$35:$I$55,5,0)),0%,VLOOKUP(A82,'Données projet'!$A$35:$I$55,5,0)*VLOOKUP('Données projet'!$B$9,Paramètres!$A$1:$I$89,7,0))</f>
        <v>0.11000000000000001</v>
      </c>
      <c r="X82" s="16">
        <f>IF(ISNA(VLOOKUP(A82,'Données projet'!$A$35:$I$55,6,0)),0%,VLOOKUP(A82,'Données projet'!$A$35:$I$55,6,0)*VLOOKUP('Données projet'!$B$9,Paramètres!$A$1:$I$89,7,0))</f>
        <v>0.27500000000000002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21.389238938275206</v>
      </c>
      <c r="AA82" s="21">
        <f>EXP(-LN(2)/25)*AA81+(1-EXP(-LN(2)/25))/(LN(2)/25)*Calculateur!V82*Calculateur!X82*VLOOKUP('Données projet'!$B$9,Paramètres!$A$1:$I$89,3,0)*0.475*44/12</f>
        <v>52.772194501345481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74.16143343962068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6.2</v>
      </c>
      <c r="AI82" s="13">
        <f>IF('Données projet'!$A$62&gt;35,AI81+AH82-AQ81,IF(A82&lt;'Données projet'!$A$62,$AF$205^A82,IF(A82='Données projet'!$A$62,'Données projet'!$B$62,AI81+AH82-AQ81)))</f>
        <v>236.79999999999984</v>
      </c>
      <c r="AJ82" s="13">
        <f>AI82*VLOOKUP('Données projet'!$B$10,Paramètres!$A$1:$I$89,3,0)*VLOOKUP('Données projet'!$B$10,Paramètres!$A$1:$I$89,5,0)</f>
        <v>240.11519999999985</v>
      </c>
      <c r="AK82" s="13">
        <f t="shared" si="89"/>
        <v>58.464315631105265</v>
      </c>
      <c r="AL82" s="20">
        <f t="shared" si="58"/>
        <v>520.02598972417468</v>
      </c>
      <c r="AM82" s="59">
        <f t="shared" si="59"/>
        <v>813.35932305750794</v>
      </c>
      <c r="AN82" s="59">
        <f ca="1">AVERAGE(OFFSET($AM$3,0,0,'Données projet'!$E$10+1,1))-AVERAGE(OFFSET($H$3,0,0,'Données projet'!$E$10+1,1))</f>
        <v>374.01259415112554</v>
      </c>
      <c r="AO82" s="59">
        <f t="shared" si="90"/>
        <v>244.5696433180579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23.524994756571662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23.524994756571662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4.2</v>
      </c>
      <c r="BD82" s="12">
        <f>IF('Données projet'!$A$88&gt;35,BD81+BC82-BL81,IF(A82&lt;'Données projet'!$A$88,$BA$205^A82,IF(A82='Données projet'!$A$88,'Données projet'!$B$88,BD81+BC82-BL81)))</f>
        <v>229.80000000000007</v>
      </c>
      <c r="BE82" s="13">
        <f>BD82*VLOOKUP('Données projet'!$B$11,Paramètres!$A$1:$I$89,3,0)*VLOOKUP('Données projet'!$B$11,Paramètres!$A$1:$I$89,5,0)</f>
        <v>186.41376000000005</v>
      </c>
      <c r="BF82" s="13">
        <f t="shared" si="91"/>
        <v>46.746208944321332</v>
      </c>
      <c r="BG82" s="20">
        <f t="shared" si="61"/>
        <v>406.08694591135969</v>
      </c>
      <c r="BH82" s="59">
        <f t="shared" si="62"/>
        <v>699.42027924469301</v>
      </c>
      <c r="BI82" s="59">
        <f ca="1">AVERAGE(OFFSET($BH$3,0,0,'Données projet'!$E$11+1,1))-AVERAGE(OFFSET($H$3,0,0,'Données projet'!$E$11+1,1))</f>
        <v>252.20412072815043</v>
      </c>
      <c r="BJ82" s="59">
        <f t="shared" si="92"/>
        <v>208.19930959443013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12.013905004819097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12.013905004819097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15.64992000000001</v>
      </c>
      <c r="D83" s="11">
        <f t="shared" si="86"/>
        <v>5.2362813765062519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35.469899881505377</v>
      </c>
      <c r="H83" s="67">
        <f t="shared" si="56"/>
        <v>293.0434673974151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12.053846153846152</v>
      </c>
      <c r="N83" s="13">
        <f>IF('Données projet'!$A$36&gt;35,N82+M83-V82,IF(A83&lt;'Données projet'!$A$36,$K$205^A83,IF(A83='Données projet'!$A$36,'Données projet'!$B$36,N82+M83-V82)))</f>
        <v>371.57692307692321</v>
      </c>
      <c r="O83" s="13">
        <f>N83*VLOOKUP('Données projet'!$B$9,Paramètres!$A$1:$I$89,3,0)*VLOOKUP('Données projet'!$B$9,Paramètres!$A$1:$I$89,5,0)</f>
        <v>173.89800000000008</v>
      </c>
      <c r="P83" s="13">
        <f t="shared" si="87"/>
        <v>43.961890696862454</v>
      </c>
      <c r="Q83" s="20">
        <f t="shared" si="54"/>
        <v>379.43930963036888</v>
      </c>
      <c r="R83" s="59">
        <f t="shared" si="55"/>
        <v>672.7726429637022</v>
      </c>
      <c r="S83" s="59">
        <f ca="1">AVERAGE(OFFSET($R$3,0,0,'Données projet'!$E$9+1,1))-AVERAGE(OFFSET($H$3,0,0,'Données projet'!$E$9+1,1))</f>
        <v>270.18797004581819</v>
      </c>
      <c r="T83" s="59">
        <f t="shared" si="88"/>
        <v>246.88276293504617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20.969809008843182</v>
      </c>
      <c r="AA83" s="21">
        <f>EXP(-LN(2)/25)*AA82+(1-EXP(-LN(2)/25))/(LN(2)/25)*Calculateur!V83*Calculateur!X83*VLOOKUP('Données projet'!$B$9,Paramètres!$A$1:$I$89,3,0)*0.475*44/12</f>
        <v>51.329136067537092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72.298945076380278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243</v>
      </c>
      <c r="AG83" s="12">
        <f>VLOOKUP(A83,'Données projet'!$A$61:$I$81,9,0)</f>
        <v>6.2</v>
      </c>
      <c r="AH83" s="12">
        <f t="array" ref="AH83">INDEX(AG:AG,MIN(IF(ISNUMBER(AG83:AG279),ROW(AG83:AG279),"")))</f>
        <v>6.2</v>
      </c>
      <c r="AI83" s="13">
        <f>IF('Données projet'!$A$62&gt;35,AI82+AH83-AQ82,IF(A83&lt;'Données projet'!$A$62,$AF$205^A83,IF(A83='Données projet'!$A$62,'Données projet'!$B$62,AI82+AH83-AQ82)))</f>
        <v>242.99999999999983</v>
      </c>
      <c r="AJ83" s="13">
        <f>AI83*VLOOKUP('Données projet'!$B$10,Paramètres!$A$1:$I$89,3,0)*VLOOKUP('Données projet'!$B$10,Paramètres!$A$1:$I$89,5,0)</f>
        <v>246.40199999999984</v>
      </c>
      <c r="AK83" s="13">
        <f t="shared" si="89"/>
        <v>59.814834475385474</v>
      </c>
      <c r="AL83" s="20">
        <f t="shared" si="58"/>
        <v>533.32765337796275</v>
      </c>
      <c r="AM83" s="59">
        <f t="shared" si="59"/>
        <v>826.66098671129612</v>
      </c>
      <c r="AN83" s="59">
        <f ca="1">AVERAGE(OFFSET($AM$3,0,0,'Données projet'!$E$10+1,1))-AVERAGE(OFFSET($H$3,0,0,'Données projet'!$E$10+1,1))</f>
        <v>374.01259415112554</v>
      </c>
      <c r="AO83" s="59">
        <f t="shared" si="90"/>
        <v>244.5696433180579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29.136974613763119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29.136974613763119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234</v>
      </c>
      <c r="BB83" s="12">
        <f>VLOOKUP(A83,'Données projet'!$A$87:$I$107,9,0)</f>
        <v>4.2</v>
      </c>
      <c r="BC83" s="12">
        <f t="array" ref="BC83">INDEX(BB:BB,MIN(IF(ISNUMBER(BB83:BB279),ROW(BB83:BB279),"")))</f>
        <v>4.2</v>
      </c>
      <c r="BD83" s="12">
        <f>IF('Données projet'!$A$88&gt;35,BD82+BC83-BL82,IF(A83&lt;'Données projet'!$A$88,$BA$205^A83,IF(A83='Données projet'!$A$88,'Données projet'!$B$88,BD82+BC83-BL82)))</f>
        <v>234.00000000000006</v>
      </c>
      <c r="BE83" s="13">
        <f>BD83*VLOOKUP('Données projet'!$B$11,Paramètres!$A$1:$I$89,3,0)*VLOOKUP('Données projet'!$B$11,Paramètres!$A$1:$I$89,5,0)</f>
        <v>189.82080000000005</v>
      </c>
      <c r="BF83" s="13">
        <f t="shared" si="91"/>
        <v>47.500332100049796</v>
      </c>
      <c r="BG83" s="20">
        <f t="shared" si="61"/>
        <v>413.33430507425345</v>
      </c>
      <c r="BH83" s="59">
        <f t="shared" si="62"/>
        <v>706.66763840758676</v>
      </c>
      <c r="BI83" s="59">
        <f ca="1">AVERAGE(OFFSET($BH$3,0,0,'Données projet'!$E$11+1,1))-AVERAGE(OFFSET($H$3,0,0,'Données projet'!$E$11+1,1))</f>
        <v>252.20412072815043</v>
      </c>
      <c r="BJ83" s="59">
        <f t="shared" si="92"/>
        <v>208.19930959443013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13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14.786044551508985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14.786044551508985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15.845544000000011</v>
      </c>
      <c r="D84" s="11">
        <f t="shared" si="86"/>
        <v>5.2940742239786367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35.900263931247949</v>
      </c>
      <c r="H84" s="67">
        <f t="shared" si="56"/>
        <v>293.48483507342951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12.053846153846152</v>
      </c>
      <c r="N84" s="13">
        <f>IF('Données projet'!$A$36&gt;35,N83+M84-V83,IF(A84&lt;'Données projet'!$A$36,$K$205^A84,IF(A84='Données projet'!$A$36,'Données projet'!$B$36,N83+M84-V83)))</f>
        <v>383.63076923076937</v>
      </c>
      <c r="O84" s="13">
        <f>N84*VLOOKUP('Données projet'!$B$9,Paramètres!$A$1:$I$89,3,0)*VLOOKUP('Données projet'!$B$9,Paramètres!$A$1:$I$89,5,0)</f>
        <v>179.53920000000005</v>
      </c>
      <c r="P84" s="13">
        <f t="shared" si="87"/>
        <v>45.21965136714217</v>
      </c>
      <c r="Q84" s="20">
        <f t="shared" si="54"/>
        <v>391.45499946443937</v>
      </c>
      <c r="R84" s="59">
        <f t="shared" si="55"/>
        <v>684.78833279777268</v>
      </c>
      <c r="S84" s="59">
        <f ca="1">AVERAGE(OFFSET($R$3,0,0,'Données projet'!$E$9+1,1))-AVERAGE(OFFSET($H$3,0,0,'Données projet'!$E$9+1,1))</f>
        <v>270.18797004581819</v>
      </c>
      <c r="T84" s="59">
        <f t="shared" si="88"/>
        <v>246.88276293504617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20.558603844500322</v>
      </c>
      <c r="AA84" s="21">
        <f>EXP(-LN(2)/25)*AA83+(1-EXP(-LN(2)/25))/(LN(2)/25)*Calculateur!V84*Calculateur!X84*VLOOKUP('Données projet'!$B$9,Paramètres!$A$1:$I$89,3,0)*0.475*44/12</f>
        <v>49.925538142488342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70.484141986988661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227.79999999999984</v>
      </c>
      <c r="AJ84" s="13">
        <f>AI84*VLOOKUP('Données projet'!$B$10,Paramètres!$A$1:$I$89,3,0)*VLOOKUP('Données projet'!$B$10,Paramètres!$A$1:$I$89,5,0)</f>
        <v>230.98919999999987</v>
      </c>
      <c r="AK84" s="13">
        <f t="shared" si="89"/>
        <v>56.496516245657226</v>
      </c>
      <c r="AL84" s="20">
        <f t="shared" si="58"/>
        <v>500.70428912785269</v>
      </c>
      <c r="AM84" s="59">
        <f t="shared" si="59"/>
        <v>794.03762246118595</v>
      </c>
      <c r="AN84" s="59">
        <f ca="1">AVERAGE(OFFSET($AM$3,0,0,'Données projet'!$E$10+1,1))-AVERAGE(OFFSET($H$3,0,0,'Données projet'!$E$10+1,1))</f>
        <v>374.01259415112554</v>
      </c>
      <c r="AO84" s="59">
        <f t="shared" si="90"/>
        <v>244.5696433180579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28.565616313386919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28.565616313386919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</v>
      </c>
      <c r="BD84" s="12">
        <f>IF('Données projet'!$A$88&gt;35,BD83+BC84-BL83,IF(A84&lt;'Données projet'!$A$88,$BA$205^A84,IF(A84='Données projet'!$A$88,'Données projet'!$B$88,BD83+BC84-BL83)))</f>
        <v>225.00000000000006</v>
      </c>
      <c r="BE84" s="13">
        <f>BD84*VLOOKUP('Données projet'!$B$11,Paramètres!$A$1:$I$89,3,0)*VLOOKUP('Données projet'!$B$11,Paramètres!$A$1:$I$89,5,0)</f>
        <v>182.52000000000004</v>
      </c>
      <c r="BF84" s="13">
        <f t="shared" si="91"/>
        <v>45.882385280285632</v>
      </c>
      <c r="BG84" s="20">
        <f t="shared" si="61"/>
        <v>397.80082102983084</v>
      </c>
      <c r="BH84" s="59">
        <f t="shared" si="62"/>
        <v>691.13415436316416</v>
      </c>
      <c r="BI84" s="59">
        <f ca="1">AVERAGE(OFFSET($BH$3,0,0,'Données projet'!$E$11+1,1))-AVERAGE(OFFSET($H$3,0,0,'Données projet'!$E$11+1,1))</f>
        <v>252.20412072815043</v>
      </c>
      <c r="BJ84" s="59">
        <f t="shared" si="92"/>
        <v>208.19930959443013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14.496099236450558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14.496099236450558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16.04116800000001</v>
      </c>
      <c r="D85" s="11">
        <f t="shared" si="86"/>
        <v>5.3517840784040276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36.330487038412471</v>
      </c>
      <c r="H85" s="67">
        <f t="shared" si="56"/>
        <v>293.92605820322035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12.053846153846152</v>
      </c>
      <c r="N85" s="13">
        <f>IF('Données projet'!$A$36&gt;35,N84+M85-V84,IF(A85&lt;'Données projet'!$A$36,$K$205^A85,IF(A85='Données projet'!$A$36,'Données projet'!$B$36,N84+M85-V84)))</f>
        <v>395.68461538461554</v>
      </c>
      <c r="O85" s="13">
        <f>N85*VLOOKUP('Données projet'!$B$9,Paramètres!$A$1:$I$89,3,0)*VLOOKUP('Données projet'!$B$9,Paramètres!$A$1:$I$89,5,0)</f>
        <v>185.18040000000008</v>
      </c>
      <c r="P85" s="13">
        <f t="shared" si="87"/>
        <v>46.472819583921293</v>
      </c>
      <c r="Q85" s="20">
        <f t="shared" si="54"/>
        <v>403.46269077532975</v>
      </c>
      <c r="R85" s="59">
        <f t="shared" si="55"/>
        <v>696.796024108663</v>
      </c>
      <c r="S85" s="59">
        <f ca="1">AVERAGE(OFFSET($R$3,0,0,'Données projet'!$E$9+1,1))-AVERAGE(OFFSET($H$3,0,0,'Données projet'!$E$9+1,1))</f>
        <v>270.18797004581819</v>
      </c>
      <c r="T85" s="59">
        <f t="shared" si="88"/>
        <v>246.88276293504617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20.155462162619841</v>
      </c>
      <c r="AA85" s="21">
        <f>EXP(-LN(2)/25)*AA84+(1-EXP(-LN(2)/25))/(LN(2)/25)*Calculateur!V85*Calculateur!X85*VLOOKUP('Données projet'!$B$9,Paramètres!$A$1:$I$89,3,0)*0.475*44/12</f>
        <v>48.560321676512054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68.715783839131888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233.59999999999985</v>
      </c>
      <c r="AJ85" s="13">
        <f>AI85*VLOOKUP('Données projet'!$B$10,Paramètres!$A$1:$I$89,3,0)*VLOOKUP('Données projet'!$B$10,Paramètres!$A$1:$I$89,5,0)</f>
        <v>236.87039999999988</v>
      </c>
      <c r="AK85" s="13">
        <f t="shared" si="89"/>
        <v>57.765668276484661</v>
      </c>
      <c r="AL85" s="20">
        <f t="shared" si="58"/>
        <v>513.15781891487723</v>
      </c>
      <c r="AM85" s="59">
        <f t="shared" si="59"/>
        <v>806.49115224821048</v>
      </c>
      <c r="AN85" s="59">
        <f ca="1">AVERAGE(OFFSET($AM$3,0,0,'Données projet'!$E$10+1,1))-AVERAGE(OFFSET($H$3,0,0,'Données projet'!$E$10+1,1))</f>
        <v>374.01259415112554</v>
      </c>
      <c r="AO85" s="59">
        <f t="shared" si="90"/>
        <v>244.5696433180579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28.005462000786945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28.005462000786945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</v>
      </c>
      <c r="BD85" s="12">
        <f>IF('Données projet'!$A$88&gt;35,BD84+BC85-BL84,IF(A85&lt;'Données projet'!$A$88,$BA$205^A85,IF(A85='Données projet'!$A$88,'Données projet'!$B$88,BD84+BC85-BL84)))</f>
        <v>229.00000000000006</v>
      </c>
      <c r="BE85" s="13">
        <f>BD85*VLOOKUP('Données projet'!$B$11,Paramètres!$A$1:$I$89,3,0)*VLOOKUP('Données projet'!$B$11,Paramètres!$A$1:$I$89,5,0)</f>
        <v>185.76480000000004</v>
      </c>
      <c r="BF85" s="13">
        <f t="shared" si="91"/>
        <v>46.602385341463361</v>
      </c>
      <c r="BG85" s="20">
        <f t="shared" si="61"/>
        <v>404.7061811363821</v>
      </c>
      <c r="BH85" s="59">
        <f t="shared" si="62"/>
        <v>698.03951446971541</v>
      </c>
      <c r="BI85" s="59">
        <f ca="1">AVERAGE(OFFSET($BH$3,0,0,'Données projet'!$E$11+1,1))-AVERAGE(OFFSET($H$3,0,0,'Données projet'!$E$11+1,1))</f>
        <v>252.20412072815043</v>
      </c>
      <c r="BJ85" s="59">
        <f t="shared" si="92"/>
        <v>208.19930959443013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14.211839572171247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14.211839572171247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16.236792000000008</v>
      </c>
      <c r="D86" s="11">
        <f t="shared" si="86"/>
        <v>5.4094120689570886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36.760571120614856</v>
      </c>
      <c r="H86" s="67">
        <f t="shared" si="56"/>
        <v>294.36713875343361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>
        <f>VLOOKUP(A86,'Données projet'!$A$35:$I$55,2,0)</f>
        <v>407.73846153846142</v>
      </c>
      <c r="L86" s="12">
        <f>VLOOKUP(A86,'Données projet'!$A$35:$I$55,9,0)</f>
        <v>12.053846153846152</v>
      </c>
      <c r="M86" s="12">
        <f t="array" ref="M86">INDEX(L:L,MIN(IF(ISNUMBER(L86:L282),ROW(L86:L282),"")))</f>
        <v>12.053846153846152</v>
      </c>
      <c r="N86" s="13">
        <f>IF('Données projet'!$A$36&gt;35,N85+M86-V85,IF(A86&lt;'Données projet'!$A$36,$K$205^A86,IF(A86='Données projet'!$A$36,'Données projet'!$B$36,N85+M86-V85)))</f>
        <v>407.73846153846171</v>
      </c>
      <c r="O86" s="13">
        <f>N86*VLOOKUP('Données projet'!$B$9,Paramètres!$A$1:$I$89,3,0)*VLOOKUP('Données projet'!$B$9,Paramètres!$A$1:$I$89,5,0)</f>
        <v>190.8216000000001</v>
      </c>
      <c r="P86" s="13">
        <f t="shared" si="87"/>
        <v>47.721551305172831</v>
      </c>
      <c r="Q86" s="20">
        <f t="shared" si="54"/>
        <v>415.46265518984279</v>
      </c>
      <c r="R86" s="59">
        <f t="shared" si="55"/>
        <v>708.79598852317611</v>
      </c>
      <c r="S86" s="59">
        <f ca="1">AVERAGE(OFFSET($R$3,0,0,'Données projet'!$E$9+1,1))-AVERAGE(OFFSET($H$3,0,0,'Données projet'!$E$9+1,1))</f>
        <v>270.18797004581819</v>
      </c>
      <c r="T86" s="59">
        <f t="shared" si="88"/>
        <v>246.88276293504617</v>
      </c>
      <c r="U86" s="15">
        <f>IF(ISNA(VLOOKUP(A86,'Données projet'!$A$35:$I$55,3,0)),0,VLOOKUP(A86,'Données projet'!$A$35:$I$55,3,0))</f>
        <v>14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0.11000000000000001</v>
      </c>
      <c r="X86" s="16">
        <f>IF(ISNA(VLOOKUP(A86,'Données projet'!$A$35:$I$55,6,0)),0%,VLOOKUP(A86,'Données projet'!$A$35:$I$55,6,0)*VLOOKUP('Données projet'!$B$9,Paramètres!$A$1:$I$89,7,0))</f>
        <v>0.27500000000000002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19.760225843228891</v>
      </c>
      <c r="AA86" s="21">
        <f>EXP(-LN(2)/25)*AA85+(1-EXP(-LN(2)/25))/(LN(2)/25)*Calculateur!V86*Calculateur!X86*VLOOKUP('Données projet'!$B$9,Paramètres!$A$1:$I$89,3,0)*0.475*44/12</f>
        <v>47.232437126591499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66.992662969820387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239.39999999999986</v>
      </c>
      <c r="AJ86" s="13">
        <f>AI86*VLOOKUP('Données projet'!$B$10,Paramètres!$A$1:$I$89,3,0)*VLOOKUP('Données projet'!$B$10,Paramètres!$A$1:$I$89,5,0)</f>
        <v>242.75159999999988</v>
      </c>
      <c r="AK86" s="13">
        <f t="shared" si="89"/>
        <v>59.031157268460191</v>
      </c>
      <c r="AL86" s="20">
        <f t="shared" si="58"/>
        <v>525.60496890923457</v>
      </c>
      <c r="AM86" s="59">
        <f t="shared" si="59"/>
        <v>818.93830224256794</v>
      </c>
      <c r="AN86" s="59">
        <f ca="1">AVERAGE(OFFSET($AM$3,0,0,'Données projet'!$E$10+1,1))-AVERAGE(OFFSET($H$3,0,0,'Données projet'!$E$10+1,1))</f>
        <v>374.01259415112554</v>
      </c>
      <c r="AO86" s="59">
        <f t="shared" si="90"/>
        <v>244.5696433180579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27.456291972596663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27.456291972596663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</v>
      </c>
      <c r="BD86" s="12">
        <f>IF('Données projet'!$A$88&gt;35,BD85+BC86-BL85,IF(A86&lt;'Données projet'!$A$88,$BA$205^A86,IF(A86='Données projet'!$A$88,'Données projet'!$B$88,BD85+BC86-BL85)))</f>
        <v>233.00000000000006</v>
      </c>
      <c r="BE86" s="13">
        <f>BD86*VLOOKUP('Données projet'!$B$11,Paramètres!$A$1:$I$89,3,0)*VLOOKUP('Données projet'!$B$11,Paramètres!$A$1:$I$89,5,0)</f>
        <v>189.00960000000006</v>
      </c>
      <c r="BF86" s="13">
        <f t="shared" si="91"/>
        <v>47.320922915876508</v>
      </c>
      <c r="BG86" s="20">
        <f t="shared" si="61"/>
        <v>411.60899407848501</v>
      </c>
      <c r="BH86" s="59">
        <f t="shared" si="62"/>
        <v>704.94232741181827</v>
      </c>
      <c r="BI86" s="59">
        <f ca="1">AVERAGE(OFFSET($BH$3,0,0,'Données projet'!$E$11+1,1))-AVERAGE(OFFSET($H$3,0,0,'Données projet'!$E$11+1,1))</f>
        <v>252.20412072815043</v>
      </c>
      <c r="BJ86" s="59">
        <f t="shared" si="92"/>
        <v>208.19930959443013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13.933154066527177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13.933154066527177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16.432416000000007</v>
      </c>
      <c r="D87" s="11">
        <f t="shared" si="86"/>
        <v>5.4669592960380111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37.190518046604915</v>
      </c>
      <c r="H87" s="67">
        <f t="shared" si="56"/>
        <v>294.80807864059955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12.194230769230799</v>
      </c>
      <c r="N87" s="13">
        <f>IF('Données projet'!$A$36&gt;35,N86+M87-V86,IF(A87&lt;'Données projet'!$A$36,$K$205^A87,IF(A87='Données projet'!$A$36,'Données projet'!$B$36,N86+M87-V86)))</f>
        <v>419.93269230769249</v>
      </c>
      <c r="O87" s="13">
        <f>N87*VLOOKUP('Données projet'!$B$9,Paramètres!$A$1:$I$89,3,0)*VLOOKUP('Données projet'!$B$9,Paramètres!$A$1:$I$89,5,0)</f>
        <v>196.52850000000009</v>
      </c>
      <c r="P87" s="13">
        <f t="shared" si="87"/>
        <v>48.980461355237473</v>
      </c>
      <c r="Q87" s="20">
        <f t="shared" si="54"/>
        <v>427.59477436037213</v>
      </c>
      <c r="R87" s="59">
        <f t="shared" si="55"/>
        <v>720.92810769370544</v>
      </c>
      <c r="S87" s="59">
        <f ca="1">AVERAGE(OFFSET($R$3,0,0,'Données projet'!$E$9+1,1))-AVERAGE(OFFSET($H$3,0,0,'Données projet'!$E$9+1,1))</f>
        <v>270.18797004581819</v>
      </c>
      <c r="T87" s="59">
        <f t="shared" si="88"/>
        <v>246.88276293504617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19.372739866990848</v>
      </c>
      <c r="AA87" s="21">
        <f>EXP(-LN(2)/25)*AA86+(1-EXP(-LN(2)/25))/(LN(2)/25)*Calculateur!V87*Calculateur!X87*VLOOKUP('Données projet'!$B$9,Paramètres!$A$1:$I$89,3,0)*0.475*44/12</f>
        <v>45.940863649518938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65.313603516509787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245.19999999999987</v>
      </c>
      <c r="AJ87" s="13">
        <f>AI87*VLOOKUP('Données projet'!$B$10,Paramètres!$A$1:$I$89,3,0)*VLOOKUP('Données projet'!$B$10,Paramètres!$A$1:$I$89,5,0)</f>
        <v>248.63279999999986</v>
      </c>
      <c r="AK87" s="13">
        <f t="shared" si="89"/>
        <v>60.293082176848401</v>
      </c>
      <c r="AL87" s="20">
        <f t="shared" si="58"/>
        <v>538.04591145801066</v>
      </c>
      <c r="AM87" s="59">
        <f t="shared" si="59"/>
        <v>831.37924479134404</v>
      </c>
      <c r="AN87" s="59">
        <f ca="1">AVERAGE(OFFSET($AM$3,0,0,'Données projet'!$E$10+1,1))-AVERAGE(OFFSET($H$3,0,0,'Données projet'!$E$10+1,1))</f>
        <v>374.01259415112554</v>
      </c>
      <c r="AO87" s="59">
        <f t="shared" si="90"/>
        <v>244.5696433180579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26.917890833698547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26.917890833698547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</v>
      </c>
      <c r="BD87" s="12">
        <f>IF('Données projet'!$A$88&gt;35,BD86+BC87-BL86,IF(A87&lt;'Données projet'!$A$88,$BA$205^A87,IF(A87='Données projet'!$A$88,'Données projet'!$B$88,BD86+BC87-BL86)))</f>
        <v>237.00000000000006</v>
      </c>
      <c r="BE87" s="13">
        <f>BD87*VLOOKUP('Données projet'!$B$11,Paramètres!$A$1:$I$89,3,0)*VLOOKUP('Données projet'!$B$11,Paramètres!$A$1:$I$89,5,0)</f>
        <v>192.25440000000006</v>
      </c>
      <c r="BF87" s="13">
        <f t="shared" si="91"/>
        <v>48.038026007842433</v>
      </c>
      <c r="BG87" s="20">
        <f t="shared" si="61"/>
        <v>418.50930863032568</v>
      </c>
      <c r="BH87" s="59">
        <f t="shared" si="62"/>
        <v>711.84264196365893</v>
      </c>
      <c r="BI87" s="59">
        <f ca="1">AVERAGE(OFFSET($BH$3,0,0,'Données projet'!$E$11+1,1))-AVERAGE(OFFSET($H$3,0,0,'Données projet'!$E$11+1,1))</f>
        <v>252.20412072815043</v>
      </c>
      <c r="BJ87" s="59">
        <f t="shared" si="92"/>
        <v>208.19930959443013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13.659933413667414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13.659933413667414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16.628040000000006</v>
      </c>
      <c r="D88" s="11">
        <f t="shared" si="86"/>
        <v>5.524426832339377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37.620329638078111</v>
      </c>
      <c r="H88" s="67">
        <f t="shared" si="56"/>
        <v>295.2488797329911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12.194230769230799</v>
      </c>
      <c r="N88" s="13">
        <f>IF('Données projet'!$A$36&gt;35,N87+M88-V87,IF(A88&lt;'Données projet'!$A$36,$K$205^A88,IF(A88='Données projet'!$A$36,'Données projet'!$B$36,N87+M88-V87)))</f>
        <v>432.12692307692328</v>
      </c>
      <c r="O88" s="13">
        <f>N88*VLOOKUP('Données projet'!$B$9,Paramètres!$A$1:$I$89,3,0)*VLOOKUP('Données projet'!$B$9,Paramètres!$A$1:$I$89,5,0)</f>
        <v>202.23540000000011</v>
      </c>
      <c r="P88" s="13">
        <f t="shared" si="87"/>
        <v>50.235122734019832</v>
      </c>
      <c r="Q88" s="20">
        <f t="shared" si="54"/>
        <v>439.71949376175138</v>
      </c>
      <c r="R88" s="59">
        <f t="shared" si="55"/>
        <v>733.05282709508469</v>
      </c>
      <c r="S88" s="59">
        <f ca="1">AVERAGE(OFFSET($R$3,0,0,'Données projet'!$E$9+1,1))-AVERAGE(OFFSET($H$3,0,0,'Données projet'!$E$9+1,1))</f>
        <v>270.18797004581819</v>
      </c>
      <c r="T88" s="59">
        <f t="shared" si="88"/>
        <v>246.88276293504617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18.992852254403722</v>
      </c>
      <c r="AA88" s="21">
        <f>EXP(-LN(2)/25)*AA87+(1-EXP(-LN(2)/25))/(LN(2)/25)*Calculateur!V88*Calculateur!X88*VLOOKUP('Données projet'!$B$9,Paramètres!$A$1:$I$89,3,0)*0.475*44/12</f>
        <v>44.684608317097826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63.677460571501548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251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250.99999999999989</v>
      </c>
      <c r="AJ88" s="13">
        <f>AI88*VLOOKUP('Données projet'!$B$10,Paramètres!$A$1:$I$89,3,0)*VLOOKUP('Données projet'!$B$10,Paramètres!$A$1:$I$89,5,0)</f>
        <v>254.5139999999999</v>
      </c>
      <c r="AK88" s="13">
        <f t="shared" si="89"/>
        <v>61.551537008472913</v>
      </c>
      <c r="AL88" s="20">
        <f t="shared" si="58"/>
        <v>550.48081028975685</v>
      </c>
      <c r="AM88" s="59">
        <f t="shared" si="59"/>
        <v>843.8141436230901</v>
      </c>
      <c r="AN88" s="59">
        <f ca="1">AVERAGE(OFFSET($AM$3,0,0,'Données projet'!$E$10+1,1))-AVERAGE(OFFSET($H$3,0,0,'Données projet'!$E$10+1,1))</f>
        <v>374.01259415112554</v>
      </c>
      <c r="AO88" s="59">
        <f t="shared" si="90"/>
        <v>244.5696433180579</v>
      </c>
      <c r="AP88" s="15">
        <f>IF(ISNA(VLOOKUP(A88,'Données projet'!$A$61:$I$81,3,0)),0,VLOOKUP(A88,'Données projet'!$A$61:$I$81,3,0))</f>
        <v>15</v>
      </c>
      <c r="AQ88" s="15">
        <f>IF(ISNA(VLOOKUP(A88,'Données projet'!$A$61:$I$81,4,0)),0,VLOOKUP(A88,'Données projet'!$A$61:$I$81,4,0))</f>
        <v>20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32.174133751349437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32.174133751349437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241</v>
      </c>
      <c r="BB88" s="12">
        <f>VLOOKUP(A88,'Données projet'!$A$87:$I$107,9,0)</f>
        <v>4</v>
      </c>
      <c r="BC88" s="12">
        <f t="array" ref="BC88">INDEX(BB:BB,MIN(IF(ISNUMBER(BB88:BB284),ROW(BB88:BB284),"")))</f>
        <v>4</v>
      </c>
      <c r="BD88" s="12">
        <f>IF('Données projet'!$A$88&gt;35,BD87+BC88-BL87,IF(A88&lt;'Données projet'!$A$88,$BA$205^A88,IF(A88='Données projet'!$A$88,'Données projet'!$B$88,BD87+BC88-BL87)))</f>
        <v>241.00000000000006</v>
      </c>
      <c r="BE88" s="13">
        <f>BD88*VLOOKUP('Données projet'!$B$11,Paramètres!$A$1:$I$89,3,0)*VLOOKUP('Données projet'!$B$11,Paramètres!$A$1:$I$89,5,0)</f>
        <v>195.49920000000006</v>
      </c>
      <c r="BF88" s="13">
        <f t="shared" si="91"/>
        <v>48.753721622209305</v>
      </c>
      <c r="BG88" s="20">
        <f t="shared" si="61"/>
        <v>425.40717182534792</v>
      </c>
      <c r="BH88" s="59">
        <f t="shared" si="62"/>
        <v>718.74050515868123</v>
      </c>
      <c r="BI88" s="59">
        <f ca="1">AVERAGE(OFFSET($BH$3,0,0,'Données projet'!$E$11+1,1))-AVERAGE(OFFSET($H$3,0,0,'Données projet'!$E$11+1,1))</f>
        <v>252.20412072815043</v>
      </c>
      <c r="BJ88" s="59">
        <f t="shared" si="92"/>
        <v>208.19930959443013</v>
      </c>
      <c r="BK88" s="15">
        <f>IF(ISNA(VLOOKUP(A88,'Données projet'!$A$87:$I$107,3,0)),0,VLOOKUP(A88,'Données projet'!$A$87:$I$107,3,0))</f>
        <v>15</v>
      </c>
      <c r="BL88" s="15">
        <f>IF(ISNA(VLOOKUP(A88,'Données projet'!$A$87:$I$107,4,0)),0,VLOOKUP(A88,'Données projet'!$A$87:$I$107,4,0))</f>
        <v>13</v>
      </c>
      <c r="BM88" s="16">
        <f>IF(ISNA(VLOOKUP(A88,'Données projet'!$A$87:$I$107,5,0)),0%,VLOOKUP(A88,'Données projet'!$A$87:$I$107,5,0)*VLOOKUP('Données projet'!$B$11,Paramètres!$A$1:$I$89,7,0))</f>
        <v>0.25800000000000001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16.39979534723798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16.39979534723798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16.823664000000004</v>
      </c>
      <c r="D89" s="11">
        <f t="shared" si="86"/>
        <v>5.5818157238614505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38.050007671399804</v>
      </c>
      <c r="H89" s="67">
        <f t="shared" si="56"/>
        <v>295.68954385239203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12.194230769230799</v>
      </c>
      <c r="N89" s="13">
        <f>IF('Données projet'!$A$36&gt;35,N88+M89-V88,IF(A89&lt;'Données projet'!$A$36,$K$205^A89,IF(A89='Données projet'!$A$36,'Données projet'!$B$36,N88+M89-V88)))</f>
        <v>444.32115384615406</v>
      </c>
      <c r="O89" s="13">
        <f>N89*VLOOKUP('Données projet'!$B$9,Paramètres!$A$1:$I$89,3,0)*VLOOKUP('Données projet'!$B$9,Paramètres!$A$1:$I$89,5,0)</f>
        <v>207.94230000000013</v>
      </c>
      <c r="P89" s="13">
        <f t="shared" si="87"/>
        <v>51.485669107157641</v>
      </c>
      <c r="Q89" s="20">
        <f t="shared" si="54"/>
        <v>451.83704619496643</v>
      </c>
      <c r="R89" s="59">
        <f t="shared" si="55"/>
        <v>745.17037952829969</v>
      </c>
      <c r="S89" s="59">
        <f ca="1">AVERAGE(OFFSET($R$3,0,0,'Données projet'!$E$9+1,1))-AVERAGE(OFFSET($H$3,0,0,'Données projet'!$E$9+1,1))</f>
        <v>270.18797004581819</v>
      </c>
      <c r="T89" s="59">
        <f t="shared" si="88"/>
        <v>246.88276293504617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18.620414006190867</v>
      </c>
      <c r="AA89" s="21">
        <f>EXP(-LN(2)/25)*AA88+(1-EXP(-LN(2)/25))/(LN(2)/25)*Calculateur!V89*Calculateur!X89*VLOOKUP('Données projet'!$B$9,Paramètres!$A$1:$I$89,3,0)*0.475*44/12</f>
        <v>43.462705352805365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62.083119358996228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236.59999999999991</v>
      </c>
      <c r="AJ89" s="13">
        <f>AI89*VLOOKUP('Données projet'!$B$10,Paramètres!$A$1:$I$89,3,0)*VLOOKUP('Données projet'!$B$10,Paramètres!$A$1:$I$89,5,0)</f>
        <v>239.91239999999991</v>
      </c>
      <c r="AK89" s="13">
        <f t="shared" si="89"/>
        <v>58.420682515047339</v>
      </c>
      <c r="AL89" s="20">
        <f t="shared" si="58"/>
        <v>519.59678538037394</v>
      </c>
      <c r="AM89" s="59">
        <f t="shared" si="59"/>
        <v>812.93011871370732</v>
      </c>
      <c r="AN89" s="59">
        <f ca="1">AVERAGE(OFFSET($AM$3,0,0,'Données projet'!$E$10+1,1))-AVERAGE(OFFSET($H$3,0,0,'Données projet'!$E$10+1,1))</f>
        <v>374.01259415112554</v>
      </c>
      <c r="AO89" s="59">
        <f t="shared" si="90"/>
        <v>244.5696433180579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31.543218612769326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31.543218612769326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3.6</v>
      </c>
      <c r="BD89" s="12">
        <f>IF('Données projet'!$A$88&gt;35,BD88+BC89-BL88,IF(A89&lt;'Données projet'!$A$88,$BA$205^A89,IF(A89='Données projet'!$A$88,'Données projet'!$B$88,BD88+BC89-BL88)))</f>
        <v>231.60000000000005</v>
      </c>
      <c r="BE89" s="13">
        <f>BD89*VLOOKUP('Données projet'!$B$11,Paramètres!$A$1:$I$89,3,0)*VLOOKUP('Données projet'!$B$11,Paramètres!$A$1:$I$89,5,0)</f>
        <v>187.87392000000006</v>
      </c>
      <c r="BF89" s="13">
        <f t="shared" si="91"/>
        <v>47.069599349044694</v>
      </c>
      <c r="BG89" s="20">
        <f t="shared" si="61"/>
        <v>409.19329619958626</v>
      </c>
      <c r="BH89" s="59">
        <f t="shared" si="62"/>
        <v>702.52662953291951</v>
      </c>
      <c r="BI89" s="59">
        <f ca="1">AVERAGE(OFFSET($BH$3,0,0,'Données projet'!$E$11+1,1))-AVERAGE(OFFSET($H$3,0,0,'Données projet'!$E$11+1,1))</f>
        <v>252.20412072815043</v>
      </c>
      <c r="BJ89" s="59">
        <f t="shared" si="92"/>
        <v>208.19930959443013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16.078205363366102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16.078205363366102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17.019288000000003</v>
      </c>
      <c r="D90" s="11">
        <f t="shared" si="86"/>
        <v>5.6391269908788297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38.479553879246858</v>
      </c>
      <c r="H90" s="67">
        <f t="shared" si="56"/>
        <v>296.13007277578066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456.51538461538462</v>
      </c>
      <c r="L90" s="12">
        <f>VLOOKUP(A90,'Données projet'!$A$35:$I$55,9,0)</f>
        <v>12.194230769230799</v>
      </c>
      <c r="M90" s="12">
        <f t="array" ref="M90">INDEX(L:L,MIN(IF(ISNUMBER(L90:L286),ROW(L90:L286),"")))</f>
        <v>12.194230769230799</v>
      </c>
      <c r="N90" s="13">
        <f>IF('Données projet'!$A$36&gt;35,N89+M90-V89,IF(A90&lt;'Données projet'!$A$36,$K$205^A90,IF(A90='Données projet'!$A$36,'Données projet'!$B$36,N89+M90-V89)))</f>
        <v>456.51538461538485</v>
      </c>
      <c r="O90" s="13">
        <f>N90*VLOOKUP('Données projet'!$B$9,Paramètres!$A$1:$I$89,3,0)*VLOOKUP('Données projet'!$B$9,Paramètres!$A$1:$I$89,5,0)</f>
        <v>213.64920000000012</v>
      </c>
      <c r="P90" s="13">
        <f t="shared" si="87"/>
        <v>52.732226385923781</v>
      </c>
      <c r="Q90" s="20">
        <f t="shared" si="54"/>
        <v>463.94765095548405</v>
      </c>
      <c r="R90" s="59">
        <f t="shared" si="55"/>
        <v>757.28098428881731</v>
      </c>
      <c r="S90" s="59">
        <f ca="1">AVERAGE(OFFSET($R$3,0,0,'Données projet'!$E$9+1,1))-AVERAGE(OFFSET($H$3,0,0,'Données projet'!$E$9+1,1))</f>
        <v>270.18797004581819</v>
      </c>
      <c r="T90" s="59">
        <f t="shared" si="88"/>
        <v>246.88276293504617</v>
      </c>
      <c r="U90" s="15">
        <f>IF(ISNA(VLOOKUP(A90,'Données projet'!$A$35:$I$55,3,0)),0,VLOOKUP(A90,'Données projet'!$A$35:$I$55,3,0))</f>
        <v>15</v>
      </c>
      <c r="V90" s="15">
        <f>IF(ISNA(VLOOKUP(A90,'Données projet'!$A$35:$I$55,4,0)),0,VLOOKUP(A90,'Données projet'!$A$35:$I$55,4,0))</f>
        <v>77.330769230769235</v>
      </c>
      <c r="W90" s="16">
        <f>IF(ISNA(VLOOKUP(A90,'Données projet'!$A$35:$I$55,5,0)),0%,VLOOKUP(A90,'Données projet'!$A$35:$I$55,5,0)*VLOOKUP('Données projet'!$B$9,Paramètres!$A$1:$I$89,7,0))</f>
        <v>0.11000000000000001</v>
      </c>
      <c r="X90" s="16">
        <f>IF(ISNA(VLOOKUP(A90,'Données projet'!$A$35:$I$55,6,0)),0%,VLOOKUP(A90,'Données projet'!$A$35:$I$55,6,0)*VLOOKUP('Données projet'!$B$9,Paramètres!$A$1:$I$89,7,0))</f>
        <v>0.27500000000000002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23.536316223191911</v>
      </c>
      <c r="AA90" s="21">
        <f>EXP(-LN(2)/25)*AA89+(1-EXP(-LN(2)/25))/(LN(2)/25)*Calculateur!V90*Calculateur!X90*VLOOKUP('Données projet'!$B$9,Paramètres!$A$1:$I$89,3,0)*0.475*44/12</f>
        <v>55.424824696146892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78.961140919338803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242.1999999999999</v>
      </c>
      <c r="AJ90" s="13">
        <f>AI90*VLOOKUP('Données projet'!$B$10,Paramètres!$A$1:$I$89,3,0)*VLOOKUP('Données projet'!$B$10,Paramètres!$A$1:$I$89,5,0)</f>
        <v>245.59079999999992</v>
      </c>
      <c r="AK90" s="13">
        <f t="shared" si="89"/>
        <v>59.64080146485307</v>
      </c>
      <c r="AL90" s="20">
        <f t="shared" si="58"/>
        <v>531.61170588461891</v>
      </c>
      <c r="AM90" s="59">
        <f t="shared" si="59"/>
        <v>824.94503921795217</v>
      </c>
      <c r="AN90" s="59">
        <f ca="1">AVERAGE(OFFSET($AM$3,0,0,'Données projet'!$E$10+1,1))-AVERAGE(OFFSET($H$3,0,0,'Données projet'!$E$10+1,1))</f>
        <v>374.01259415112554</v>
      </c>
      <c r="AO90" s="59">
        <f t="shared" si="90"/>
        <v>244.5696433180579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30.924675335236536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30.924675335236536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3.6</v>
      </c>
      <c r="BD90" s="12">
        <f>IF('Données projet'!$A$88&gt;35,BD89+BC90-BL89,IF(A90&lt;'Données projet'!$A$88,$BA$205^A90,IF(A90='Données projet'!$A$88,'Données projet'!$B$88,BD89+BC90-BL89)))</f>
        <v>235.20000000000005</v>
      </c>
      <c r="BE90" s="13">
        <f>BD90*VLOOKUP('Données projet'!$B$11,Paramètres!$A$1:$I$89,3,0)*VLOOKUP('Données projet'!$B$11,Paramètres!$A$1:$I$89,5,0)</f>
        <v>190.79424000000006</v>
      </c>
      <c r="BF90" s="13">
        <f t="shared" si="91"/>
        <v>47.715505384501149</v>
      </c>
      <c r="BG90" s="20">
        <f t="shared" si="61"/>
        <v>415.40447321133956</v>
      </c>
      <c r="BH90" s="59">
        <f t="shared" si="62"/>
        <v>708.73780654467282</v>
      </c>
      <c r="BI90" s="59">
        <f ca="1">AVERAGE(OFFSET($BH$3,0,0,'Données projet'!$E$11+1,1))-AVERAGE(OFFSET($H$3,0,0,'Données projet'!$E$11+1,1))</f>
        <v>252.20412072815043</v>
      </c>
      <c r="BJ90" s="59">
        <f t="shared" si="92"/>
        <v>208.19930959443013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15.76292156292743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15.76292156292743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17.214912000000002</v>
      </c>
      <c r="D91" s="11">
        <f t="shared" si="86"/>
        <v>5.6963616288614469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38.908969952171724</v>
      </c>
      <c r="H91" s="67">
        <f t="shared" si="56"/>
        <v>296.57046823693372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11.201923076923094</v>
      </c>
      <c r="N91" s="13">
        <f>IF('Données projet'!$A$36&gt;35,N90+M91-V90,IF(A91&lt;'Données projet'!$A$36,$K$205^A91,IF(A91='Données projet'!$A$36,'Données projet'!$B$36,N90+M91-V90)))</f>
        <v>390.38653846153869</v>
      </c>
      <c r="O91" s="13">
        <f>N91*VLOOKUP('Données projet'!$B$9,Paramètres!$A$1:$I$89,3,0)*VLOOKUP('Données projet'!$B$9,Paramètres!$A$1:$I$89,5,0)</f>
        <v>182.70090000000013</v>
      </c>
      <c r="P91" s="13">
        <f t="shared" si="87"/>
        <v>45.922564801589729</v>
      </c>
      <c r="Q91" s="20">
        <f t="shared" si="54"/>
        <v>398.18586786276904</v>
      </c>
      <c r="R91" s="59">
        <f t="shared" si="55"/>
        <v>691.51920119610236</v>
      </c>
      <c r="S91" s="59">
        <f ca="1">AVERAGE(OFFSET($R$3,0,0,'Données projet'!$E$9+1,1))-AVERAGE(OFFSET($H$3,0,0,'Données projet'!$E$9+1,1))</f>
        <v>270.18797004581819</v>
      </c>
      <c r="T91" s="59">
        <f t="shared" si="88"/>
        <v>246.88276293504617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23.074783417790503</v>
      </c>
      <c r="AA91" s="21">
        <f>EXP(-LN(2)/25)*AA90+(1-EXP(-LN(2)/25))/(LN(2)/25)*Calculateur!V91*Calculateur!X91*VLOOKUP('Données projet'!$B$9,Paramètres!$A$1:$I$89,3,0)*0.475*44/12</f>
        <v>53.909229950165901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76.984013367956408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247.7999999999999</v>
      </c>
      <c r="AJ91" s="13">
        <f>AI91*VLOOKUP('Données projet'!$B$10,Paramètres!$A$1:$I$89,3,0)*VLOOKUP('Données projet'!$B$10,Paramètres!$A$1:$I$89,5,0)</f>
        <v>251.2691999999999</v>
      </c>
      <c r="AK91" s="13">
        <f t="shared" si="89"/>
        <v>60.857640778569092</v>
      </c>
      <c r="AL91" s="20">
        <f t="shared" si="58"/>
        <v>543.62091435600757</v>
      </c>
      <c r="AM91" s="59">
        <f t="shared" si="59"/>
        <v>836.95424768934095</v>
      </c>
      <c r="AN91" s="59">
        <f ca="1">AVERAGE(OFFSET($AM$3,0,0,'Données projet'!$E$10+1,1))-AVERAGE(OFFSET($H$3,0,0,'Données projet'!$E$10+1,1))</f>
        <v>374.01259415112554</v>
      </c>
      <c r="AO91" s="59">
        <f t="shared" si="90"/>
        <v>244.5696433180579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30.318261314102017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30.318261314102017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3.6</v>
      </c>
      <c r="BD91" s="12">
        <f>IF('Données projet'!$A$88&gt;35,BD90+BC91-BL90,IF(A91&lt;'Données projet'!$A$88,$BA$205^A91,IF(A91='Données projet'!$A$88,'Données projet'!$B$88,BD90+BC91-BL90)))</f>
        <v>238.80000000000004</v>
      </c>
      <c r="BE91" s="13">
        <f>BD91*VLOOKUP('Données projet'!$B$11,Paramètres!$A$1:$I$89,3,0)*VLOOKUP('Données projet'!$B$11,Paramètres!$A$1:$I$89,5,0)</f>
        <v>193.71456000000006</v>
      </c>
      <c r="BF91" s="13">
        <f t="shared" si="91"/>
        <v>48.360261629719496</v>
      </c>
      <c r="BG91" s="20">
        <f t="shared" si="61"/>
        <v>421.61364767176156</v>
      </c>
      <c r="BH91" s="59">
        <f t="shared" si="62"/>
        <v>714.94698100509481</v>
      </c>
      <c r="BI91" s="59">
        <f ca="1">AVERAGE(OFFSET($BH$3,0,0,'Données projet'!$E$11+1,1))-AVERAGE(OFFSET($H$3,0,0,'Données projet'!$E$11+1,1))</f>
        <v>252.20412072815043</v>
      </c>
      <c r="BJ91" s="59">
        <f t="shared" si="92"/>
        <v>208.19930959443013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15.453820285511229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15.453820285511229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17.410536</v>
      </c>
      <c r="D92" s="11">
        <f t="shared" si="86"/>
        <v>5.7535206093524822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39.338257540093345</v>
      </c>
      <c r="H92" s="67">
        <f t="shared" si="56"/>
        <v>297.01073192795559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11.201923076923094</v>
      </c>
      <c r="N92" s="13">
        <f>IF('Données projet'!$A$36&gt;35,N91+M92-V91,IF(A92&lt;'Données projet'!$A$36,$K$205^A92,IF(A92='Données projet'!$A$36,'Données projet'!$B$36,N91+M92-V91)))</f>
        <v>401.58846153846179</v>
      </c>
      <c r="O92" s="13">
        <f>N92*VLOOKUP('Données projet'!$B$9,Paramètres!$A$1:$I$89,3,0)*VLOOKUP('Données projet'!$B$9,Paramètres!$A$1:$I$89,5,0)</f>
        <v>187.94340000000011</v>
      </c>
      <c r="P92" s="13">
        <f t="shared" si="87"/>
        <v>47.084980193321194</v>
      </c>
      <c r="Q92" s="20">
        <f t="shared" si="54"/>
        <v>409.34109550336797</v>
      </c>
      <c r="R92" s="59">
        <f t="shared" si="55"/>
        <v>702.67442883670128</v>
      </c>
      <c r="S92" s="59">
        <f ca="1">AVERAGE(OFFSET($R$3,0,0,'Données projet'!$E$9+1,1))-AVERAGE(OFFSET($H$3,0,0,'Données projet'!$E$9+1,1))</f>
        <v>270.18797004581819</v>
      </c>
      <c r="T92" s="59">
        <f t="shared" si="88"/>
        <v>246.88276293504617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22.6223009891958</v>
      </c>
      <c r="AA92" s="21">
        <f>EXP(-LN(2)/25)*AA91+(1-EXP(-LN(2)/25))/(LN(2)/25)*Calculateur!V92*Calculateur!X92*VLOOKUP('Données projet'!$B$9,Paramètres!$A$1:$I$89,3,0)*0.475*44/12</f>
        <v>52.435079222215421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75.057380211411214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253.39999999999989</v>
      </c>
      <c r="AJ92" s="13">
        <f>AI92*VLOOKUP('Données projet'!$B$10,Paramètres!$A$1:$I$89,3,0)*VLOOKUP('Données projet'!$B$10,Paramètres!$A$1:$I$89,5,0)</f>
        <v>256.94759999999991</v>
      </c>
      <c r="AK92" s="13">
        <f t="shared" si="89"/>
        <v>62.071283104858246</v>
      </c>
      <c r="AL92" s="20">
        <f t="shared" si="58"/>
        <v>555.62455474096134</v>
      </c>
      <c r="AM92" s="59">
        <f t="shared" si="59"/>
        <v>848.95788807429471</v>
      </c>
      <c r="AN92" s="59">
        <f ca="1">AVERAGE(OFFSET($AM$3,0,0,'Données projet'!$E$10+1,1))-AVERAGE(OFFSET($H$3,0,0,'Données projet'!$E$10+1,1))</f>
        <v>374.01259415112554</v>
      </c>
      <c r="AO92" s="59">
        <f t="shared" si="90"/>
        <v>244.5696433180579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29.723738702045914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29.723738702045914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3.6</v>
      </c>
      <c r="BD92" s="12">
        <f>IF('Données projet'!$A$88&gt;35,BD91+BC92-BL91,IF(A92&lt;'Données projet'!$A$88,$BA$205^A92,IF(A92='Données projet'!$A$88,'Données projet'!$B$88,BD91+BC92-BL91)))</f>
        <v>242.40000000000003</v>
      </c>
      <c r="BE92" s="13">
        <f>BD92*VLOOKUP('Données projet'!$B$11,Paramètres!$A$1:$I$89,3,0)*VLOOKUP('Données projet'!$B$11,Paramètres!$A$1:$I$89,5,0)</f>
        <v>196.63488000000004</v>
      </c>
      <c r="BF92" s="13">
        <f t="shared" si="91"/>
        <v>49.003887420349095</v>
      </c>
      <c r="BG92" s="20">
        <f t="shared" si="61"/>
        <v>427.82085325710801</v>
      </c>
      <c r="BH92" s="59">
        <f t="shared" si="62"/>
        <v>721.15418659044133</v>
      </c>
      <c r="BI92" s="59">
        <f ca="1">AVERAGE(OFFSET($BH$3,0,0,'Données projet'!$E$11+1,1))-AVERAGE(OFFSET($H$3,0,0,'Données projet'!$E$11+1,1))</f>
        <v>252.20412072815043</v>
      </c>
      <c r="BJ92" s="59">
        <f t="shared" si="92"/>
        <v>208.19930959443013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15.150780295611998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15.150780295611998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17.606159999999999</v>
      </c>
      <c r="D93" s="11">
        <f t="shared" si="86"/>
        <v>5.8106048808056867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39.767418253719136</v>
      </c>
      <c r="H93" s="67">
        <f t="shared" si="56"/>
        <v>297.4508655007366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11.201923076923094</v>
      </c>
      <c r="N93" s="13">
        <f>IF('Données projet'!$A$36&gt;35,N92+M93-V92,IF(A93&lt;'Données projet'!$A$36,$K$205^A93,IF(A93='Données projet'!$A$36,'Données projet'!$B$36,N92+M93-V92)))</f>
        <v>412.79038461538488</v>
      </c>
      <c r="O93" s="13">
        <f>N93*VLOOKUP('Données projet'!$B$9,Paramètres!$A$1:$I$89,3,0)*VLOOKUP('Données projet'!$B$9,Paramètres!$A$1:$I$89,5,0)</f>
        <v>193.18590000000012</v>
      </c>
      <c r="P93" s="13">
        <f t="shared" si="87"/>
        <v>48.243626982391824</v>
      </c>
      <c r="Q93" s="20">
        <f t="shared" si="54"/>
        <v>420.48975949433253</v>
      </c>
      <c r="R93" s="59">
        <f t="shared" si="55"/>
        <v>713.82309282766585</v>
      </c>
      <c r="S93" s="59">
        <f ca="1">AVERAGE(OFFSET($R$3,0,0,'Données projet'!$E$9+1,1))-AVERAGE(OFFSET($H$3,0,0,'Données projet'!$E$9+1,1))</f>
        <v>270.18797004581819</v>
      </c>
      <c r="T93" s="59">
        <f t="shared" si="88"/>
        <v>246.88276293504617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22.17869146503881</v>
      </c>
      <c r="AA93" s="21">
        <f>EXP(-LN(2)/25)*AA92+(1-EXP(-LN(2)/25))/(LN(2)/25)*Calculateur!V93*Calculateur!X93*VLOOKUP('Données projet'!$B$9,Paramètres!$A$1:$I$89,3,0)*0.475*44/12</f>
        <v>51.001239223442965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73.179930688481775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259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258.99999999999989</v>
      </c>
      <c r="AJ93" s="13">
        <f>AI93*VLOOKUP('Données projet'!$B$10,Paramètres!$A$1:$I$89,3,0)*VLOOKUP('Données projet'!$B$10,Paramètres!$A$1:$I$89,5,0)</f>
        <v>262.62599999999992</v>
      </c>
      <c r="AK93" s="13">
        <f t="shared" si="89"/>
        <v>63.281807230823397</v>
      </c>
      <c r="AL93" s="20">
        <f t="shared" si="58"/>
        <v>567.62276426035055</v>
      </c>
      <c r="AM93" s="59">
        <f t="shared" si="59"/>
        <v>860.95609759368381</v>
      </c>
      <c r="AN93" s="59">
        <f ca="1">AVERAGE(OFFSET($AM$3,0,0,'Données projet'!$E$10+1,1))-AVERAGE(OFFSET($H$3,0,0,'Données projet'!$E$10+1,1))</f>
        <v>374.01259415112554</v>
      </c>
      <c r="AO93" s="59">
        <f t="shared" si="90"/>
        <v>244.5696433180579</v>
      </c>
      <c r="AP93" s="15">
        <f>IF(ISNA(VLOOKUP(A93,'Données projet'!$A$61:$I$81,3,0)),0,VLOOKUP(A93,'Données projet'!$A$61:$I$81,3,0))</f>
        <v>16</v>
      </c>
      <c r="AQ93" s="15">
        <f>IF(ISNA(VLOOKUP(A93,'Données projet'!$A$61:$I$81,4,0)),0,VLOOKUP(A93,'Données projet'!$A$61:$I$81,4,0))</f>
        <v>20</v>
      </c>
      <c r="AR93" s="16">
        <f>IF(ISNA(VLOOKUP(A93,'Données projet'!$A$61:$I$81,5,0)),0%,VLOOKUP(A93,'Données projet'!$A$61:$I$81,5,0)*VLOOKUP('Données projet'!$B$10,Paramètres!$A$1:$I$89,7,0))</f>
        <v>0.25800000000000001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34.924960654396727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34.924960654396727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246</v>
      </c>
      <c r="BB93" s="12">
        <f>VLOOKUP(A93,'Données projet'!$A$87:$I$107,9,0)</f>
        <v>3.6</v>
      </c>
      <c r="BC93" s="12">
        <f t="array" ref="BC93">INDEX(BB:BB,MIN(IF(ISNUMBER(BB93:BB289),ROW(BB93:BB289),"")))</f>
        <v>3.6</v>
      </c>
      <c r="BD93" s="12">
        <f>IF('Données projet'!$A$88&gt;35,BD92+BC93-BL92,IF(A93&lt;'Données projet'!$A$88,$BA$205^A93,IF(A93='Données projet'!$A$88,'Données projet'!$B$88,BD92+BC93-BL92)))</f>
        <v>246.00000000000003</v>
      </c>
      <c r="BE93" s="13">
        <f>BD93*VLOOKUP('Données projet'!$B$11,Paramètres!$A$1:$I$89,3,0)*VLOOKUP('Données projet'!$B$11,Paramètres!$A$1:$I$89,5,0)</f>
        <v>199.55520000000004</v>
      </c>
      <c r="BF93" s="13">
        <f t="shared" si="91"/>
        <v>49.646401484745567</v>
      </c>
      <c r="BG93" s="20">
        <f t="shared" si="61"/>
        <v>434.02612258593189</v>
      </c>
      <c r="BH93" s="59">
        <f t="shared" si="62"/>
        <v>727.3594559192652</v>
      </c>
      <c r="BI93" s="59">
        <f ca="1">AVERAGE(OFFSET($BH$3,0,0,'Données projet'!$E$11+1,1))-AVERAGE(OFFSET($H$3,0,0,'Données projet'!$E$11+1,1))</f>
        <v>252.20412072815043</v>
      </c>
      <c r="BJ93" s="59">
        <f t="shared" si="92"/>
        <v>208.19930959443013</v>
      </c>
      <c r="BK93" s="15">
        <f>IF(ISNA(VLOOKUP(A93,'Données projet'!$A$87:$I$107,3,0)),0,VLOOKUP(A93,'Données projet'!$A$87:$I$107,3,0))</f>
        <v>16</v>
      </c>
      <c r="BL93" s="15">
        <f>IF(ISNA(VLOOKUP(A93,'Données projet'!$A$87:$I$107,4,0)),0,VLOOKUP(A93,'Données projet'!$A$87:$I$107,4,0))</f>
        <v>246</v>
      </c>
      <c r="BM93" s="16">
        <f>IF(ISNA(VLOOKUP(A93,'Données projet'!$A$87:$I$107,5,0)),0%,VLOOKUP(A93,'Données projet'!$A$87:$I$107,5,0)*VLOOKUP('Données projet'!$B$11,Paramètres!$A$1:$I$89,7,0))</f>
        <v>0.25800000000000001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71.769092306976191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71.769092306976191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17.801783999999998</v>
      </c>
      <c r="D94" s="11">
        <f t="shared" si="86"/>
        <v>5.8676153693844508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40.19645366590202</v>
      </c>
      <c r="H94" s="67">
        <f t="shared" si="56"/>
        <v>297.89087056834461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>
        <f>VLOOKUP(A94,'Données projet'!$A$35:$I$55,2,0)</f>
        <v>423.99230769230775</v>
      </c>
      <c r="L94" s="12">
        <f>VLOOKUP(A94,'Données projet'!$A$35:$I$55,9,0)</f>
        <v>11.201923076923094</v>
      </c>
      <c r="M94" s="12">
        <f t="array" ref="M94">INDEX(L:L,MIN(IF(ISNUMBER(L94:L290),ROW(L94:L290),"")))</f>
        <v>11.201923076923094</v>
      </c>
      <c r="N94" s="13">
        <f>IF('Données projet'!$A$36&gt;35,N93+M94-V93,IF(A94&lt;'Données projet'!$A$36,$K$205^A94,IF(A94='Données projet'!$A$36,'Données projet'!$B$36,N93+M94-V93)))</f>
        <v>423.99230769230797</v>
      </c>
      <c r="O94" s="13">
        <f>N94*VLOOKUP('Données projet'!$B$9,Paramètres!$A$1:$I$89,3,0)*VLOOKUP('Données projet'!$B$9,Paramètres!$A$1:$I$89,5,0)</f>
        <v>198.42840000000012</v>
      </c>
      <c r="P94" s="13">
        <f t="shared" si="87"/>
        <v>49.398619189951305</v>
      </c>
      <c r="Q94" s="20">
        <f t="shared" si="54"/>
        <v>431.6320584224988</v>
      </c>
      <c r="R94" s="59">
        <f t="shared" si="55"/>
        <v>724.96539175583212</v>
      </c>
      <c r="S94" s="59">
        <f ca="1">AVERAGE(OFFSET($R$3,0,0,'Données projet'!$E$9+1,1))-AVERAGE(OFFSET($H$3,0,0,'Données projet'!$E$9+1,1))</f>
        <v>270.18797004581819</v>
      </c>
      <c r="T94" s="59">
        <f t="shared" si="88"/>
        <v>246.88276293504617</v>
      </c>
      <c r="U94" s="15">
        <f>IF(ISNA(VLOOKUP(A94,'Données projet'!$A$35:$I$55,3,0)),0,VLOOKUP(A94,'Données projet'!$A$35:$I$55,3,0))</f>
        <v>16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0.11000000000000001</v>
      </c>
      <c r="X94" s="16">
        <f>IF(ISNA(VLOOKUP(A94,'Données projet'!$A$35:$I$55,6,0)),0%,VLOOKUP(A94,'Données projet'!$A$35:$I$55,6,0)*VLOOKUP('Données projet'!$B$9,Paramètres!$A$1:$I$89,7,0))</f>
        <v>0.27500000000000002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21.743780853075446</v>
      </c>
      <c r="AA94" s="21">
        <f>EXP(-LN(2)/25)*AA93+(1-EXP(-LN(2)/25))/(LN(2)/25)*Calculateur!V94*Calculateur!X94*VLOOKUP('Données projet'!$B$9,Paramètres!$A$1:$I$89,3,0)*0.475*44/12</f>
        <v>49.606607654839308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71.350388507914758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3.2</v>
      </c>
      <c r="AI94" s="13">
        <f>IF('Données projet'!$A$62&gt;35,AI93+AH94-AQ93,IF(A94&lt;'Données projet'!$A$62,$AF$205^A94,IF(A94='Données projet'!$A$62,'Données projet'!$B$62,AI93+AH94-AQ93)))</f>
        <v>242.19999999999987</v>
      </c>
      <c r="AJ94" s="13">
        <f>AI94*VLOOKUP('Données projet'!$B$10,Paramètres!$A$1:$I$89,3,0)*VLOOKUP('Données projet'!$B$10,Paramètres!$A$1:$I$89,5,0)</f>
        <v>245.59079999999989</v>
      </c>
      <c r="AK94" s="13">
        <f t="shared" si="89"/>
        <v>59.64080146485307</v>
      </c>
      <c r="AL94" s="20">
        <f t="shared" si="58"/>
        <v>531.6117058846188</v>
      </c>
      <c r="AM94" s="59">
        <f t="shared" si="59"/>
        <v>824.94503921795217</v>
      </c>
      <c r="AN94" s="59">
        <f ca="1">AVERAGE(OFFSET($AM$3,0,0,'Données projet'!$E$10+1,1))-AVERAGE(OFFSET($H$3,0,0,'Données projet'!$E$10+1,1))</f>
        <v>374.01259415112554</v>
      </c>
      <c r="AO94" s="59">
        <f t="shared" si="90"/>
        <v>244.5696433180579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34.240103478086596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34.240103478086596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2.8421709430404007E-14</v>
      </c>
      <c r="BE94" s="13">
        <f>BD94*VLOOKUP('Données projet'!$B$11,Paramètres!$A$1:$I$89,3,0)*VLOOKUP('Données projet'!$B$11,Paramètres!$A$1:$I$89,5,0)</f>
        <v>2.3055690689943732E-14</v>
      </c>
      <c r="BF94" s="13">
        <f t="shared" si="91"/>
        <v>4.10868481342271E-13</v>
      </c>
      <c r="BG94" s="20">
        <f t="shared" si="61"/>
        <v>7.5575126628944061E-13</v>
      </c>
      <c r="BH94" s="59">
        <f t="shared" si="62"/>
        <v>293.33333333333405</v>
      </c>
      <c r="BI94" s="59">
        <f ca="1">AVERAGE(OFFSET($BH$3,0,0,'Données projet'!$E$11+1,1))-AVERAGE(OFFSET($H$3,0,0,'Données projet'!$E$11+1,1))</f>
        <v>252.20412072815043</v>
      </c>
      <c r="BJ94" s="59">
        <f t="shared" si="92"/>
        <v>208.19930959443013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70.361744181660285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70.361744181660285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17.997407999999997</v>
      </c>
      <c r="D95" s="11">
        <f t="shared" si="86"/>
        <v>5.9245529797247309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40.625365312936033</v>
      </c>
      <c r="H95" s="67">
        <f t="shared" si="56"/>
        <v>298.33074870635392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11.282692307692287</v>
      </c>
      <c r="N95" s="13">
        <f>IF('Données projet'!$A$36&gt;35,N94+M95-V94,IF(A95&lt;'Données projet'!$A$36,$K$205^A95,IF(A95='Données projet'!$A$36,'Données projet'!$B$36,N94+M95-V94)))</f>
        <v>435.27500000000026</v>
      </c>
      <c r="O95" s="13">
        <f>N95*VLOOKUP('Données projet'!$B$9,Paramètres!$A$1:$I$89,3,0)*VLOOKUP('Données projet'!$B$9,Paramètres!$A$1:$I$89,5,0)</f>
        <v>203.70870000000014</v>
      </c>
      <c r="P95" s="13">
        <f t="shared" si="87"/>
        <v>50.558354106807158</v>
      </c>
      <c r="Q95" s="20">
        <f t="shared" si="54"/>
        <v>442.84845256935597</v>
      </c>
      <c r="R95" s="59">
        <f t="shared" si="55"/>
        <v>736.18178590268928</v>
      </c>
      <c r="S95" s="59">
        <f ca="1">AVERAGE(OFFSET($R$3,0,0,'Données projet'!$E$9+1,1))-AVERAGE(OFFSET($H$3,0,0,'Données projet'!$E$9+1,1))</f>
        <v>270.18797004581819</v>
      </c>
      <c r="T95" s="59">
        <f t="shared" si="88"/>
        <v>246.88276293504617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21.317398572943404</v>
      </c>
      <c r="AA95" s="21">
        <f>EXP(-LN(2)/25)*AA94+(1-EXP(-LN(2)/25))/(LN(2)/25)*Calculateur!V95*Calculateur!X95*VLOOKUP('Données projet'!$B$9,Paramètres!$A$1:$I$89,3,0)*0.475*44/12</f>
        <v>48.25011235981961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69.567510932763014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3.2</v>
      </c>
      <c r="AI95" s="13">
        <f>IF('Données projet'!$A$62&gt;35,AI94+AH95-AQ94,IF(A95&lt;'Données projet'!$A$62,$AF$205^A95,IF(A95='Données projet'!$A$62,'Données projet'!$B$62,AI94+AH95-AQ94)))</f>
        <v>245.39999999999986</v>
      </c>
      <c r="AJ95" s="13">
        <f>AI95*VLOOKUP('Données projet'!$B$10,Paramètres!$A$1:$I$89,3,0)*VLOOKUP('Données projet'!$B$10,Paramètres!$A$1:$I$89,5,0)</f>
        <v>248.83559999999986</v>
      </c>
      <c r="AK95" s="13">
        <f t="shared" si="89"/>
        <v>60.336534411056192</v>
      </c>
      <c r="AL95" s="20">
        <f t="shared" si="58"/>
        <v>538.47480076592262</v>
      </c>
      <c r="AM95" s="59">
        <f t="shared" si="59"/>
        <v>831.80813409925599</v>
      </c>
      <c r="AN95" s="59">
        <f ca="1">AVERAGE(OFFSET($AM$3,0,0,'Données projet'!$E$10+1,1))-AVERAGE(OFFSET($H$3,0,0,'Données projet'!$E$10+1,1))</f>
        <v>374.01259415112554</v>
      </c>
      <c r="AO95" s="59">
        <f t="shared" si="90"/>
        <v>244.5696433180579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33.568675933282279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33.568675933282279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2.8421709430404007E-14</v>
      </c>
      <c r="BE95" s="13">
        <f>BD95*VLOOKUP('Données projet'!$B$11,Paramètres!$A$1:$I$89,3,0)*VLOOKUP('Données projet'!$B$11,Paramètres!$A$1:$I$89,5,0)</f>
        <v>2.3055690689943732E-14</v>
      </c>
      <c r="BF95" s="13">
        <f t="shared" si="91"/>
        <v>4.10868481342271E-13</v>
      </c>
      <c r="BG95" s="20">
        <f t="shared" si="61"/>
        <v>7.5575126628944061E-13</v>
      </c>
      <c r="BH95" s="59">
        <f t="shared" si="62"/>
        <v>293.33333333333405</v>
      </c>
      <c r="BI95" s="59">
        <f ca="1">AVERAGE(OFFSET($BH$3,0,0,'Données projet'!$E$11+1,1))-AVERAGE(OFFSET($H$3,0,0,'Données projet'!$E$11+1,1))</f>
        <v>252.20412072815043</v>
      </c>
      <c r="BJ95" s="59">
        <f t="shared" si="92"/>
        <v>208.19930959443013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68.98199329468423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68.98199329468423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18.193031999999995</v>
      </c>
      <c r="D96" s="11">
        <f t="shared" si="86"/>
        <v>5.9814185956638717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41.054154695794075</v>
      </c>
      <c r="H96" s="67">
        <f t="shared" si="56"/>
        <v>298.77050145411459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11.282692307692287</v>
      </c>
      <c r="N96" s="13">
        <f>IF('Données projet'!$A$36&gt;35,N95+M96-V95,IF(A96&lt;'Données projet'!$A$36,$K$205^A96,IF(A96='Données projet'!$A$36,'Données projet'!$B$36,N95+M96-V95)))</f>
        <v>446.55769230769255</v>
      </c>
      <c r="O96" s="13">
        <f>N96*VLOOKUP('Données projet'!$B$9,Paramètres!$A$1:$I$89,3,0)*VLOOKUP('Données projet'!$B$9,Paramètres!$A$1:$I$89,5,0)</f>
        <v>208.98900000000012</v>
      </c>
      <c r="P96" s="13">
        <f t="shared" si="87"/>
        <v>51.714594748332303</v>
      </c>
      <c r="Q96" s="20">
        <f t="shared" si="54"/>
        <v>454.05876085334563</v>
      </c>
      <c r="R96" s="59">
        <f t="shared" si="55"/>
        <v>747.39209418667895</v>
      </c>
      <c r="S96" s="59">
        <f ca="1">AVERAGE(OFFSET($R$3,0,0,'Données projet'!$E$9+1,1))-AVERAGE(OFFSET($H$3,0,0,'Données projet'!$E$9+1,1))</f>
        <v>270.18797004581819</v>
      </c>
      <c r="T96" s="59">
        <f t="shared" si="88"/>
        <v>246.88276293504617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20.899377389257239</v>
      </c>
      <c r="AA96" s="21">
        <f>EXP(-LN(2)/25)*AA95+(1-EXP(-LN(2)/25))/(LN(2)/25)*Calculateur!V96*Calculateur!X96*VLOOKUP('Données projet'!$B$9,Paramètres!$A$1:$I$89,3,0)*0.475*44/12</f>
        <v>46.930710499977209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67.830087889234449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3.2</v>
      </c>
      <c r="AI96" s="13">
        <f>IF('Données projet'!$A$62&gt;35,AI95+AH96-AQ95,IF(A96&lt;'Données projet'!$A$62,$AF$205^A96,IF(A96='Données projet'!$A$62,'Données projet'!$B$62,AI95+AH96-AQ95)))</f>
        <v>248.59999999999985</v>
      </c>
      <c r="AJ96" s="13">
        <f>AI96*VLOOKUP('Données projet'!$B$10,Paramètres!$A$1:$I$89,3,0)*VLOOKUP('Données projet'!$B$10,Paramètres!$A$1:$I$89,5,0)</f>
        <v>252.08039999999988</v>
      </c>
      <c r="AK96" s="13">
        <f t="shared" si="89"/>
        <v>61.031212109520695</v>
      </c>
      <c r="AL96" s="20">
        <f t="shared" si="58"/>
        <v>545.33605775741501</v>
      </c>
      <c r="AM96" s="59">
        <f t="shared" si="59"/>
        <v>838.66939109074838</v>
      </c>
      <c r="AN96" s="59">
        <f ca="1">AVERAGE(OFFSET($AM$3,0,0,'Données projet'!$E$10+1,1))-AVERAGE(OFFSET($H$3,0,0,'Données projet'!$E$10+1,1))</f>
        <v>374.01259415112554</v>
      </c>
      <c r="AO96" s="59">
        <f t="shared" si="90"/>
        <v>244.5696433180579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32.910414673101208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32.910414673101208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2.8421709430404007E-14</v>
      </c>
      <c r="BE96" s="13">
        <f>BD96*VLOOKUP('Données projet'!$B$11,Paramètres!$A$1:$I$89,3,0)*VLOOKUP('Données projet'!$B$11,Paramètres!$A$1:$I$89,5,0)</f>
        <v>2.3055690689943732E-14</v>
      </c>
      <c r="BF96" s="13">
        <f t="shared" si="91"/>
        <v>4.10868481342271E-13</v>
      </c>
      <c r="BG96" s="20">
        <f t="shared" si="61"/>
        <v>7.5575126628944061E-13</v>
      </c>
      <c r="BH96" s="59">
        <f t="shared" si="62"/>
        <v>293.33333333333405</v>
      </c>
      <c r="BI96" s="59">
        <f ca="1">AVERAGE(OFFSET($BH$3,0,0,'Données projet'!$E$11+1,1))-AVERAGE(OFFSET($H$3,0,0,'Données projet'!$E$11+1,1))</f>
        <v>252.20412072815043</v>
      </c>
      <c r="BJ96" s="59">
        <f t="shared" si="92"/>
        <v>208.19930959443013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67.629298481036841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67.629298481036841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18.388655999999994</v>
      </c>
      <c r="D97" s="11">
        <f t="shared" si="86"/>
        <v>6.0382130809371573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41.482823281310822</v>
      </c>
      <c r="H97" s="67">
        <f t="shared" si="56"/>
        <v>299.21013031596556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11.282692307692287</v>
      </c>
      <c r="N97" s="13">
        <f>IF('Données projet'!$A$36&gt;35,N96+M97-V96,IF(A97&lt;'Données projet'!$A$36,$K$205^A97,IF(A97='Données projet'!$A$36,'Données projet'!$B$36,N96+M97-V96)))</f>
        <v>457.84038461538483</v>
      </c>
      <c r="O97" s="13">
        <f>N97*VLOOKUP('Données projet'!$B$9,Paramètres!$A$1:$I$89,3,0)*VLOOKUP('Données projet'!$B$9,Paramètres!$A$1:$I$89,5,0)</f>
        <v>214.2693000000001</v>
      </c>
      <c r="P97" s="13">
        <f t="shared" si="87"/>
        <v>52.867439553518068</v>
      </c>
      <c r="Q97" s="20">
        <f t="shared" si="54"/>
        <v>465.26315472237746</v>
      </c>
      <c r="R97" s="59">
        <f t="shared" si="55"/>
        <v>758.59648805571078</v>
      </c>
      <c r="S97" s="59">
        <f ca="1">AVERAGE(OFFSET($R$3,0,0,'Données projet'!$E$9+1,1))-AVERAGE(OFFSET($H$3,0,0,'Données projet'!$E$9+1,1))</f>
        <v>270.18797004581819</v>
      </c>
      <c r="T97" s="59">
        <f t="shared" si="88"/>
        <v>246.88276293504617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20.489553346015416</v>
      </c>
      <c r="AA97" s="21">
        <f>EXP(-LN(2)/25)*AA96+(1-EXP(-LN(2)/25))/(LN(2)/25)*Calculateur!V97*Calculateur!X97*VLOOKUP('Données projet'!$B$9,Paramètres!$A$1:$I$89,3,0)*0.475*44/12</f>
        <v>45.647387753376528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66.136941099391947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3.2</v>
      </c>
      <c r="AI97" s="13">
        <f>IF('Données projet'!$A$62&gt;35,AI96+AH97-AQ96,IF(A97&lt;'Données projet'!$A$62,$AF$205^A97,IF(A97='Données projet'!$A$62,'Données projet'!$B$62,AI96+AH97-AQ96)))</f>
        <v>251.79999999999984</v>
      </c>
      <c r="AJ97" s="13">
        <f>AI97*VLOOKUP('Données projet'!$B$10,Paramètres!$A$1:$I$89,3,0)*VLOOKUP('Données projet'!$B$10,Paramètres!$A$1:$I$89,5,0)</f>
        <v>255.32519999999985</v>
      </c>
      <c r="AK97" s="13">
        <f t="shared" si="89"/>
        <v>61.724849714059751</v>
      </c>
      <c r="AL97" s="20">
        <f t="shared" si="58"/>
        <v>552.19550325198713</v>
      </c>
      <c r="AM97" s="59">
        <f t="shared" si="59"/>
        <v>845.52883658532051</v>
      </c>
      <c r="AN97" s="59">
        <f ca="1">AVERAGE(OFFSET($AM$3,0,0,'Données projet'!$E$10+1,1))-AVERAGE(OFFSET($H$3,0,0,'Données projet'!$E$10+1,1))</f>
        <v>374.01259415112554</v>
      </c>
      <c r="AO97" s="59">
        <f t="shared" si="90"/>
        <v>244.5696433180579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32.265061514732565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32.265061514732565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2.8421709430404007E-14</v>
      </c>
      <c r="BE97" s="13">
        <f>BD97*VLOOKUP('Données projet'!$B$11,Paramètres!$A$1:$I$89,3,0)*VLOOKUP('Données projet'!$B$11,Paramètres!$A$1:$I$89,5,0)</f>
        <v>2.3055690689943732E-14</v>
      </c>
      <c r="BF97" s="13">
        <f t="shared" si="91"/>
        <v>4.10868481342271E-13</v>
      </c>
      <c r="BG97" s="20">
        <f t="shared" si="61"/>
        <v>7.5575126628944061E-13</v>
      </c>
      <c r="BH97" s="59">
        <f t="shared" si="62"/>
        <v>293.33333333333405</v>
      </c>
      <c r="BI97" s="59">
        <f ca="1">AVERAGE(OFFSET($BH$3,0,0,'Données projet'!$E$11+1,1))-AVERAGE(OFFSET($H$3,0,0,'Données projet'!$E$11+1,1))</f>
        <v>252.20412072815043</v>
      </c>
      <c r="BJ97" s="59">
        <f t="shared" si="92"/>
        <v>208.19930959443013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66.303129187622702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66.303129187622702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18.584279999999993</v>
      </c>
      <c r="D98" s="11">
        <f t="shared" si="86"/>
        <v>6.0949372798439256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41.911372503313885</v>
      </c>
      <c r="H98" s="67">
        <f t="shared" si="56"/>
        <v>299.64963676239483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469.12307692307689</v>
      </c>
      <c r="L98" s="12">
        <f>VLOOKUP(A98,'Données projet'!$A$35:$I$55,9,0)</f>
        <v>11.282692307692287</v>
      </c>
      <c r="M98" s="12">
        <f t="array" ref="M98">INDEX(L:L,MIN(IF(ISNUMBER(L98:L294),ROW(L98:L294),"")))</f>
        <v>11.282692307692287</v>
      </c>
      <c r="N98" s="13">
        <f>IF('Données projet'!$A$36&gt;35,N97+M98-V97,IF(A98&lt;'Données projet'!$A$36,$K$205^A98,IF(A98='Données projet'!$A$36,'Données projet'!$B$36,N97+M98-V97)))</f>
        <v>469.12307692307712</v>
      </c>
      <c r="O98" s="13">
        <f>N98*VLOOKUP('Données projet'!$B$9,Paramètres!$A$1:$I$89,3,0)*VLOOKUP('Données projet'!$B$9,Paramètres!$A$1:$I$89,5,0)</f>
        <v>219.54960000000008</v>
      </c>
      <c r="P98" s="13">
        <f t="shared" si="87"/>
        <v>54.016981833057052</v>
      </c>
      <c r="Q98" s="20">
        <f t="shared" si="54"/>
        <v>476.46179669257441</v>
      </c>
      <c r="R98" s="59">
        <f t="shared" si="55"/>
        <v>769.79513002590772</v>
      </c>
      <c r="S98" s="59">
        <f ca="1">AVERAGE(OFFSET($R$3,0,0,'Données projet'!$E$9+1,1))-AVERAGE(OFFSET($H$3,0,0,'Données projet'!$E$9+1,1))</f>
        <v>270.18797004581819</v>
      </c>
      <c r="T98" s="59">
        <f t="shared" si="88"/>
        <v>246.88276293504617</v>
      </c>
      <c r="U98" s="15">
        <f>IF(ISNA(VLOOKUP(A98,'Données projet'!$A$35:$I$55,3,0)),0,VLOOKUP(A98,'Données projet'!$A$35:$I$55,3,0))</f>
        <v>17</v>
      </c>
      <c r="V98" s="15">
        <f>IF(ISNA(VLOOKUP(A98,'Données projet'!$A$35:$I$55,4,0)),0,VLOOKUP(A98,'Données projet'!$A$35:$I$55,4,0))</f>
        <v>234.42307692307693</v>
      </c>
      <c r="W98" s="16">
        <f>IF(ISNA(VLOOKUP(A98,'Données projet'!$A$35:$I$55,5,0)),0%,VLOOKUP(A98,'Données projet'!$A$35:$I$55,5,0)*VLOOKUP('Données projet'!$B$9,Paramètres!$A$1:$I$89,7,0))</f>
        <v>0.11000000000000001</v>
      </c>
      <c r="X98" s="16">
        <f>IF(ISNA(VLOOKUP(A98,'Données projet'!$A$35:$I$55,6,0)),0%,VLOOKUP(A98,'Données projet'!$A$35:$I$55,6,0)*VLOOKUP('Données projet'!$B$9,Paramètres!$A$1:$I$89,7,0))</f>
        <v>0.27500000000000002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36.096878206983504</v>
      </c>
      <c r="AA98" s="21">
        <f>EXP(-LN(2)/25)*AA97+(1-EXP(-LN(2)/25))/(LN(2)/25)*Calculateur!V98*Calculateur!X98*VLOOKUP('Données projet'!$B$9,Paramètres!$A$1:$I$89,3,0)*0.475*44/12</f>
        <v>84.264353856790805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120.36123206377431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3.2</v>
      </c>
      <c r="AI98" s="13">
        <f>IF('Données projet'!$A$62&gt;35,AI97+AH98-AQ97,IF(A98&lt;'Données projet'!$A$62,$AF$205^A98,IF(A98='Données projet'!$A$62,'Données projet'!$B$62,AI97+AH98-AQ97)))</f>
        <v>254.99999999999983</v>
      </c>
      <c r="AJ98" s="13">
        <f>AI98*VLOOKUP('Données projet'!$B$10,Paramètres!$A$1:$I$89,3,0)*VLOOKUP('Données projet'!$B$10,Paramètres!$A$1:$I$89,5,0)</f>
        <v>258.56999999999982</v>
      </c>
      <c r="AK98" s="13">
        <f t="shared" si="89"/>
        <v>62.417461971173843</v>
      </c>
      <c r="AL98" s="20">
        <f t="shared" si="58"/>
        <v>559.05316293312751</v>
      </c>
      <c r="AM98" s="59">
        <f t="shared" si="59"/>
        <v>852.38649626646088</v>
      </c>
      <c r="AN98" s="59">
        <f ca="1">AVERAGE(OFFSET($AM$3,0,0,'Données projet'!$E$10+1,1))-AVERAGE(OFFSET($H$3,0,0,'Données projet'!$E$10+1,1))</f>
        <v>374.01259415112554</v>
      </c>
      <c r="AO98" s="59">
        <f t="shared" si="90"/>
        <v>244.5696433180579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31.632363338172969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31.632363338172969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2.8421709430404007E-14</v>
      </c>
      <c r="BE98" s="13">
        <f>BD98*VLOOKUP('Données projet'!$B$11,Paramètres!$A$1:$I$89,3,0)*VLOOKUP('Données projet'!$B$11,Paramètres!$A$1:$I$89,5,0)</f>
        <v>2.3055690689943732E-14</v>
      </c>
      <c r="BF98" s="13">
        <f t="shared" si="91"/>
        <v>4.10868481342271E-13</v>
      </c>
      <c r="BG98" s="20">
        <f t="shared" si="61"/>
        <v>7.5575126628944061E-13</v>
      </c>
      <c r="BH98" s="59">
        <f t="shared" si="62"/>
        <v>293.33333333333405</v>
      </c>
      <c r="BI98" s="59">
        <f ca="1">AVERAGE(OFFSET($BH$3,0,0,'Données projet'!$E$11+1,1))-AVERAGE(OFFSET($H$3,0,0,'Données projet'!$E$11+1,1))</f>
        <v>252.20412072815043</v>
      </c>
      <c r="BJ98" s="59">
        <f t="shared" si="92"/>
        <v>208.19930959443013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65.00296526516901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65.00296526516901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18.779903999999991</v>
      </c>
      <c r="D99" s="11">
        <f t="shared" si="86"/>
        <v>6.1515920178847825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42.339803763706072</v>
      </c>
      <c r="H99" s="67">
        <f t="shared" si="56"/>
        <v>300.08902223114933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7.5307692307692324</v>
      </c>
      <c r="N99" s="13">
        <f>IF('Données projet'!$A$36&gt;35,N98+M99-V98,IF(A99&lt;'Données projet'!$A$36,$K$205^A99,IF(A99='Données projet'!$A$36,'Données projet'!$B$36,N98+M99-V98)))</f>
        <v>242.23076923076943</v>
      </c>
      <c r="O99" s="13">
        <f>N99*VLOOKUP('Données projet'!$B$9,Paramètres!$A$1:$I$89,3,0)*VLOOKUP('Données projet'!$B$9,Paramètres!$A$1:$I$89,5,0)</f>
        <v>113.36400000000009</v>
      </c>
      <c r="P99" s="13">
        <f t="shared" si="87"/>
        <v>30.122174319121282</v>
      </c>
      <c r="Q99" s="20">
        <f t="shared" ref="Q99:Q130" si="107">(O99+P99)*0.475*44/12</f>
        <v>249.9050869391364</v>
      </c>
      <c r="R99" s="59">
        <f t="shared" si="55"/>
        <v>543.23842027246974</v>
      </c>
      <c r="S99" s="59">
        <f ca="1">AVERAGE(OFFSET($R$3,0,0,'Données projet'!$E$9+1,1))-AVERAGE(OFFSET($H$3,0,0,'Données projet'!$E$9+1,1))</f>
        <v>270.18797004581819</v>
      </c>
      <c r="T99" s="59">
        <f t="shared" si="88"/>
        <v>246.88276293504617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35.389040442266271</v>
      </c>
      <c r="AA99" s="21">
        <f>EXP(-LN(2)/25)*AA98+(1-EXP(-LN(2)/25))/(LN(2)/25)*Calculateur!V99*Calculateur!X99*VLOOKUP('Données projet'!$B$9,Paramètres!$A$1:$I$89,3,0)*0.475*44/12</f>
        <v>81.96014066930708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117.34918111157336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3.2</v>
      </c>
      <c r="AI99" s="13">
        <f>IF('Données projet'!$A$62&gt;35,AI98+AH99-AQ98,IF(A99&lt;'Données projet'!$A$62,$AF$205^A99,IF(A99='Données projet'!$A$62,'Données projet'!$B$62,AI98+AH99-AQ98)))</f>
        <v>258.19999999999982</v>
      </c>
      <c r="AJ99" s="13">
        <f>AI99*VLOOKUP('Données projet'!$B$10,Paramètres!$A$1:$I$89,3,0)*VLOOKUP('Données projet'!$B$10,Paramètres!$A$1:$I$89,5,0)</f>
        <v>261.81479999999988</v>
      </c>
      <c r="AK99" s="13">
        <f t="shared" si="89"/>
        <v>63.109063235970609</v>
      </c>
      <c r="AL99" s="20">
        <f t="shared" si="58"/>
        <v>565.90906180264858</v>
      </c>
      <c r="AM99" s="59">
        <f t="shared" si="59"/>
        <v>859.24239513598195</v>
      </c>
      <c r="AN99" s="59">
        <f ca="1">AVERAGE(OFFSET($AM$3,0,0,'Données projet'!$E$10+1,1))-AVERAGE(OFFSET($H$3,0,0,'Données projet'!$E$10+1,1))</f>
        <v>374.01259415112554</v>
      </c>
      <c r="AO99" s="59">
        <f t="shared" si="90"/>
        <v>244.5696433180579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31.012071986947923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31.012071986947923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2.8421709430404007E-14</v>
      </c>
      <c r="BE99" s="13">
        <f>BD99*VLOOKUP('Données projet'!$B$11,Paramètres!$A$1:$I$89,3,0)*VLOOKUP('Données projet'!$B$11,Paramètres!$A$1:$I$89,5,0)</f>
        <v>2.3055690689943732E-14</v>
      </c>
      <c r="BF99" s="13">
        <f t="shared" si="91"/>
        <v>4.10868481342271E-13</v>
      </c>
      <c r="BG99" s="20">
        <f t="shared" si="61"/>
        <v>7.5575126628944061E-13</v>
      </c>
      <c r="BH99" s="59">
        <f t="shared" si="62"/>
        <v>293.33333333333405</v>
      </c>
      <c r="BI99" s="59">
        <f ca="1">AVERAGE(OFFSET($BH$3,0,0,'Données projet'!$E$11+1,1))-AVERAGE(OFFSET($H$3,0,0,'Données projet'!$E$11+1,1))</f>
        <v>252.20412072815043</v>
      </c>
      <c r="BJ99" s="59">
        <f t="shared" si="92"/>
        <v>208.19930959443013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63.728296764212956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63.728296764212956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18.97552799999999</v>
      </c>
      <c r="D100" s="11">
        <f t="shared" si="86"/>
        <v>6.2081781023715354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42.768118433501115</v>
      </c>
      <c r="H100" s="67">
        <f t="shared" si="56"/>
        <v>300.52828812829711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7.5307692307692324</v>
      </c>
      <c r="N100" s="13">
        <f>IF('Données projet'!$A$36&gt;35,N99+M100-V99,IF(A100&lt;'Données projet'!$A$36,$K$205^A100,IF(A100='Données projet'!$A$36,'Données projet'!$B$36,N99+M100-V99)))</f>
        <v>249.76153846153866</v>
      </c>
      <c r="O100" s="13">
        <f>N100*VLOOKUP('Données projet'!$B$9,Paramètres!$A$1:$I$89,3,0)*VLOOKUP('Données projet'!$B$9,Paramètres!$A$1:$I$89,5,0)</f>
        <v>116.88840000000009</v>
      </c>
      <c r="P100" s="13">
        <f t="shared" si="87"/>
        <v>30.94816375939811</v>
      </c>
      <c r="Q100" s="20">
        <f t="shared" si="107"/>
        <v>257.48201521428518</v>
      </c>
      <c r="R100" s="59">
        <f t="shared" si="55"/>
        <v>550.81534854761844</v>
      </c>
      <c r="S100" s="59">
        <f ca="1">AVERAGE(OFFSET($R$3,0,0,'Données projet'!$E$9+1,1))-AVERAGE(OFFSET($H$3,0,0,'Données projet'!$E$9+1,1))</f>
        <v>270.18797004581819</v>
      </c>
      <c r="T100" s="59">
        <f t="shared" si="88"/>
        <v>246.88276293504617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34.695082944376736</v>
      </c>
      <c r="AA100" s="21">
        <f>EXP(-LN(2)/25)*AA99+(1-EXP(-LN(2)/25))/(LN(2)/25)*Calculateur!V100*Calculateur!X100*VLOOKUP('Données projet'!$B$9,Paramètres!$A$1:$I$89,3,0)*0.475*44/12</f>
        <v>79.718936312608406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114.41401925698514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3.2</v>
      </c>
      <c r="AI100" s="13">
        <f>IF('Données projet'!$A$62&gt;35,AI99+AH100-AQ99,IF(A100&lt;'Données projet'!$A$62,$AF$205^A100,IF(A100='Données projet'!$A$62,'Données projet'!$B$62,AI99+AH100-AQ99)))</f>
        <v>261.39999999999981</v>
      </c>
      <c r="AJ100" s="13">
        <f>AI100*VLOOKUP('Données projet'!$B$10,Paramètres!$A$1:$I$89,3,0)*VLOOKUP('Données projet'!$B$10,Paramètres!$A$1:$I$89,5,0)</f>
        <v>265.05959999999982</v>
      </c>
      <c r="AK100" s="13">
        <f t="shared" si="89"/>
        <v>63.799667487271606</v>
      </c>
      <c r="AL100" s="20">
        <f t="shared" si="58"/>
        <v>572.76322420699773</v>
      </c>
      <c r="AM100" s="59">
        <f t="shared" si="59"/>
        <v>866.0965575403311</v>
      </c>
      <c r="AN100" s="59">
        <f ca="1">AVERAGE(OFFSET($AM$3,0,0,'Données projet'!$E$10+1,1))-AVERAGE(OFFSET($H$3,0,0,'Données projet'!$E$10+1,1))</f>
        <v>374.01259415112554</v>
      </c>
      <c r="AO100" s="59">
        <f t="shared" si="90"/>
        <v>244.5696433180579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30.403944170780036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30.403944170780036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2.8421709430404007E-14</v>
      </c>
      <c r="BE100" s="13">
        <f>BD100*VLOOKUP('Données projet'!$B$11,Paramètres!$A$1:$I$89,3,0)*VLOOKUP('Données projet'!$B$11,Paramètres!$A$1:$I$89,5,0)</f>
        <v>2.3055690689943732E-14</v>
      </c>
      <c r="BF100" s="13">
        <f t="shared" si="91"/>
        <v>4.10868481342271E-13</v>
      </c>
      <c r="BG100" s="20">
        <f t="shared" si="61"/>
        <v>7.5575126628944061E-13</v>
      </c>
      <c r="BH100" s="59">
        <f t="shared" si="62"/>
        <v>293.33333333333405</v>
      </c>
      <c r="BI100" s="59">
        <f ca="1">AVERAGE(OFFSET($BH$3,0,0,'Données projet'!$E$11+1,1))-AVERAGE(OFFSET($H$3,0,0,'Données projet'!$E$11+1,1))</f>
        <v>252.20412072815043</v>
      </c>
      <c r="BJ100" s="59">
        <f t="shared" si="92"/>
        <v>208.19930959443013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62.478623735089634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62.478623735089634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19.171151999999989</v>
      </c>
      <c r="D101" s="11">
        <f t="shared" si="86"/>
        <v>6.2646963230112496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43.196317853815579</v>
      </c>
      <c r="H101" s="67">
        <f t="shared" si="56"/>
        <v>300.96743582924461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7.5307692307692324</v>
      </c>
      <c r="N101" s="13">
        <f>IF('Données projet'!$A$36&gt;35,N100+M101-V100,IF(A101&lt;'Données projet'!$A$36,$K$205^A101,IF(A101='Données projet'!$A$36,'Données projet'!$B$36,N100+M101-V100)))</f>
        <v>257.29230769230787</v>
      </c>
      <c r="O101" s="13">
        <f>N101*VLOOKUP('Données projet'!$B$9,Paramètres!$A$1:$I$89,3,0)*VLOOKUP('Données projet'!$B$9,Paramètres!$A$1:$I$89,5,0)</f>
        <v>120.41280000000008</v>
      </c>
      <c r="P101" s="13">
        <f t="shared" si="87"/>
        <v>31.771258864018176</v>
      </c>
      <c r="Q101" s="20">
        <f t="shared" si="107"/>
        <v>265.0539025214984</v>
      </c>
      <c r="R101" s="59">
        <f t="shared" si="55"/>
        <v>558.38723585483172</v>
      </c>
      <c r="S101" s="59">
        <f ca="1">AVERAGE(OFFSET($R$3,0,0,'Données projet'!$E$9+1,1))-AVERAGE(OFFSET($H$3,0,0,'Données projet'!$E$9+1,1))</f>
        <v>270.18797004581819</v>
      </c>
      <c r="T101" s="59">
        <f t="shared" si="88"/>
        <v>246.88276293504617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34.01473352974854</v>
      </c>
      <c r="AA101" s="21">
        <f>EXP(-LN(2)/25)*AA100+(1-EXP(-LN(2)/25))/(LN(2)/25)*Calculateur!V101*Calculateur!X101*VLOOKUP('Données projet'!$B$9,Paramètres!$A$1:$I$89,3,0)*0.475*44/12</f>
        <v>77.539017806903473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111.55375133665201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3.2</v>
      </c>
      <c r="AI101" s="13">
        <f>IF('Données projet'!$A$62&gt;35,AI100+AH101-AQ100,IF(A101&lt;'Données projet'!$A$62,$AF$205^A101,IF(A101='Données projet'!$A$62,'Données projet'!$B$62,AI100+AH101-AQ100)))</f>
        <v>264.5999999999998</v>
      </c>
      <c r="AJ101" s="13">
        <f>AI101*VLOOKUP('Données projet'!$B$10,Paramètres!$A$1:$I$89,3,0)*VLOOKUP('Données projet'!$B$10,Paramètres!$A$1:$I$89,5,0)</f>
        <v>268.30439999999982</v>
      </c>
      <c r="AK101" s="13">
        <f t="shared" si="89"/>
        <v>64.489288341959309</v>
      </c>
      <c r="AL101" s="20">
        <f t="shared" si="58"/>
        <v>579.61567386224544</v>
      </c>
      <c r="AM101" s="59">
        <f t="shared" si="59"/>
        <v>872.94900719557882</v>
      </c>
      <c r="AN101" s="59">
        <f ca="1">AVERAGE(OFFSET($AM$3,0,0,'Données projet'!$E$10+1,1))-AVERAGE(OFFSET($H$3,0,0,'Données projet'!$E$10+1,1))</f>
        <v>374.01259415112554</v>
      </c>
      <c r="AO101" s="59">
        <f t="shared" si="90"/>
        <v>244.5696433180579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29.807741370165861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29.807741370165861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2.8421709430404007E-14</v>
      </c>
      <c r="BE101" s="13">
        <f>BD101*VLOOKUP('Données projet'!$B$11,Paramètres!$A$1:$I$89,3,0)*VLOOKUP('Données projet'!$B$11,Paramètres!$A$1:$I$89,5,0)</f>
        <v>2.3055690689943732E-14</v>
      </c>
      <c r="BF101" s="13">
        <f t="shared" si="91"/>
        <v>4.10868481342271E-13</v>
      </c>
      <c r="BG101" s="20">
        <f t="shared" si="61"/>
        <v>7.5575126628944061E-13</v>
      </c>
      <c r="BH101" s="59">
        <f t="shared" si="62"/>
        <v>293.33333333333405</v>
      </c>
      <c r="BI101" s="59">
        <f ca="1">AVERAGE(OFFSET($BH$3,0,0,'Données projet'!$E$11+1,1))-AVERAGE(OFFSET($H$3,0,0,'Données projet'!$E$11+1,1))</f>
        <v>252.20412072815043</v>
      </c>
      <c r="BJ101" s="59">
        <f t="shared" si="92"/>
        <v>208.19930959443013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61.253456031842134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61.253456031842134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19.366775999999987</v>
      </c>
      <c r="D102" s="11">
        <f t="shared" si="86"/>
        <v>6.3211474524657909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43.624403336819078</v>
      </c>
      <c r="H102" s="67">
        <f t="shared" si="56"/>
        <v>301.40646667971123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7.5307692307692324</v>
      </c>
      <c r="N102" s="13">
        <f>IF('Données projet'!$A$36&gt;35,N101+M102-V101,IF(A102&lt;'Données projet'!$A$36,$K$205^A102,IF(A102='Données projet'!$A$36,'Données projet'!$B$36,N101+M102-V101)))</f>
        <v>264.82307692307711</v>
      </c>
      <c r="O102" s="13">
        <f>N102*VLOOKUP('Données projet'!$B$9,Paramètres!$A$1:$I$89,3,0)*VLOOKUP('Données projet'!$B$9,Paramètres!$A$1:$I$89,5,0)</f>
        <v>123.93720000000009</v>
      </c>
      <c r="P102" s="13">
        <f t="shared" si="87"/>
        <v>32.591554075461204</v>
      </c>
      <c r="Q102" s="20">
        <f t="shared" si="107"/>
        <v>272.62091334809503</v>
      </c>
      <c r="R102" s="59">
        <f t="shared" si="55"/>
        <v>565.95424668142834</v>
      </c>
      <c r="S102" s="59">
        <f ca="1">AVERAGE(OFFSET($R$3,0,0,'Données projet'!$E$9+1,1))-AVERAGE(OFFSET($H$3,0,0,'Données projet'!$E$9+1,1))</f>
        <v>270.18797004581819</v>
      </c>
      <c r="T102" s="59">
        <f t="shared" si="88"/>
        <v>246.88276293504617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33.347725352169036</v>
      </c>
      <c r="AA102" s="21">
        <f>EXP(-LN(2)/25)*AA101+(1-EXP(-LN(2)/25))/(LN(2)/25)*Calculateur!V102*Calculateur!X102*VLOOKUP('Données projet'!$B$9,Paramètres!$A$1:$I$89,3,0)*0.475*44/12</f>
        <v>75.418709287373972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108.76643463954301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3.2</v>
      </c>
      <c r="AI102" s="13">
        <f>IF('Données projet'!$A$62&gt;35,AI101+AH102-AQ101,IF(A102&lt;'Données projet'!$A$62,$AF$205^A102,IF(A102='Données projet'!$A$62,'Données projet'!$B$62,AI101+AH102-AQ101)))</f>
        <v>267.79999999999978</v>
      </c>
      <c r="AJ102" s="13">
        <f>AI102*VLOOKUP('Données projet'!$B$10,Paramètres!$A$1:$I$89,3,0)*VLOOKUP('Données projet'!$B$10,Paramètres!$A$1:$I$89,5,0)</f>
        <v>271.54919999999981</v>
      </c>
      <c r="AK102" s="13">
        <f t="shared" si="89"/>
        <v>65.177939068609831</v>
      </c>
      <c r="AL102" s="20">
        <f t="shared" si="58"/>
        <v>586.46643387782842</v>
      </c>
      <c r="AM102" s="59">
        <f t="shared" si="59"/>
        <v>879.79976721116168</v>
      </c>
      <c r="AN102" s="59">
        <f ca="1">AVERAGE(OFFSET($AM$3,0,0,'Données projet'!$E$10+1,1))-AVERAGE(OFFSET($H$3,0,0,'Données projet'!$E$10+1,1))</f>
        <v>374.01259415112554</v>
      </c>
      <c r="AO102" s="59">
        <f t="shared" si="90"/>
        <v>244.5696433180579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29.223229742823925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29.223229742823925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2.8421709430404007E-14</v>
      </c>
      <c r="BE102" s="13">
        <f>BD102*VLOOKUP('Données projet'!$B$11,Paramètres!$A$1:$I$89,3,0)*VLOOKUP('Données projet'!$B$11,Paramètres!$A$1:$I$89,5,0)</f>
        <v>2.3055690689943732E-14</v>
      </c>
      <c r="BF102" s="13">
        <f t="shared" si="91"/>
        <v>4.10868481342271E-13</v>
      </c>
      <c r="BG102" s="20">
        <f t="shared" si="61"/>
        <v>7.5575126628944061E-13</v>
      </c>
      <c r="BH102" s="59">
        <f t="shared" si="62"/>
        <v>293.33333333333405</v>
      </c>
      <c r="BI102" s="59">
        <f ca="1">AVERAGE(OFFSET($BH$3,0,0,'Données projet'!$E$11+1,1))-AVERAGE(OFFSET($H$3,0,0,'Données projet'!$E$11+1,1))</f>
        <v>252.20412072815043</v>
      </c>
      <c r="BJ102" s="59">
        <f t="shared" si="92"/>
        <v>208.19930959443013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60.052313119976802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60.052313119976802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19.562399999999986</v>
      </c>
      <c r="D103" s="11">
        <f t="shared" si="86"/>
        <v>6.3775322468881059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44.05237616664504</v>
      </c>
      <c r="H103" s="67">
        <f t="shared" si="56"/>
        <v>301.84538199666343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272.35384615384612</v>
      </c>
      <c r="L103" s="12">
        <f>VLOOKUP(A103,'Données projet'!$A$35:$I$55,9,0)</f>
        <v>7.5307692307692324</v>
      </c>
      <c r="M103" s="12">
        <f t="array" ref="M103">INDEX(L:L,MIN(IF(ISNUMBER(L103:L299),ROW(L103:L299),"")))</f>
        <v>7.5307692307692324</v>
      </c>
      <c r="N103" s="13">
        <f>IF('Données projet'!$A$36&gt;35,N102+M103-V102,IF(A103&lt;'Données projet'!$A$36,$K$205^A103,IF(A103='Données projet'!$A$36,'Données projet'!$B$36,N102+M103-V102)))</f>
        <v>272.35384615384635</v>
      </c>
      <c r="O103" s="13">
        <f>N103*VLOOKUP('Données projet'!$B$9,Paramètres!$A$1:$I$89,3,0)*VLOOKUP('Données projet'!$B$9,Paramètres!$A$1:$I$89,5,0)</f>
        <v>127.4616000000001</v>
      </c>
      <c r="P103" s="13">
        <f t="shared" si="87"/>
        <v>33.409138159359948</v>
      </c>
      <c r="Q103" s="20">
        <f t="shared" si="107"/>
        <v>280.18320229421875</v>
      </c>
      <c r="R103" s="59">
        <f t="shared" si="55"/>
        <v>573.516535627552</v>
      </c>
      <c r="S103" s="59">
        <f ca="1">AVERAGE(OFFSET($R$3,0,0,'Données projet'!$E$9+1,1))-AVERAGE(OFFSET($H$3,0,0,'Données projet'!$E$9+1,1))</f>
        <v>270.18797004581819</v>
      </c>
      <c r="T103" s="59">
        <f t="shared" si="88"/>
        <v>246.88276293504617</v>
      </c>
      <c r="U103" s="15">
        <f>IF(ISNA(VLOOKUP(A103,'Données projet'!$A$35:$I$55,3,0)),0,VLOOKUP(A103,'Données projet'!$A$35:$I$55,3,0))</f>
        <v>18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0.11000000000000001</v>
      </c>
      <c r="X103" s="16">
        <f>IF(ISNA(VLOOKUP(A103,'Données projet'!$A$35:$I$55,6,0)),0%,VLOOKUP(A103,'Données projet'!$A$35:$I$55,6,0)*VLOOKUP('Données projet'!$B$9,Paramètres!$A$1:$I$89,7,0))</f>
        <v>0.27500000000000002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32.693796798117049</v>
      </c>
      <c r="AA103" s="21">
        <f>EXP(-LN(2)/25)*AA102+(1-EXP(-LN(2)/25))/(LN(2)/25)*Calculateur!V103*Calculateur!X103*VLOOKUP('Données projet'!$B$9,Paramètres!$A$1:$I$89,3,0)*0.475*44/12</f>
        <v>73.356380715813174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106.05017751393022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271</v>
      </c>
      <c r="AG103" s="12">
        <f>VLOOKUP(A103,'Données projet'!$A$61:$I$81,9,0)</f>
        <v>3.2</v>
      </c>
      <c r="AH103" s="12">
        <f t="array" ref="AH103">INDEX(AG:AG,MIN(IF(ISNUMBER(AG103:AG299),ROW(AG103:AG299),"")))</f>
        <v>3.2</v>
      </c>
      <c r="AI103" s="13">
        <f>IF('Données projet'!$A$62&gt;35,AI102+AH103-AQ102,IF(A103&lt;'Données projet'!$A$62,$AF$205^A103,IF(A103='Données projet'!$A$62,'Données projet'!$B$62,AI102+AH103-AQ102)))</f>
        <v>270.99999999999977</v>
      </c>
      <c r="AJ103" s="13">
        <f>AI103*VLOOKUP('Données projet'!$B$10,Paramètres!$A$1:$I$89,3,0)*VLOOKUP('Données projet'!$B$10,Paramètres!$A$1:$I$89,5,0)</f>
        <v>274.79399999999981</v>
      </c>
      <c r="AK103" s="13">
        <f t="shared" si="89"/>
        <v>65.86563260045547</v>
      </c>
      <c r="AL103" s="20">
        <f t="shared" si="58"/>
        <v>593.31552677912623</v>
      </c>
      <c r="AM103" s="59">
        <f t="shared" si="59"/>
        <v>886.64886011245949</v>
      </c>
      <c r="AN103" s="59">
        <f ca="1">AVERAGE(OFFSET($AM$3,0,0,'Données projet'!$E$10+1,1))-AVERAGE(OFFSET($H$3,0,0,'Données projet'!$E$10+1,1))</f>
        <v>374.01259415112554</v>
      </c>
      <c r="AO103" s="59">
        <f t="shared" si="90"/>
        <v>244.5696433180579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18</v>
      </c>
      <c r="AR103" s="16">
        <f>IF(ISNA(VLOOKUP(A103,'Données projet'!$A$61:$I$81,5,0)),0%,VLOOKUP(A103,'Données projet'!$A$61:$I$81,5,0)*VLOOKUP('Données projet'!$B$10,Paramètres!$A$1:$I$89,7,0))</f>
        <v>0.25800000000000001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33.855857736724012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33.855857736724012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2.8421709430404007E-14</v>
      </c>
      <c r="BE103" s="13">
        <f>BD103*VLOOKUP('Données projet'!$B$11,Paramètres!$A$1:$I$89,3,0)*VLOOKUP('Données projet'!$B$11,Paramètres!$A$1:$I$89,5,0)</f>
        <v>2.3055690689943732E-14</v>
      </c>
      <c r="BF103" s="13">
        <f t="shared" si="91"/>
        <v>4.10868481342271E-13</v>
      </c>
      <c r="BG103" s="20">
        <f t="shared" si="61"/>
        <v>7.5575126628944061E-13</v>
      </c>
      <c r="BH103" s="59">
        <f t="shared" si="62"/>
        <v>293.33333333333405</v>
      </c>
      <c r="BI103" s="59">
        <f ca="1">AVERAGE(OFFSET($BH$3,0,0,'Données projet'!$E$11+1,1))-AVERAGE(OFFSET($H$3,0,0,'Données projet'!$E$11+1,1))</f>
        <v>252.20412072815043</v>
      </c>
      <c r="BJ103" s="59">
        <f t="shared" si="92"/>
        <v>208.19930959443013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58.874723887988317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58.874723887988317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19.758023999999985</v>
      </c>
      <c r="D104" s="11">
        <f t="shared" si="86"/>
        <v>6.4338514464364316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44.480237600263955</v>
      </c>
      <c r="H104" s="67">
        <f t="shared" si="56"/>
        <v>302.28418306921009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7.4723076923076972</v>
      </c>
      <c r="N104" s="13">
        <f>IF('Données projet'!$A$36&gt;35,N103+M104-V103,IF(A104&lt;'Données projet'!$A$36,$K$205^A104,IF(A104='Données projet'!$A$36,'Données projet'!$B$36,N103+M104-V103)))</f>
        <v>279.82615384615406</v>
      </c>
      <c r="O104" s="13">
        <f>N104*VLOOKUP('Données projet'!$B$9,Paramètres!$A$1:$I$89,3,0)*VLOOKUP('Données projet'!$B$9,Paramètres!$A$1:$I$89,5,0)</f>
        <v>130.95864000000012</v>
      </c>
      <c r="P104" s="13">
        <f t="shared" si="87"/>
        <v>34.217778081608678</v>
      </c>
      <c r="Q104" s="20">
        <f t="shared" si="107"/>
        <v>287.6822614921353</v>
      </c>
      <c r="R104" s="59">
        <f t="shared" si="55"/>
        <v>581.01559482546861</v>
      </c>
      <c r="S104" s="59">
        <f ca="1">AVERAGE(OFFSET($R$3,0,0,'Données projet'!$E$9+1,1))-AVERAGE(OFFSET($H$3,0,0,'Données projet'!$E$9+1,1))</f>
        <v>270.18797004581819</v>
      </c>
      <c r="T104" s="59">
        <f t="shared" si="88"/>
        <v>246.88276293504617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32.052691384152986</v>
      </c>
      <c r="AA104" s="21">
        <f>EXP(-LN(2)/25)*AA103+(1-EXP(-LN(2)/25))/(LN(2)/25)*Calculateur!V104*Calculateur!X104*VLOOKUP('Données projet'!$B$9,Paramètres!$A$1:$I$89,3,0)*0.475*44/12</f>
        <v>71.350446627494861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103.40313801164785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2.9</v>
      </c>
      <c r="AI104" s="13">
        <f>IF('Données projet'!$A$62&gt;35,AI103+AH104-AQ103,IF(A104&lt;'Données projet'!$A$62,$AF$205^A104,IF(A104='Données projet'!$A$62,'Données projet'!$B$62,AI103+AH104-AQ103)))</f>
        <v>255.89999999999975</v>
      </c>
      <c r="AJ104" s="13">
        <f>AI104*VLOOKUP('Données projet'!$B$10,Paramètres!$A$1:$I$89,3,0)*VLOOKUP('Données projet'!$B$10,Paramètres!$A$1:$I$89,5,0)</f>
        <v>259.48259999999976</v>
      </c>
      <c r="AK104" s="13">
        <f t="shared" si="89"/>
        <v>62.612076401875939</v>
      </c>
      <c r="AL104" s="20">
        <f t="shared" si="58"/>
        <v>560.98156139993341</v>
      </c>
      <c r="AM104" s="59">
        <f t="shared" si="59"/>
        <v>854.31489473326678</v>
      </c>
      <c r="AN104" s="59">
        <f ca="1">AVERAGE(OFFSET($AM$3,0,0,'Données projet'!$E$10+1,1))-AVERAGE(OFFSET($H$3,0,0,'Données projet'!$E$10+1,1))</f>
        <v>374.01259415112554</v>
      </c>
      <c r="AO104" s="59">
        <f t="shared" si="90"/>
        <v>244.5696433180579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33.191965016541054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33.191965016541054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2.8421709430404007E-14</v>
      </c>
      <c r="BE104" s="13">
        <f>BD104*VLOOKUP('Données projet'!$B$11,Paramètres!$A$1:$I$89,3,0)*VLOOKUP('Données projet'!$B$11,Paramètres!$A$1:$I$89,5,0)</f>
        <v>2.3055690689943732E-14</v>
      </c>
      <c r="BF104" s="13">
        <f t="shared" si="91"/>
        <v>4.10868481342271E-13</v>
      </c>
      <c r="BG104" s="20">
        <f t="shared" si="61"/>
        <v>7.5575126628944061E-13</v>
      </c>
      <c r="BH104" s="59">
        <f t="shared" si="62"/>
        <v>293.33333333333405</v>
      </c>
      <c r="BI104" s="59">
        <f ca="1">AVERAGE(OFFSET($BH$3,0,0,'Données projet'!$E$11+1,1))-AVERAGE(OFFSET($H$3,0,0,'Données projet'!$E$11+1,1))</f>
        <v>252.20412072815043</v>
      </c>
      <c r="BJ104" s="59">
        <f t="shared" si="92"/>
        <v>208.19930959443013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57.720226462580619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57.720226462580619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19.953647999999983</v>
      </c>
      <c r="D105" s="11">
        <f t="shared" si="86"/>
        <v>6.4901057757675806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44.907988868321063</v>
      </c>
      <c r="H105" s="67">
        <f t="shared" si="56"/>
        <v>302.72287115946187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7.4723076923076972</v>
      </c>
      <c r="N105" s="13">
        <f>IF('Données projet'!$A$36&gt;35,N104+M105-V104,IF(A105&lt;'Données projet'!$A$36,$K$205^A105,IF(A105='Données projet'!$A$36,'Données projet'!$B$36,N104+M105-V104)))</f>
        <v>287.29846153846177</v>
      </c>
      <c r="O105" s="13">
        <f>N105*VLOOKUP('Données projet'!$B$9,Paramètres!$A$1:$I$89,3,0)*VLOOKUP('Données projet'!$B$9,Paramètres!$A$1:$I$89,5,0)</f>
        <v>134.45568000000011</v>
      </c>
      <c r="P105" s="13">
        <f t="shared" si="87"/>
        <v>35.023908115698518</v>
      </c>
      <c r="Q105" s="20">
        <f t="shared" si="107"/>
        <v>295.17694930150839</v>
      </c>
      <c r="R105" s="59">
        <f t="shared" si="55"/>
        <v>588.5102826348417</v>
      </c>
      <c r="S105" s="59">
        <f ca="1">AVERAGE(OFFSET($R$3,0,0,'Données projet'!$E$9+1,1))-AVERAGE(OFFSET($H$3,0,0,'Données projet'!$E$9+1,1))</f>
        <v>270.18797004581819</v>
      </c>
      <c r="T105" s="59">
        <f t="shared" si="88"/>
        <v>246.88276293504617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31.424157656321068</v>
      </c>
      <c r="AA105" s="21">
        <f>EXP(-LN(2)/25)*AA104+(1-EXP(-LN(2)/25))/(LN(2)/25)*Calculateur!V105*Calculateur!X105*VLOOKUP('Données projet'!$B$9,Paramètres!$A$1:$I$89,3,0)*0.475*44/12</f>
        <v>69.399364912309096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100.82352256863017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2.9</v>
      </c>
      <c r="AI105" s="13">
        <f>IF('Données projet'!$A$62&gt;35,AI104+AH105-AQ104,IF(A105&lt;'Données projet'!$A$62,$AF$205^A105,IF(A105='Données projet'!$A$62,'Données projet'!$B$62,AI104+AH105-AQ104)))</f>
        <v>258.79999999999973</v>
      </c>
      <c r="AJ105" s="13">
        <f>AI105*VLOOKUP('Données projet'!$B$10,Paramètres!$A$1:$I$89,3,0)*VLOOKUP('Données projet'!$B$10,Paramètres!$A$1:$I$89,5,0)</f>
        <v>262.42319999999972</v>
      </c>
      <c r="AK105" s="13">
        <f t="shared" si="89"/>
        <v>63.238627062047733</v>
      </c>
      <c r="AL105" s="20">
        <f t="shared" si="58"/>
        <v>567.19434879973255</v>
      </c>
      <c r="AM105" s="59">
        <f t="shared" si="59"/>
        <v>860.52768213306581</v>
      </c>
      <c r="AN105" s="59">
        <f ca="1">AVERAGE(OFFSET($AM$3,0,0,'Données projet'!$E$10+1,1))-AVERAGE(OFFSET($H$3,0,0,'Données projet'!$E$10+1,1))</f>
        <v>374.01259415112554</v>
      </c>
      <c r="AO105" s="59">
        <f t="shared" si="90"/>
        <v>244.5696433180579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32.541090827666309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32.541090827666309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2.8421709430404007E-14</v>
      </c>
      <c r="BE105" s="13">
        <f>BD105*VLOOKUP('Données projet'!$B$11,Paramètres!$A$1:$I$89,3,0)*VLOOKUP('Données projet'!$B$11,Paramètres!$A$1:$I$89,5,0)</f>
        <v>2.3055690689943732E-14</v>
      </c>
      <c r="BF105" s="13">
        <f t="shared" si="91"/>
        <v>4.10868481342271E-13</v>
      </c>
      <c r="BG105" s="20">
        <f t="shared" si="61"/>
        <v>7.5575126628944061E-13</v>
      </c>
      <c r="BH105" s="59">
        <f t="shared" si="62"/>
        <v>293.33333333333405</v>
      </c>
      <c r="BI105" s="59">
        <f ca="1">AVERAGE(OFFSET($BH$3,0,0,'Données projet'!$E$11+1,1))-AVERAGE(OFFSET($H$3,0,0,'Données projet'!$E$11+1,1))</f>
        <v>252.20412072815043</v>
      </c>
      <c r="BJ105" s="59">
        <f t="shared" si="92"/>
        <v>208.19930959443013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56.588368027511265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56.588368027511265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20.149271999999982</v>
      </c>
      <c r="D106" s="11">
        <f t="shared" si="86"/>
        <v>6.5462959445103053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45.335631175940279</v>
      </c>
      <c r="H106" s="67">
        <f t="shared" si="56"/>
        <v>303.16144750335542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7.4723076923076972</v>
      </c>
      <c r="N106" s="13">
        <f>IF('Données projet'!$A$36&gt;35,N105+M106-V105,IF(A106&lt;'Données projet'!$A$36,$K$205^A106,IF(A106='Données projet'!$A$36,'Données projet'!$B$36,N105+M106-V105)))</f>
        <v>294.77076923076947</v>
      </c>
      <c r="O106" s="13">
        <f>N106*VLOOKUP('Données projet'!$B$9,Paramètres!$A$1:$I$89,3,0)*VLOOKUP('Données projet'!$B$9,Paramètres!$A$1:$I$89,5,0)</f>
        <v>137.95272000000011</v>
      </c>
      <c r="P106" s="13">
        <f t="shared" si="87"/>
        <v>35.827601045898568</v>
      </c>
      <c r="Q106" s="20">
        <f t="shared" si="107"/>
        <v>302.66739248827355</v>
      </c>
      <c r="R106" s="59">
        <f t="shared" si="55"/>
        <v>596.00072582160692</v>
      </c>
      <c r="S106" s="59">
        <f ca="1">AVERAGE(OFFSET($R$3,0,0,'Données projet'!$E$9+1,1))-AVERAGE(OFFSET($H$3,0,0,'Données projet'!$E$9+1,1))</f>
        <v>270.18797004581819</v>
      </c>
      <c r="T106" s="59">
        <f t="shared" si="88"/>
        <v>246.88276293504617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30.807949091524215</v>
      </c>
      <c r="AA106" s="21">
        <f>EXP(-LN(2)/25)*AA105+(1-EXP(-LN(2)/25))/(LN(2)/25)*Calculateur!V106*Calculateur!X106*VLOOKUP('Données projet'!$B$9,Paramètres!$A$1:$I$89,3,0)*0.475*44/12</f>
        <v>67.501635629228019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98.309584720752241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2.9</v>
      </c>
      <c r="AI106" s="13">
        <f>IF('Données projet'!$A$62&gt;35,AI105+AH106-AQ105,IF(A106&lt;'Données projet'!$A$62,$AF$205^A106,IF(A106='Données projet'!$A$62,'Données projet'!$B$62,AI105+AH106-AQ105)))</f>
        <v>261.6999999999997</v>
      </c>
      <c r="AJ106" s="13">
        <f>AI106*VLOOKUP('Données projet'!$B$10,Paramètres!$A$1:$I$89,3,0)*VLOOKUP('Données projet'!$B$10,Paramètres!$A$1:$I$89,5,0)</f>
        <v>265.36379999999974</v>
      </c>
      <c r="AK106" s="13">
        <f t="shared" si="89"/>
        <v>63.864361009518561</v>
      </c>
      <c r="AL106" s="20">
        <f t="shared" si="58"/>
        <v>573.40571375824436</v>
      </c>
      <c r="AM106" s="59">
        <f t="shared" si="59"/>
        <v>866.73904709157773</v>
      </c>
      <c r="AN106" s="59">
        <f ca="1">AVERAGE(OFFSET($AM$3,0,0,'Données projet'!$E$10+1,1))-AVERAGE(OFFSET($H$3,0,0,'Données projet'!$E$10+1,1))</f>
        <v>374.01259415112554</v>
      </c>
      <c r="AO106" s="59">
        <f t="shared" si="90"/>
        <v>244.5696433180579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31.90297988464134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31.90297988464134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2.8421709430404007E-14</v>
      </c>
      <c r="BE106" s="13">
        <f>BD106*VLOOKUP('Données projet'!$B$11,Paramètres!$A$1:$I$89,3,0)*VLOOKUP('Données projet'!$B$11,Paramètres!$A$1:$I$89,5,0)</f>
        <v>2.3055690689943732E-14</v>
      </c>
      <c r="BF106" s="13">
        <f t="shared" si="91"/>
        <v>4.10868481342271E-13</v>
      </c>
      <c r="BG106" s="20">
        <f t="shared" si="61"/>
        <v>7.5575126628944061E-13</v>
      </c>
      <c r="BH106" s="59">
        <f t="shared" si="62"/>
        <v>293.33333333333405</v>
      </c>
      <c r="BI106" s="59">
        <f ca="1">AVERAGE(OFFSET($BH$3,0,0,'Données projet'!$E$11+1,1))-AVERAGE(OFFSET($H$3,0,0,'Données projet'!$E$11+1,1))</f>
        <v>252.20412072815043</v>
      </c>
      <c r="BJ106" s="59">
        <f t="shared" si="92"/>
        <v>208.19930959443013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55.478704645988145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55.478704645988145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20.344895999999981</v>
      </c>
      <c r="D107" s="11">
        <f t="shared" si="86"/>
        <v>6.6024226477197621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45.763165703495986</v>
      </c>
      <c r="H107" s="67">
        <f t="shared" si="56"/>
        <v>303.59991331144522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7.4723076923076972</v>
      </c>
      <c r="N107" s="13">
        <f>IF('Données projet'!$A$36&gt;35,N106+M107-V106,IF(A107&lt;'Données projet'!$A$36,$K$205^A107,IF(A107='Données projet'!$A$36,'Données projet'!$B$36,N106+M107-V106)))</f>
        <v>302.24307692307718</v>
      </c>
      <c r="O107" s="13">
        <f>N107*VLOOKUP('Données projet'!$B$9,Paramètres!$A$1:$I$89,3,0)*VLOOKUP('Données projet'!$B$9,Paramètres!$A$1:$I$89,5,0)</f>
        <v>141.44976000000011</v>
      </c>
      <c r="P107" s="13">
        <f t="shared" si="87"/>
        <v>36.628925756112167</v>
      </c>
      <c r="Q107" s="20">
        <f t="shared" si="107"/>
        <v>310.15371102522892</v>
      </c>
      <c r="R107" s="59">
        <f t="shared" si="55"/>
        <v>603.48704435856223</v>
      </c>
      <c r="S107" s="59">
        <f ca="1">AVERAGE(OFFSET($R$3,0,0,'Données projet'!$E$9+1,1))-AVERAGE(OFFSET($H$3,0,0,'Données projet'!$E$9+1,1))</f>
        <v>270.18797004581819</v>
      </c>
      <c r="T107" s="59">
        <f t="shared" si="88"/>
        <v>246.88276293504617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30.203824000832913</v>
      </c>
      <c r="AA107" s="21">
        <f>EXP(-LN(2)/25)*AA106+(1-EXP(-LN(2)/25))/(LN(2)/25)*Calculateur!V107*Calculateur!X107*VLOOKUP('Données projet'!$B$9,Paramètres!$A$1:$I$89,3,0)*0.475*44/12</f>
        <v>65.655799853190032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95.859623854022942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2.9</v>
      </c>
      <c r="AI107" s="13">
        <f>IF('Données projet'!$A$62&gt;35,AI106+AH107-AQ106,IF(A107&lt;'Données projet'!$A$62,$AF$205^A107,IF(A107='Données projet'!$A$62,'Données projet'!$B$62,AI106+AH107-AQ106)))</f>
        <v>264.59999999999968</v>
      </c>
      <c r="AJ107" s="13">
        <f>AI107*VLOOKUP('Données projet'!$B$10,Paramètres!$A$1:$I$89,3,0)*VLOOKUP('Données projet'!$B$10,Paramètres!$A$1:$I$89,5,0)</f>
        <v>268.3043999999997</v>
      </c>
      <c r="AK107" s="13">
        <f t="shared" si="89"/>
        <v>64.489288341959309</v>
      </c>
      <c r="AL107" s="20">
        <f t="shared" si="58"/>
        <v>579.61567386224522</v>
      </c>
      <c r="AM107" s="59">
        <f t="shared" si="59"/>
        <v>872.94900719557859</v>
      </c>
      <c r="AN107" s="59">
        <f ca="1">AVERAGE(OFFSET($AM$3,0,0,'Données projet'!$E$10+1,1))-AVERAGE(OFFSET($H$3,0,0,'Données projet'!$E$10+1,1))</f>
        <v>374.01259415112554</v>
      </c>
      <c r="AO107" s="59">
        <f t="shared" si="90"/>
        <v>244.5696433180579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31.277381907999846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31.277381907999846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2.8421709430404007E-14</v>
      </c>
      <c r="BE107" s="13">
        <f>BD107*VLOOKUP('Données projet'!$B$11,Paramètres!$A$1:$I$89,3,0)*VLOOKUP('Données projet'!$B$11,Paramètres!$A$1:$I$89,5,0)</f>
        <v>2.3055690689943732E-14</v>
      </c>
      <c r="BF107" s="13">
        <f t="shared" si="91"/>
        <v>4.10868481342271E-13</v>
      </c>
      <c r="BG107" s="20">
        <f t="shared" si="61"/>
        <v>7.5575126628944061E-13</v>
      </c>
      <c r="BH107" s="59">
        <f t="shared" si="62"/>
        <v>293.33333333333405</v>
      </c>
      <c r="BI107" s="59">
        <f ca="1">AVERAGE(OFFSET($BH$3,0,0,'Données projet'!$E$11+1,1))-AVERAGE(OFFSET($H$3,0,0,'Données projet'!$E$11+1,1))</f>
        <v>252.20412072815043</v>
      </c>
      <c r="BJ107" s="59">
        <f t="shared" si="92"/>
        <v>208.19930959443013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54.390801086548862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54.390801086548862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20.540519999999979</v>
      </c>
      <c r="D108" s="11">
        <f t="shared" si="86"/>
        <v>6.6584865663140116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46.190593607354288</v>
      </c>
      <c r="H108" s="67">
        <f t="shared" si="56"/>
        <v>304.03826976966354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309.71538461538461</v>
      </c>
      <c r="L108" s="12">
        <f>VLOOKUP(A108,'Données projet'!$A$35:$I$55,9,0)</f>
        <v>7.4723076923076972</v>
      </c>
      <c r="M108" s="12">
        <f t="array" ref="M108">INDEX(L:L,MIN(IF(ISNUMBER(L108:L304),ROW(L108:L304),"")))</f>
        <v>7.4723076923076972</v>
      </c>
      <c r="N108" s="13">
        <f>IF('Données projet'!$A$36&gt;35,N107+M108-V107,IF(A108&lt;'Données projet'!$A$36,$K$205^A108,IF(A108='Données projet'!$A$36,'Données projet'!$B$36,N107+M108-V107)))</f>
        <v>309.71538461538489</v>
      </c>
      <c r="O108" s="13">
        <f>N108*VLOOKUP('Données projet'!$B$9,Paramètres!$A$1:$I$89,3,0)*VLOOKUP('Données projet'!$B$9,Paramètres!$A$1:$I$89,5,0)</f>
        <v>144.94680000000014</v>
      </c>
      <c r="P108" s="13">
        <f t="shared" si="87"/>
        <v>37.427947530076921</v>
      </c>
      <c r="Q108" s="20">
        <f t="shared" si="107"/>
        <v>317.63601861488416</v>
      </c>
      <c r="R108" s="59">
        <f t="shared" si="55"/>
        <v>610.96935194821754</v>
      </c>
      <c r="S108" s="59">
        <f ca="1">AVERAGE(OFFSET($R$3,0,0,'Données projet'!$E$9+1,1))-AVERAGE(OFFSET($H$3,0,0,'Données projet'!$E$9+1,1))</f>
        <v>270.18797004581819</v>
      </c>
      <c r="T108" s="59">
        <f t="shared" si="88"/>
        <v>246.88276293504617</v>
      </c>
      <c r="U108" s="15">
        <f>IF(ISNA(VLOOKUP(A108,'Données projet'!$A$35:$I$55,3,0)),0,VLOOKUP(A108,'Données projet'!$A$35:$I$55,3,0))</f>
        <v>19</v>
      </c>
      <c r="V108" s="15">
        <f>IF(ISNA(VLOOKUP(A108,'Données projet'!$A$35:$I$55,4,0)),0,VLOOKUP(A108,'Données projet'!$A$35:$I$55,4,0))</f>
        <v>309.71538461538461</v>
      </c>
      <c r="W108" s="16">
        <f>IF(ISNA(VLOOKUP(A108,'Données projet'!$A$35:$I$55,5,0)),0%,VLOOKUP(A108,'Données projet'!$A$35:$I$55,5,0)*VLOOKUP('Données projet'!$B$9,Paramètres!$A$1:$I$89,7,0))</f>
        <v>0.11000000000000001</v>
      </c>
      <c r="X108" s="16">
        <f>IF(ISNA(VLOOKUP(A108,'Données projet'!$A$35:$I$55,6,0)),0%,VLOOKUP(A108,'Données projet'!$A$35:$I$55,6,0)*VLOOKUP('Données projet'!$B$9,Paramètres!$A$1:$I$89,7,0))</f>
        <v>0.27500000000000002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50.762485443757583</v>
      </c>
      <c r="AA108" s="21">
        <f>EXP(-LN(2)/25)*AA107+(1-EXP(-LN(2)/25))/(LN(2)/25)*Calculateur!V108*Calculateur!X108*VLOOKUP('Données projet'!$B$9,Paramètres!$A$1:$I$89,3,0)*0.475*44/12</f>
        <v>116.52959030129551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167.2920757450531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2.9</v>
      </c>
      <c r="AI108" s="13">
        <f>IF('Données projet'!$A$62&gt;35,AI107+AH108-AQ107,IF(A108&lt;'Données projet'!$A$62,$AF$205^A108,IF(A108='Données projet'!$A$62,'Données projet'!$B$62,AI107+AH108-AQ107)))</f>
        <v>267.49999999999966</v>
      </c>
      <c r="AJ108" s="13">
        <f>AI108*VLOOKUP('Données projet'!$B$10,Paramètres!$A$1:$I$89,3,0)*VLOOKUP('Données projet'!$B$10,Paramètres!$A$1:$I$89,5,0)</f>
        <v>271.24499999999966</v>
      </c>
      <c r="AK108" s="13">
        <f t="shared" si="89"/>
        <v>65.113418922954651</v>
      </c>
      <c r="AL108" s="20">
        <f t="shared" si="58"/>
        <v>585.82424629081208</v>
      </c>
      <c r="AM108" s="59">
        <f t="shared" si="59"/>
        <v>879.15757962414546</v>
      </c>
      <c r="AN108" s="59">
        <f ca="1">AVERAGE(OFFSET($AM$3,0,0,'Données projet'!$E$10+1,1))-AVERAGE(OFFSET($H$3,0,0,'Données projet'!$E$10+1,1))</f>
        <v>374.01259415112554</v>
      </c>
      <c r="AO108" s="59">
        <f t="shared" si="90"/>
        <v>244.5696433180579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30.664051526103204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30.664051526103204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2.8421709430404007E-14</v>
      </c>
      <c r="BE108" s="13">
        <f>BD108*VLOOKUP('Données projet'!$B$11,Paramètres!$A$1:$I$89,3,0)*VLOOKUP('Données projet'!$B$11,Paramètres!$A$1:$I$89,5,0)</f>
        <v>2.3055690689943732E-14</v>
      </c>
      <c r="BF108" s="13">
        <f t="shared" si="91"/>
        <v>4.10868481342271E-13</v>
      </c>
      <c r="BG108" s="20">
        <f t="shared" si="61"/>
        <v>7.5575126628944061E-13</v>
      </c>
      <c r="BH108" s="59">
        <f t="shared" si="62"/>
        <v>293.33333333333405</v>
      </c>
      <c r="BI108" s="59">
        <f ca="1">AVERAGE(OFFSET($BH$3,0,0,'Données projet'!$E$11+1,1))-AVERAGE(OFFSET($H$3,0,0,'Données projet'!$E$11+1,1))</f>
        <v>252.20412072815043</v>
      </c>
      <c r="BJ108" s="59">
        <f t="shared" si="92"/>
        <v>208.19930959443013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53.32423065235453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53.32423065235453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20.736143999999978</v>
      </c>
      <c r="D109" s="11">
        <f t="shared" si="86"/>
        <v>6.7144883674933764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46.617916020585206</v>
      </c>
      <c r="H109" s="67">
        <f t="shared" si="56"/>
        <v>304.47651804005096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2.8421709430404007E-13</v>
      </c>
      <c r="O109" s="13">
        <f>N109*VLOOKUP('Données projet'!$B$9,Paramètres!$A$1:$I$89,3,0)*VLOOKUP('Données projet'!$B$9,Paramètres!$A$1:$I$89,5,0)</f>
        <v>1.3301360013429075E-13</v>
      </c>
      <c r="P109" s="13">
        <f t="shared" si="87"/>
        <v>1.9329766731057041E-12</v>
      </c>
      <c r="Q109" s="20">
        <f t="shared" si="107"/>
        <v>3.5982663925596575E-12</v>
      </c>
      <c r="R109" s="59">
        <f t="shared" si="55"/>
        <v>293.3333333333369</v>
      </c>
      <c r="S109" s="59">
        <f ca="1">AVERAGE(OFFSET($R$3,0,0,'Données projet'!$E$9+1,1))-AVERAGE(OFFSET($H$3,0,0,'Données projet'!$E$9+1,1))</f>
        <v>270.18797004581819</v>
      </c>
      <c r="T109" s="59">
        <f t="shared" si="88"/>
        <v>246.88276293504617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49.767064066264368</v>
      </c>
      <c r="AA109" s="21">
        <f>EXP(-LN(2)/25)*AA108+(1-EXP(-LN(2)/25))/(LN(2)/25)*Calculateur!V109*Calculateur!X109*VLOOKUP('Données projet'!$B$9,Paramètres!$A$1:$I$89,3,0)*0.475*44/12</f>
        <v>113.34308252648177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163.11014659274613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2.9</v>
      </c>
      <c r="AI109" s="13">
        <f>IF('Données projet'!$A$62&gt;35,AI108+AH109-AQ108,IF(A109&lt;'Données projet'!$A$62,$AF$205^A109,IF(A109='Données projet'!$A$62,'Données projet'!$B$62,AI108+AH109-AQ108)))</f>
        <v>270.39999999999964</v>
      </c>
      <c r="AJ109" s="13">
        <f>AI109*VLOOKUP('Données projet'!$B$10,Paramètres!$A$1:$I$89,3,0)*VLOOKUP('Données projet'!$B$10,Paramètres!$A$1:$I$89,5,0)</f>
        <v>274.18559999999962</v>
      </c>
      <c r="AK109" s="13">
        <f t="shared" si="89"/>
        <v>65.736762389907383</v>
      </c>
      <c r="AL109" s="20">
        <f t="shared" si="58"/>
        <v>592.03144782908805</v>
      </c>
      <c r="AM109" s="59">
        <f t="shared" si="59"/>
        <v>885.36478116242142</v>
      </c>
      <c r="AN109" s="59">
        <f ca="1">AVERAGE(OFFSET($AM$3,0,0,'Données projet'!$E$10+1,1))-AVERAGE(OFFSET($H$3,0,0,'Données projet'!$E$10+1,1))</f>
        <v>374.01259415112554</v>
      </c>
      <c r="AO109" s="59">
        <f t="shared" si="90"/>
        <v>244.5696433180579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30.062748178900961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30.062748178900961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2.8421709430404007E-14</v>
      </c>
      <c r="BE109" s="13">
        <f>BD109*VLOOKUP('Données projet'!$B$11,Paramètres!$A$1:$I$89,3,0)*VLOOKUP('Données projet'!$B$11,Paramètres!$A$1:$I$89,5,0)</f>
        <v>2.3055690689943732E-14</v>
      </c>
      <c r="BF109" s="13">
        <f t="shared" si="91"/>
        <v>4.10868481342271E-13</v>
      </c>
      <c r="BG109" s="20">
        <f t="shared" si="61"/>
        <v>7.5575126628944061E-13</v>
      </c>
      <c r="BH109" s="59">
        <f t="shared" si="62"/>
        <v>293.33333333333405</v>
      </c>
      <c r="BI109" s="59">
        <f ca="1">AVERAGE(OFFSET($BH$3,0,0,'Données projet'!$E$11+1,1))-AVERAGE(OFFSET($H$3,0,0,'Données projet'!$E$11+1,1))</f>
        <v>252.20412072815043</v>
      </c>
      <c r="BJ109" s="59">
        <f t="shared" si="92"/>
        <v>208.19930959443013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52.278575013831023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52.278575013831023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20.931767999999977</v>
      </c>
      <c r="D110" s="11">
        <f t="shared" si="86"/>
        <v>6.7704287051435657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47.045134053647281</v>
      </c>
      <c r="H110" s="67">
        <f t="shared" si="56"/>
        <v>304.91465926145838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2.8421709430404007E-13</v>
      </c>
      <c r="O110" s="13">
        <f>N110*VLOOKUP('Données projet'!$B$9,Paramètres!$A$1:$I$89,3,0)*VLOOKUP('Données projet'!$B$9,Paramètres!$A$1:$I$89,5,0)</f>
        <v>1.3301360013429075E-13</v>
      </c>
      <c r="P110" s="13">
        <f t="shared" si="87"/>
        <v>1.9329766731057041E-12</v>
      </c>
      <c r="Q110" s="20">
        <f t="shared" si="107"/>
        <v>3.5982663925596575E-12</v>
      </c>
      <c r="R110" s="59">
        <f t="shared" si="55"/>
        <v>293.3333333333369</v>
      </c>
      <c r="S110" s="59">
        <f ca="1">AVERAGE(OFFSET($R$3,0,0,'Données projet'!$E$9+1,1))-AVERAGE(OFFSET($H$3,0,0,'Données projet'!$E$9+1,1))</f>
        <v>270.18797004581819</v>
      </c>
      <c r="T110" s="59">
        <f t="shared" si="88"/>
        <v>246.88276293504617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48.791162294836703</v>
      </c>
      <c r="AA110" s="21">
        <f>EXP(-LN(2)/25)*AA109+(1-EXP(-LN(2)/25))/(LN(2)/25)*Calculateur!V110*Calculateur!X110*VLOOKUP('Données projet'!$B$9,Paramètres!$A$1:$I$89,3,0)*0.475*44/12</f>
        <v>110.24370997434146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159.03487226917815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2.9</v>
      </c>
      <c r="AI110" s="13">
        <f>IF('Données projet'!$A$62&gt;35,AI109+AH110-AQ109,IF(A110&lt;'Données projet'!$A$62,$AF$205^A110,IF(A110='Données projet'!$A$62,'Données projet'!$B$62,AI109+AH110-AQ109)))</f>
        <v>273.29999999999961</v>
      </c>
      <c r="AJ110" s="13">
        <f>AI110*VLOOKUP('Données projet'!$B$10,Paramètres!$A$1:$I$89,3,0)*VLOOKUP('Données projet'!$B$10,Paramètres!$A$1:$I$89,5,0)</f>
        <v>277.12619999999964</v>
      </c>
      <c r="AK110" s="13">
        <f t="shared" si="89"/>
        <v>66.359328161593666</v>
      </c>
      <c r="AL110" s="20">
        <f t="shared" si="58"/>
        <v>598.2372948814417</v>
      </c>
      <c r="AM110" s="59">
        <f t="shared" si="59"/>
        <v>891.57062821477507</v>
      </c>
      <c r="AN110" s="59">
        <f ca="1">AVERAGE(OFFSET($AM$3,0,0,'Données projet'!$E$10+1,1))-AVERAGE(OFFSET($H$3,0,0,'Données projet'!$E$10+1,1))</f>
        <v>374.01259415112554</v>
      </c>
      <c r="AO110" s="59">
        <f t="shared" si="90"/>
        <v>244.5696433180579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29.473236023578526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29.473236023578526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2.8421709430404007E-14</v>
      </c>
      <c r="BE110" s="13">
        <f>BD110*VLOOKUP('Données projet'!$B$11,Paramètres!$A$1:$I$89,3,0)*VLOOKUP('Données projet'!$B$11,Paramètres!$A$1:$I$89,5,0)</f>
        <v>2.3055690689943732E-14</v>
      </c>
      <c r="BF110" s="13">
        <f t="shared" si="91"/>
        <v>4.10868481342271E-13</v>
      </c>
      <c r="BG110" s="20">
        <f t="shared" si="61"/>
        <v>7.5575126628944061E-13</v>
      </c>
      <c r="BH110" s="59">
        <f t="shared" si="62"/>
        <v>293.33333333333405</v>
      </c>
      <c r="BI110" s="59">
        <f ca="1">AVERAGE(OFFSET($BH$3,0,0,'Données projet'!$E$11+1,1))-AVERAGE(OFFSET($H$3,0,0,'Données projet'!$E$11+1,1))</f>
        <v>252.20412072815043</v>
      </c>
      <c r="BJ110" s="59">
        <f t="shared" si="92"/>
        <v>208.19930959443013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51.253424044591995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51.253424044591995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21.127391999999976</v>
      </c>
      <c r="D111" s="11">
        <f t="shared" si="86"/>
        <v>6.8263082202232654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47.472248795045793</v>
      </c>
      <c r="H111" s="67">
        <f t="shared" si="56"/>
        <v>305.35269455022217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2.8421709430404007E-13</v>
      </c>
      <c r="O111" s="13">
        <f>N111*VLOOKUP('Données projet'!$B$9,Paramètres!$A$1:$I$89,3,0)*VLOOKUP('Données projet'!$B$9,Paramètres!$A$1:$I$89,5,0)</f>
        <v>1.3301360013429075E-13</v>
      </c>
      <c r="P111" s="13">
        <f t="shared" si="87"/>
        <v>1.9329766731057041E-12</v>
      </c>
      <c r="Q111" s="20">
        <f t="shared" si="107"/>
        <v>3.5982663925596575E-12</v>
      </c>
      <c r="R111" s="59">
        <f t="shared" si="55"/>
        <v>293.3333333333369</v>
      </c>
      <c r="S111" s="59">
        <f ca="1">AVERAGE(OFFSET($R$3,0,0,'Données projet'!$E$9+1,1))-AVERAGE(OFFSET($H$3,0,0,'Données projet'!$E$9+1,1))</f>
        <v>270.18797004581819</v>
      </c>
      <c r="T111" s="59">
        <f t="shared" si="88"/>
        <v>246.88276293504617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47.834397361905431</v>
      </c>
      <c r="AA111" s="21">
        <f>EXP(-LN(2)/25)*AA110+(1-EXP(-LN(2)/25))/(LN(2)/25)*Calculateur!V111*Calculateur!X111*VLOOKUP('Données projet'!$B$9,Paramètres!$A$1:$I$89,3,0)*0.475*44/12</f>
        <v>107.22908992762835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155.06348728953378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2.9</v>
      </c>
      <c r="AI111" s="13">
        <f>IF('Données projet'!$A$62&gt;35,AI110+AH111-AQ110,IF(A111&lt;'Données projet'!$A$62,$AF$205^A111,IF(A111='Données projet'!$A$62,'Données projet'!$B$62,AI110+AH111-AQ110)))</f>
        <v>276.19999999999959</v>
      </c>
      <c r="AJ111" s="13">
        <f>AI111*VLOOKUP('Données projet'!$B$10,Paramètres!$A$1:$I$89,3,0)*VLOOKUP('Données projet'!$B$10,Paramètres!$A$1:$I$89,5,0)</f>
        <v>280.0667999999996</v>
      </c>
      <c r="AK111" s="13">
        <f t="shared" si="89"/>
        <v>66.981125445388813</v>
      </c>
      <c r="AL111" s="20">
        <f t="shared" si="58"/>
        <v>604.44180348405132</v>
      </c>
      <c r="AM111" s="59">
        <f t="shared" si="59"/>
        <v>897.77513681738469</v>
      </c>
      <c r="AN111" s="59">
        <f ca="1">AVERAGE(OFFSET($AM$3,0,0,'Données projet'!$E$10+1,1))-AVERAGE(OFFSET($H$3,0,0,'Données projet'!$E$10+1,1))</f>
        <v>374.01259415112554</v>
      </c>
      <c r="AO111" s="59">
        <f t="shared" si="90"/>
        <v>244.5696433180579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28.895283842055054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28.895283842055054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2.8421709430404007E-14</v>
      </c>
      <c r="BE111" s="13">
        <f>BD111*VLOOKUP('Données projet'!$B$11,Paramètres!$A$1:$I$89,3,0)*VLOOKUP('Données projet'!$B$11,Paramètres!$A$1:$I$89,5,0)</f>
        <v>2.3055690689943732E-14</v>
      </c>
      <c r="BF111" s="13">
        <f t="shared" si="91"/>
        <v>4.10868481342271E-13</v>
      </c>
      <c r="BG111" s="20">
        <f t="shared" si="61"/>
        <v>7.5575126628944061E-13</v>
      </c>
      <c r="BH111" s="59">
        <f t="shared" si="62"/>
        <v>293.33333333333405</v>
      </c>
      <c r="BI111" s="59">
        <f ca="1">AVERAGE(OFFSET($BH$3,0,0,'Données projet'!$E$11+1,1))-AVERAGE(OFFSET($H$3,0,0,'Données projet'!$E$11+1,1))</f>
        <v>252.20412072815043</v>
      </c>
      <c r="BJ111" s="59">
        <f t="shared" si="92"/>
        <v>208.19930959443013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50.248375660579399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50.248375660579399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21.323015999999974</v>
      </c>
      <c r="D112" s="11">
        <f t="shared" si="86"/>
        <v>6.8821275411369847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47.899261311965923</v>
      </c>
      <c r="H112" s="67">
        <f t="shared" si="56"/>
        <v>305.79062500081358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2.8421709430404007E-13</v>
      </c>
      <c r="O112" s="13">
        <f>N112*VLOOKUP('Données projet'!$B$9,Paramètres!$A$1:$I$89,3,0)*VLOOKUP('Données projet'!$B$9,Paramètres!$A$1:$I$89,5,0)</f>
        <v>1.3301360013429075E-13</v>
      </c>
      <c r="P112" s="13">
        <f t="shared" si="87"/>
        <v>1.9329766731057041E-12</v>
      </c>
      <c r="Q112" s="20">
        <f t="shared" si="107"/>
        <v>3.5982663925596575E-12</v>
      </c>
      <c r="R112" s="59">
        <f t="shared" si="55"/>
        <v>293.3333333333369</v>
      </c>
      <c r="S112" s="59">
        <f ca="1">AVERAGE(OFFSET($R$3,0,0,'Données projet'!$E$9+1,1))-AVERAGE(OFFSET($H$3,0,0,'Données projet'!$E$9+1,1))</f>
        <v>270.18797004581819</v>
      </c>
      <c r="T112" s="59">
        <f t="shared" si="88"/>
        <v>246.88276293504617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46.896394005739957</v>
      </c>
      <c r="AA112" s="21">
        <f>EXP(-LN(2)/25)*AA111+(1-EXP(-LN(2)/25))/(LN(2)/25)*Calculateur!V112*Calculateur!X112*VLOOKUP('Données projet'!$B$9,Paramètres!$A$1:$I$89,3,0)*0.475*44/12</f>
        <v>104.29690482462459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151.19329883036454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2.9</v>
      </c>
      <c r="AI112" s="13">
        <f>IF('Données projet'!$A$62&gt;35,AI111+AH112-AQ111,IF(A112&lt;'Données projet'!$A$62,$AF$205^A112,IF(A112='Données projet'!$A$62,'Données projet'!$B$62,AI111+AH112-AQ111)))</f>
        <v>279.09999999999957</v>
      </c>
      <c r="AJ112" s="13">
        <f>AI112*VLOOKUP('Données projet'!$B$10,Paramètres!$A$1:$I$89,3,0)*VLOOKUP('Données projet'!$B$10,Paramètres!$A$1:$I$89,5,0)</f>
        <v>283.00739999999962</v>
      </c>
      <c r="AK112" s="13">
        <f t="shared" si="89"/>
        <v>67.602163244181128</v>
      </c>
      <c r="AL112" s="20">
        <f t="shared" si="58"/>
        <v>610.64498931694811</v>
      </c>
      <c r="AM112" s="59">
        <f t="shared" si="59"/>
        <v>903.97832265028137</v>
      </c>
      <c r="AN112" s="59">
        <f ca="1">AVERAGE(OFFSET($AM$3,0,0,'Données projet'!$E$10+1,1))-AVERAGE(OFFSET($H$3,0,0,'Données projet'!$E$10+1,1))</f>
        <v>374.01259415112554</v>
      </c>
      <c r="AO112" s="59">
        <f t="shared" si="90"/>
        <v>244.5696433180579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28.328664950295234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28.328664950295234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2.8421709430404007E-14</v>
      </c>
      <c r="BE112" s="13">
        <f>BD112*VLOOKUP('Données projet'!$B$11,Paramètres!$A$1:$I$89,3,0)*VLOOKUP('Données projet'!$B$11,Paramètres!$A$1:$I$89,5,0)</f>
        <v>2.3055690689943732E-14</v>
      </c>
      <c r="BF112" s="13">
        <f t="shared" si="91"/>
        <v>4.10868481342271E-13</v>
      </c>
      <c r="BG112" s="20">
        <f t="shared" si="61"/>
        <v>7.5575126628944061E-13</v>
      </c>
      <c r="BH112" s="59">
        <f t="shared" si="62"/>
        <v>293.33333333333405</v>
      </c>
      <c r="BI112" s="59">
        <f ca="1">AVERAGE(OFFSET($BH$3,0,0,'Données projet'!$E$11+1,1))-AVERAGE(OFFSET($H$3,0,0,'Données projet'!$E$11+1,1))</f>
        <v>252.20412072815043</v>
      </c>
      <c r="BJ112" s="59">
        <f t="shared" si="92"/>
        <v>208.19930959443013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49.263035662358305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49.263035662358305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21.518639999999973</v>
      </c>
      <c r="D113" s="11">
        <f t="shared" si="86"/>
        <v>6.9378872840938071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48.326172650882079</v>
      </c>
      <c r="H113" s="67">
        <f t="shared" si="56"/>
        <v>306.22845168646336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2.8421709430404007E-13</v>
      </c>
      <c r="O113" s="13">
        <f>N113*VLOOKUP('Données projet'!$B$9,Paramètres!$A$1:$I$89,3,0)*VLOOKUP('Données projet'!$B$9,Paramètres!$A$1:$I$89,5,0)</f>
        <v>1.3301360013429075E-13</v>
      </c>
      <c r="P113" s="13">
        <f t="shared" si="87"/>
        <v>1.9329766731057041E-12</v>
      </c>
      <c r="Q113" s="20">
        <f t="shared" si="107"/>
        <v>3.5982663925596575E-12</v>
      </c>
      <c r="R113" s="59">
        <f t="shared" si="55"/>
        <v>293.3333333333369</v>
      </c>
      <c r="S113" s="59">
        <f ca="1">AVERAGE(OFFSET($R$3,0,0,'Données projet'!$E$9+1,1))-AVERAGE(OFFSET($H$3,0,0,'Données projet'!$E$9+1,1))</f>
        <v>270.18797004581819</v>
      </c>
      <c r="T113" s="59">
        <f t="shared" si="88"/>
        <v>246.88276293504617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45.976784323263331</v>
      </c>
      <c r="AA113" s="21">
        <f>EXP(-LN(2)/25)*AA112+(1-EXP(-LN(2)/25))/(LN(2)/25)*Calculateur!V113*Calculateur!X113*VLOOKUP('Données projet'!$B$9,Paramètres!$A$1:$I$89,3,0)*0.475*44/12</f>
        <v>101.44490047745938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147.42168480072272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282</v>
      </c>
      <c r="AG113" s="12">
        <f>VLOOKUP(A113,'Données projet'!$A$61:$I$81,9,0)</f>
        <v>2.9</v>
      </c>
      <c r="AH113" s="12">
        <f t="array" ref="AH113">INDEX(AG:AG,MIN(IF(ISNUMBER(AG113:AG309),ROW(AG113:AG309),"")))</f>
        <v>2.9</v>
      </c>
      <c r="AI113" s="13">
        <f>IF('Données projet'!$A$62&gt;35,AI112+AH113-AQ112,IF(A113&lt;'Données projet'!$A$62,$AF$205^A113,IF(A113='Données projet'!$A$62,'Données projet'!$B$62,AI112+AH113-AQ112)))</f>
        <v>281.99999999999955</v>
      </c>
      <c r="AJ113" s="13">
        <f>AI113*VLOOKUP('Données projet'!$B$10,Paramètres!$A$1:$I$89,3,0)*VLOOKUP('Données projet'!$B$10,Paramètres!$A$1:$I$89,5,0)</f>
        <v>285.94799999999952</v>
      </c>
      <c r="AK113" s="13">
        <f t="shared" si="89"/>
        <v>68.222450362989306</v>
      </c>
      <c r="AL113" s="20">
        <f t="shared" si="58"/>
        <v>616.84686771553891</v>
      </c>
      <c r="AM113" s="59">
        <f t="shared" si="59"/>
        <v>910.18020104887228</v>
      </c>
      <c r="AN113" s="59">
        <f ca="1">AVERAGE(OFFSET($AM$3,0,0,'Données projet'!$E$10+1,1))-AVERAGE(OFFSET($H$3,0,0,'Données projet'!$E$10+1,1))</f>
        <v>374.01259415112554</v>
      </c>
      <c r="AO113" s="59">
        <f t="shared" si="90"/>
        <v>244.5696433180579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17</v>
      </c>
      <c r="AR113" s="16">
        <f>IF(ISNA(VLOOKUP(A113,'Données projet'!$A$61:$I$81,5,0)),0%,VLOOKUP(A113,'Données projet'!$A$61:$I$81,5,0)*VLOOKUP('Données projet'!$B$10,Paramètres!$A$1:$I$89,7,0))</f>
        <v>0.25800000000000001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32.689630497215788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32.689630497215788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2.8421709430404007E-14</v>
      </c>
      <c r="BE113" s="13">
        <f>BD113*VLOOKUP('Données projet'!$B$11,Paramètres!$A$1:$I$89,3,0)*VLOOKUP('Données projet'!$B$11,Paramètres!$A$1:$I$89,5,0)</f>
        <v>2.3055690689943732E-14</v>
      </c>
      <c r="BF113" s="13">
        <f t="shared" si="91"/>
        <v>4.10868481342271E-13</v>
      </c>
      <c r="BG113" s="20">
        <f t="shared" si="61"/>
        <v>7.5575126628944061E-13</v>
      </c>
      <c r="BH113" s="59">
        <f t="shared" si="62"/>
        <v>293.33333333333405</v>
      </c>
      <c r="BI113" s="59">
        <f ca="1">AVERAGE(OFFSET($BH$3,0,0,'Données projet'!$E$11+1,1))-AVERAGE(OFFSET($H$3,0,0,'Données projet'!$E$11+1,1))</f>
        <v>252.20412072815043</v>
      </c>
      <c r="BJ113" s="59">
        <f t="shared" si="92"/>
        <v>208.19930959443013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48.297017580504267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48.297017580504267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21.714263999999972</v>
      </c>
      <c r="D114" s="11">
        <f t="shared" si="86"/>
        <v>6.9935880534527417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48.752983838144253</v>
      </c>
      <c r="H114" s="67">
        <f t="shared" si="56"/>
        <v>306.6661756597635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2.8421709430404007E-13</v>
      </c>
      <c r="O114" s="13">
        <f>N114*VLOOKUP('Données projet'!$B$9,Paramètres!$A$1:$I$89,3,0)*VLOOKUP('Données projet'!$B$9,Paramètres!$A$1:$I$89,5,0)</f>
        <v>1.3301360013429075E-13</v>
      </c>
      <c r="P114" s="13">
        <f t="shared" si="87"/>
        <v>1.9329766731057041E-12</v>
      </c>
      <c r="Q114" s="20">
        <f t="shared" si="107"/>
        <v>3.5982663925596575E-12</v>
      </c>
      <c r="R114" s="59">
        <f t="shared" si="55"/>
        <v>293.3333333333369</v>
      </c>
      <c r="S114" s="59">
        <f ca="1">AVERAGE(OFFSET($R$3,0,0,'Données projet'!$E$9+1,1))-AVERAGE(OFFSET($H$3,0,0,'Données projet'!$E$9+1,1))</f>
        <v>270.18797004581819</v>
      </c>
      <c r="T114" s="59">
        <f t="shared" si="88"/>
        <v>246.88276293504617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45.075207625753549</v>
      </c>
      <c r="AA114" s="21">
        <f>EXP(-LN(2)/25)*AA113+(1-EXP(-LN(2)/25))/(LN(2)/25)*Calculateur!V114*Calculateur!X114*VLOOKUP('Données projet'!$B$9,Paramètres!$A$1:$I$89,3,0)*0.475*44/12</f>
        <v>98.670884339147804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143.74609196490135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2.5</v>
      </c>
      <c r="AI114" s="13">
        <f>IF('Données projet'!$A$62&gt;35,AI113+AH114-AQ113,IF(A114&lt;'Données projet'!$A$62,$AF$205^A114,IF(A114='Données projet'!$A$62,'Données projet'!$B$62,AI113+AH114-AQ113)))</f>
        <v>267.49999999999955</v>
      </c>
      <c r="AJ114" s="13">
        <f>AI114*VLOOKUP('Données projet'!$B$10,Paramètres!$A$1:$I$89,3,0)*VLOOKUP('Données projet'!$B$10,Paramètres!$A$1:$I$89,5,0)</f>
        <v>271.24499999999955</v>
      </c>
      <c r="AK114" s="13">
        <f t="shared" si="89"/>
        <v>65.113418922954651</v>
      </c>
      <c r="AL114" s="20">
        <f t="shared" si="58"/>
        <v>585.82424629081186</v>
      </c>
      <c r="AM114" s="59">
        <f t="shared" si="59"/>
        <v>879.15757962414523</v>
      </c>
      <c r="AN114" s="59">
        <f ca="1">AVERAGE(OFFSET($AM$3,0,0,'Données projet'!$E$10+1,1))-AVERAGE(OFFSET($H$3,0,0,'Données projet'!$E$10+1,1))</f>
        <v>374.01259415112554</v>
      </c>
      <c r="AO114" s="59">
        <f t="shared" si="90"/>
        <v>244.5696433180579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32.048606781871207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32.048606781871207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2.8421709430404007E-14</v>
      </c>
      <c r="BE114" s="13">
        <f>BD114*VLOOKUP('Données projet'!$B$11,Paramètres!$A$1:$I$89,3,0)*VLOOKUP('Données projet'!$B$11,Paramètres!$A$1:$I$89,5,0)</f>
        <v>2.3055690689943732E-14</v>
      </c>
      <c r="BF114" s="13">
        <f t="shared" si="91"/>
        <v>4.10868481342271E-13</v>
      </c>
      <c r="BG114" s="20">
        <f t="shared" si="61"/>
        <v>7.5575126628944061E-13</v>
      </c>
      <c r="BH114" s="59">
        <f t="shared" si="62"/>
        <v>293.33333333333405</v>
      </c>
      <c r="BI114" s="59">
        <f ca="1">AVERAGE(OFFSET($BH$3,0,0,'Données projet'!$E$11+1,1))-AVERAGE(OFFSET($H$3,0,0,'Données projet'!$E$11+1,1))</f>
        <v>252.20412072815043</v>
      </c>
      <c r="BJ114" s="59">
        <f t="shared" si="92"/>
        <v>208.19930959443013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47.349942524022538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47.349942524022538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21.90988799999997</v>
      </c>
      <c r="D115" s="11">
        <f t="shared" si="86"/>
        <v>7.0492304420552605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49.179695880542916</v>
      </c>
      <c r="H115" s="67">
        <f t="shared" si="56"/>
        <v>307.10379795324621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2.8421709430404007E-13</v>
      </c>
      <c r="O115" s="13">
        <f>N115*VLOOKUP('Données projet'!$B$9,Paramètres!$A$1:$I$89,3,0)*VLOOKUP('Données projet'!$B$9,Paramètres!$A$1:$I$89,5,0)</f>
        <v>1.3301360013429075E-13</v>
      </c>
      <c r="P115" s="13">
        <f t="shared" si="87"/>
        <v>1.9329766731057041E-12</v>
      </c>
      <c r="Q115" s="20">
        <f t="shared" si="107"/>
        <v>3.5982663925596575E-12</v>
      </c>
      <c r="R115" s="59">
        <f t="shared" si="55"/>
        <v>293.3333333333369</v>
      </c>
      <c r="S115" s="59">
        <f ca="1">AVERAGE(OFFSET($R$3,0,0,'Données projet'!$E$9+1,1))-AVERAGE(OFFSET($H$3,0,0,'Données projet'!$E$9+1,1))</f>
        <v>270.18797004581819</v>
      </c>
      <c r="T115" s="59">
        <f t="shared" si="88"/>
        <v>246.88276293504617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44.19131029737445</v>
      </c>
      <c r="AA115" s="21">
        <f>EXP(-LN(2)/25)*AA114+(1-EXP(-LN(2)/25))/(LN(2)/25)*Calculateur!V115*Calculateur!X115*VLOOKUP('Données projet'!$B$9,Paramètres!$A$1:$I$89,3,0)*0.475*44/12</f>
        <v>95.972723818017514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140.16403411539196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2.5</v>
      </c>
      <c r="AI115" s="13">
        <f>IF('Données projet'!$A$62&gt;35,AI114+AH115-AQ114,IF(A115&lt;'Données projet'!$A$62,$AF$205^A115,IF(A115='Données projet'!$A$62,'Données projet'!$B$62,AI114+AH115-AQ114)))</f>
        <v>269.99999999999955</v>
      </c>
      <c r="AJ115" s="13">
        <f>AI115*VLOOKUP('Données projet'!$B$10,Paramètres!$A$1:$I$89,3,0)*VLOOKUP('Données projet'!$B$10,Paramètres!$A$1:$I$89,5,0)</f>
        <v>273.77999999999957</v>
      </c>
      <c r="AK115" s="13">
        <f t="shared" si="89"/>
        <v>65.650830427167378</v>
      </c>
      <c r="AL115" s="20">
        <f t="shared" si="58"/>
        <v>591.17536299398239</v>
      </c>
      <c r="AM115" s="59">
        <f t="shared" si="59"/>
        <v>884.50869632731565</v>
      </c>
      <c r="AN115" s="59">
        <f ca="1">AVERAGE(OFFSET($AM$3,0,0,'Données projet'!$E$10+1,1))-AVERAGE(OFFSET($H$3,0,0,'Données projet'!$E$10+1,1))</f>
        <v>374.01259415112554</v>
      </c>
      <c r="AO115" s="59">
        <f t="shared" si="90"/>
        <v>244.5696433180579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31.420153150598672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31.420153150598672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2.8421709430404007E-14</v>
      </c>
      <c r="BE115" s="13">
        <f>BD115*VLOOKUP('Données projet'!$B$11,Paramètres!$A$1:$I$89,3,0)*VLOOKUP('Données projet'!$B$11,Paramètres!$A$1:$I$89,5,0)</f>
        <v>2.3055690689943732E-14</v>
      </c>
      <c r="BF115" s="13">
        <f t="shared" si="91"/>
        <v>4.10868481342271E-13</v>
      </c>
      <c r="BG115" s="20">
        <f t="shared" si="61"/>
        <v>7.5575126628944061E-13</v>
      </c>
      <c r="BH115" s="59">
        <f t="shared" si="62"/>
        <v>293.33333333333405</v>
      </c>
      <c r="BI115" s="59">
        <f ca="1">AVERAGE(OFFSET($BH$3,0,0,'Données projet'!$E$11+1,1))-AVERAGE(OFFSET($H$3,0,0,'Données projet'!$E$11+1,1))</f>
        <v>252.20412072815043</v>
      </c>
      <c r="BJ115" s="59">
        <f t="shared" si="92"/>
        <v>208.19930959443013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46.421439031739673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46.421439031739673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22.105511999999969</v>
      </c>
      <c r="D116" s="11">
        <f t="shared" si="86"/>
        <v>7.1048150315456313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49.606309765852878</v>
      </c>
      <c r="H116" s="67">
        <f t="shared" si="56"/>
        <v>307.54131957994196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2.8421709430404007E-13</v>
      </c>
      <c r="O116" s="13">
        <f>N116*VLOOKUP('Données projet'!$B$9,Paramètres!$A$1:$I$89,3,0)*VLOOKUP('Données projet'!$B$9,Paramètres!$A$1:$I$89,5,0)</f>
        <v>1.3301360013429075E-13</v>
      </c>
      <c r="P116" s="13">
        <f t="shared" si="87"/>
        <v>1.9329766731057041E-12</v>
      </c>
      <c r="Q116" s="20">
        <f t="shared" si="107"/>
        <v>3.5982663925596575E-12</v>
      </c>
      <c r="R116" s="59">
        <f t="shared" si="55"/>
        <v>293.3333333333369</v>
      </c>
      <c r="S116" s="59">
        <f ca="1">AVERAGE(OFFSET($R$3,0,0,'Données projet'!$E$9+1,1))-AVERAGE(OFFSET($H$3,0,0,'Données projet'!$E$9+1,1))</f>
        <v>270.18797004581819</v>
      </c>
      <c r="T116" s="59">
        <f t="shared" si="88"/>
        <v>246.88276293504617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43.324745656480729</v>
      </c>
      <c r="AA116" s="21">
        <f>EXP(-LN(2)/25)*AA115+(1-EXP(-LN(2)/25))/(LN(2)/25)*Calculateur!V116*Calculateur!X116*VLOOKUP('Données projet'!$B$9,Paramètres!$A$1:$I$89,3,0)*0.475*44/12</f>
        <v>93.34834463822763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136.67309029470835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2.5</v>
      </c>
      <c r="AI116" s="13">
        <f>IF('Données projet'!$A$62&gt;35,AI115+AH116-AQ115,IF(A116&lt;'Données projet'!$A$62,$AF$205^A116,IF(A116='Données projet'!$A$62,'Données projet'!$B$62,AI115+AH116-AQ115)))</f>
        <v>272.49999999999955</v>
      </c>
      <c r="AJ116" s="13">
        <f>AI116*VLOOKUP('Données projet'!$B$10,Paramètres!$A$1:$I$89,3,0)*VLOOKUP('Données projet'!$B$10,Paramètres!$A$1:$I$89,5,0)</f>
        <v>276.31499999999954</v>
      </c>
      <c r="AK116" s="13">
        <f t="shared" si="89"/>
        <v>66.187663024472272</v>
      </c>
      <c r="AL116" s="20">
        <f t="shared" si="58"/>
        <v>596.52547143428831</v>
      </c>
      <c r="AM116" s="59">
        <f t="shared" si="59"/>
        <v>889.85880476762168</v>
      </c>
      <c r="AN116" s="59">
        <f ca="1">AVERAGE(OFFSET($AM$3,0,0,'Données projet'!$E$10+1,1))-AVERAGE(OFFSET($H$3,0,0,'Données projet'!$E$10+1,1))</f>
        <v>374.01259415112554</v>
      </c>
      <c r="AO116" s="59">
        <f t="shared" si="90"/>
        <v>244.5696433180579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30.804023111716528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30.804023111716528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2.8421709430404007E-14</v>
      </c>
      <c r="BE116" s="13">
        <f>BD116*VLOOKUP('Données projet'!$B$11,Paramètres!$A$1:$I$89,3,0)*VLOOKUP('Données projet'!$B$11,Paramètres!$A$1:$I$89,5,0)</f>
        <v>2.3055690689943732E-14</v>
      </c>
      <c r="BF116" s="13">
        <f t="shared" si="91"/>
        <v>4.10868481342271E-13</v>
      </c>
      <c r="BG116" s="20">
        <f t="shared" si="61"/>
        <v>7.5575126628944061E-13</v>
      </c>
      <c r="BH116" s="59">
        <f t="shared" si="62"/>
        <v>293.33333333333405</v>
      </c>
      <c r="BI116" s="59">
        <f ca="1">AVERAGE(OFFSET($BH$3,0,0,'Données projet'!$E$11+1,1))-AVERAGE(OFFSET($H$3,0,0,'Données projet'!$E$11+1,1))</f>
        <v>252.20412072815043</v>
      </c>
      <c r="BJ116" s="59">
        <f t="shared" si="92"/>
        <v>208.19930959443013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45.511142926609267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45.511142926609267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22.301135999999968</v>
      </c>
      <c r="D117" s="11">
        <f t="shared" si="86"/>
        <v>7.1603423926795804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50.032826463357559</v>
      </c>
      <c r="H117" s="67">
        <f t="shared" si="56"/>
        <v>307.97874153391689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2.8421709430404007E-13</v>
      </c>
      <c r="O117" s="13">
        <f>N117*VLOOKUP('Données projet'!$B$9,Paramètres!$A$1:$I$89,3,0)*VLOOKUP('Données projet'!$B$9,Paramètres!$A$1:$I$89,5,0)</f>
        <v>1.3301360013429075E-13</v>
      </c>
      <c r="P117" s="13">
        <f t="shared" si="87"/>
        <v>1.9329766731057041E-12</v>
      </c>
      <c r="Q117" s="20">
        <f t="shared" si="107"/>
        <v>3.5982663925596575E-12</v>
      </c>
      <c r="R117" s="59">
        <f t="shared" si="55"/>
        <v>293.3333333333369</v>
      </c>
      <c r="S117" s="59">
        <f ca="1">AVERAGE(OFFSET($R$3,0,0,'Données projet'!$E$9+1,1))-AVERAGE(OFFSET($H$3,0,0,'Données projet'!$E$9+1,1))</f>
        <v>270.18797004581819</v>
      </c>
      <c r="T117" s="59">
        <f t="shared" si="88"/>
        <v>246.88276293504617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42.475173819642691</v>
      </c>
      <c r="AA117" s="21">
        <f>EXP(-LN(2)/25)*AA116+(1-EXP(-LN(2)/25))/(LN(2)/25)*Calculateur!V117*Calculateur!X117*VLOOKUP('Données projet'!$B$9,Paramètres!$A$1:$I$89,3,0)*0.475*44/12</f>
        <v>90.795729245119205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133.27090306476191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2.5</v>
      </c>
      <c r="AI117" s="13">
        <f>IF('Données projet'!$A$62&gt;35,AI116+AH117-AQ116,IF(A117&lt;'Données projet'!$A$62,$AF$205^A117,IF(A117='Données projet'!$A$62,'Données projet'!$B$62,AI116+AH117-AQ116)))</f>
        <v>274.99999999999955</v>
      </c>
      <c r="AJ117" s="13">
        <f>AI117*VLOOKUP('Données projet'!$B$10,Paramètres!$A$1:$I$89,3,0)*VLOOKUP('Données projet'!$B$10,Paramètres!$A$1:$I$89,5,0)</f>
        <v>278.84999999999957</v>
      </c>
      <c r="AK117" s="13">
        <f t="shared" si="89"/>
        <v>66.72392264115291</v>
      </c>
      <c r="AL117" s="20">
        <f t="shared" si="58"/>
        <v>601.87458193334055</v>
      </c>
      <c r="AM117" s="59">
        <f t="shared" si="59"/>
        <v>895.20791526667381</v>
      </c>
      <c r="AN117" s="59">
        <f ca="1">AVERAGE(OFFSET($AM$3,0,0,'Données projet'!$E$10+1,1))-AVERAGE(OFFSET($H$3,0,0,'Données projet'!$E$10+1,1))</f>
        <v>374.01259415112554</v>
      </c>
      <c r="AO117" s="59">
        <f t="shared" si="90"/>
        <v>244.5696433180579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30.199975007094647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30.199975007094647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2.8421709430404007E-14</v>
      </c>
      <c r="BE117" s="13">
        <f>BD117*VLOOKUP('Données projet'!$B$11,Paramètres!$A$1:$I$89,3,0)*VLOOKUP('Données projet'!$B$11,Paramètres!$A$1:$I$89,5,0)</f>
        <v>2.3055690689943732E-14</v>
      </c>
      <c r="BF117" s="13">
        <f t="shared" si="91"/>
        <v>4.10868481342271E-13</v>
      </c>
      <c r="BG117" s="20">
        <f t="shared" si="61"/>
        <v>7.5575126628944061E-13</v>
      </c>
      <c r="BH117" s="59">
        <f t="shared" si="62"/>
        <v>293.33333333333405</v>
      </c>
      <c r="BI117" s="59">
        <f ca="1">AVERAGE(OFFSET($BH$3,0,0,'Données projet'!$E$11+1,1))-AVERAGE(OFFSET($H$3,0,0,'Données projet'!$E$11+1,1))</f>
        <v>252.20412072815043</v>
      </c>
      <c r="BJ117" s="59">
        <f t="shared" si="92"/>
        <v>208.19930959443013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44.618697172874668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44.618697172874668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22.496759999999966</v>
      </c>
      <c r="D118" s="11">
        <f t="shared" si="86"/>
        <v>7.2158130856217895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50.45924692435414</v>
      </c>
      <c r="H118" s="67">
        <f t="shared" si="56"/>
        <v>308.41606479079121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2.8421709430404007E-13</v>
      </c>
      <c r="O118" s="13">
        <f>N118*VLOOKUP('Données projet'!$B$9,Paramètres!$A$1:$I$89,3,0)*VLOOKUP('Données projet'!$B$9,Paramètres!$A$1:$I$89,5,0)</f>
        <v>1.3301360013429075E-13</v>
      </c>
      <c r="P118" s="13">
        <f t="shared" si="87"/>
        <v>1.9329766731057041E-12</v>
      </c>
      <c r="Q118" s="20">
        <f t="shared" si="107"/>
        <v>3.5982663925596575E-12</v>
      </c>
      <c r="R118" s="59">
        <f t="shared" si="55"/>
        <v>293.3333333333369</v>
      </c>
      <c r="S118" s="59">
        <f ca="1">AVERAGE(OFFSET($R$3,0,0,'Données projet'!$E$9+1,1))-AVERAGE(OFFSET($H$3,0,0,'Données projet'!$E$9+1,1))</f>
        <v>270.18797004581819</v>
      </c>
      <c r="T118" s="59">
        <f t="shared" si="88"/>
        <v>246.88276293504617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41.642261568337396</v>
      </c>
      <c r="AA118" s="21">
        <f>EXP(-LN(2)/25)*AA117+(1-EXP(-LN(2)/25))/(LN(2)/25)*Calculateur!V118*Calculateur!X118*VLOOKUP('Données projet'!$B$9,Paramètres!$A$1:$I$89,3,0)*0.475*44/12</f>
        <v>88.312915254171529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129.95517682250892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2.5</v>
      </c>
      <c r="AI118" s="13">
        <f>IF('Données projet'!$A$62&gt;35,AI117+AH118-AQ117,IF(A118&lt;'Données projet'!$A$62,$AF$205^A118,IF(A118='Données projet'!$A$62,'Données projet'!$B$62,AI117+AH118-AQ117)))</f>
        <v>277.49999999999955</v>
      </c>
      <c r="AJ118" s="13">
        <f>AI118*VLOOKUP('Données projet'!$B$10,Paramètres!$A$1:$I$89,3,0)*VLOOKUP('Données projet'!$B$10,Paramètres!$A$1:$I$89,5,0)</f>
        <v>281.38499999999959</v>
      </c>
      <c r="AK118" s="13">
        <f t="shared" si="89"/>
        <v>67.259615089526761</v>
      </c>
      <c r="AL118" s="20">
        <f t="shared" si="58"/>
        <v>607.22270461425842</v>
      </c>
      <c r="AM118" s="59">
        <f t="shared" si="59"/>
        <v>900.55603794759168</v>
      </c>
      <c r="AN118" s="59">
        <f ca="1">AVERAGE(OFFSET($AM$3,0,0,'Données projet'!$E$10+1,1))-AVERAGE(OFFSET($H$3,0,0,'Données projet'!$E$10+1,1))</f>
        <v>374.01259415112554</v>
      </c>
      <c r="AO118" s="59">
        <f t="shared" si="90"/>
        <v>244.5696433180579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29.607771917371434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29.607771917371434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2.8421709430404007E-14</v>
      </c>
      <c r="BE118" s="13">
        <f>BD118*VLOOKUP('Données projet'!$B$11,Paramètres!$A$1:$I$89,3,0)*VLOOKUP('Données projet'!$B$11,Paramètres!$A$1:$I$89,5,0)</f>
        <v>2.3055690689943732E-14</v>
      </c>
      <c r="BF118" s="13">
        <f t="shared" si="91"/>
        <v>4.10868481342271E-13</v>
      </c>
      <c r="BG118" s="20">
        <f t="shared" si="61"/>
        <v>7.5575126628944061E-13</v>
      </c>
      <c r="BH118" s="59">
        <f t="shared" si="62"/>
        <v>293.33333333333405</v>
      </c>
      <c r="BI118" s="59">
        <f ca="1">AVERAGE(OFFSET($BH$3,0,0,'Données projet'!$E$11+1,1))-AVERAGE(OFFSET($H$3,0,0,'Données projet'!$E$11+1,1))</f>
        <v>252.20412072815043</v>
      </c>
      <c r="BJ118" s="59">
        <f t="shared" si="92"/>
        <v>208.19930959443013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43.743751736032642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43.743751736032642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22.692383999999965</v>
      </c>
      <c r="D119" s="11">
        <f t="shared" si="86"/>
        <v>7.2712276602328156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50.885572082640941</v>
      </c>
      <c r="H119" s="67">
        <f t="shared" si="56"/>
        <v>308.8532903082388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2.8421709430404007E-13</v>
      </c>
      <c r="O119" s="13">
        <f>N119*VLOOKUP('Données projet'!$B$9,Paramètres!$A$1:$I$89,3,0)*VLOOKUP('Données projet'!$B$9,Paramètres!$A$1:$I$89,5,0)</f>
        <v>1.3301360013429075E-13</v>
      </c>
      <c r="P119" s="13">
        <f t="shared" si="87"/>
        <v>1.9329766731057041E-12</v>
      </c>
      <c r="Q119" s="20">
        <f t="shared" si="107"/>
        <v>3.5982663925596575E-12</v>
      </c>
      <c r="R119" s="59">
        <f t="shared" si="55"/>
        <v>293.3333333333369</v>
      </c>
      <c r="S119" s="59">
        <f ca="1">AVERAGE(OFFSET($R$3,0,0,'Données projet'!$E$9+1,1))-AVERAGE(OFFSET($H$3,0,0,'Données projet'!$E$9+1,1))</f>
        <v>270.18797004581819</v>
      </c>
      <c r="T119" s="59">
        <f t="shared" si="88"/>
        <v>246.88276293504617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40.825682218253888</v>
      </c>
      <c r="AA119" s="21">
        <f>EXP(-LN(2)/25)*AA118+(1-EXP(-LN(2)/25))/(LN(2)/25)*Calculateur!V119*Calculateur!X119*VLOOKUP('Données projet'!$B$9,Paramètres!$A$1:$I$89,3,0)*0.475*44/12</f>
        <v>85.897993942371841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126.72367616062573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2.5</v>
      </c>
      <c r="AI119" s="13">
        <f>IF('Données projet'!$A$62&gt;35,AI118+AH119-AQ118,IF(A119&lt;'Données projet'!$A$62,$AF$205^A119,IF(A119='Données projet'!$A$62,'Données projet'!$B$62,AI118+AH119-AQ118)))</f>
        <v>279.99999999999955</v>
      </c>
      <c r="AJ119" s="13">
        <f>AI119*VLOOKUP('Données projet'!$B$10,Paramètres!$A$1:$I$89,3,0)*VLOOKUP('Données projet'!$B$10,Paramètres!$A$1:$I$89,5,0)</f>
        <v>283.91999999999956</v>
      </c>
      <c r="AK119" s="13">
        <f t="shared" si="89"/>
        <v>67.794746071143507</v>
      </c>
      <c r="AL119" s="20">
        <f t="shared" si="58"/>
        <v>612.56984940724078</v>
      </c>
      <c r="AM119" s="59">
        <f t="shared" si="59"/>
        <v>905.90318274057404</v>
      </c>
      <c r="AN119" s="59">
        <f ca="1">AVERAGE(OFFSET($AM$3,0,0,'Données projet'!$E$10+1,1))-AVERAGE(OFFSET($H$3,0,0,'Données projet'!$E$10+1,1))</f>
        <v>374.01259415112554</v>
      </c>
      <c r="AO119" s="59">
        <f t="shared" si="90"/>
        <v>244.5696433180579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29.027181569029477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29.027181569029477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2.8421709430404007E-14</v>
      </c>
      <c r="BE119" s="13">
        <f>BD119*VLOOKUP('Données projet'!$B$11,Paramètres!$A$1:$I$89,3,0)*VLOOKUP('Données projet'!$B$11,Paramètres!$A$1:$I$89,5,0)</f>
        <v>2.3055690689943732E-14</v>
      </c>
      <c r="BF119" s="13">
        <f t="shared" si="91"/>
        <v>4.10868481342271E-13</v>
      </c>
      <c r="BG119" s="20">
        <f t="shared" si="61"/>
        <v>7.5575126628944061E-13</v>
      </c>
      <c r="BH119" s="59">
        <f t="shared" si="62"/>
        <v>293.33333333333405</v>
      </c>
      <c r="BI119" s="59">
        <f ca="1">AVERAGE(OFFSET($BH$3,0,0,'Données projet'!$E$11+1,1))-AVERAGE(OFFSET($H$3,0,0,'Données projet'!$E$11+1,1))</f>
        <v>252.20412072815043</v>
      </c>
      <c r="BJ119" s="59">
        <f t="shared" si="92"/>
        <v>208.19930959443013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42.885963445543069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42.885963445543069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22.888007999999964</v>
      </c>
      <c r="D120" s="11">
        <f t="shared" si="86"/>
        <v>7.3265866563457527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51.311802854987114</v>
      </c>
      <c r="H120" s="67">
        <f t="shared" si="56"/>
        <v>309.29041902646884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2.8421709430404007E-13</v>
      </c>
      <c r="O120" s="13">
        <f>N120*VLOOKUP('Données projet'!$B$9,Paramètres!$A$1:$I$89,3,0)*VLOOKUP('Données projet'!$B$9,Paramètres!$A$1:$I$89,5,0)</f>
        <v>1.3301360013429075E-13</v>
      </c>
      <c r="P120" s="13">
        <f t="shared" si="87"/>
        <v>1.9329766731057041E-12</v>
      </c>
      <c r="Q120" s="20">
        <f t="shared" si="107"/>
        <v>3.5982663925596575E-12</v>
      </c>
      <c r="R120" s="59">
        <f t="shared" si="55"/>
        <v>293.3333333333369</v>
      </c>
      <c r="S120" s="59">
        <f ca="1">AVERAGE(OFFSET($R$3,0,0,'Données projet'!$E$9+1,1))-AVERAGE(OFFSET($H$3,0,0,'Données projet'!$E$9+1,1))</f>
        <v>270.18797004581819</v>
      </c>
      <c r="T120" s="59">
        <f t="shared" si="88"/>
        <v>246.88276293504617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40.025115491161294</v>
      </c>
      <c r="AA120" s="21">
        <f>EXP(-LN(2)/25)*AA119+(1-EXP(-LN(2)/25))/(LN(2)/25)*Calculateur!V120*Calculateur!X120*VLOOKUP('Données projet'!$B$9,Paramètres!$A$1:$I$89,3,0)*0.475*44/12</f>
        <v>83.549108780838509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123.57422427199981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2.5</v>
      </c>
      <c r="AI120" s="13">
        <f>IF('Données projet'!$A$62&gt;35,AI119+AH120-AQ119,IF(A120&lt;'Données projet'!$A$62,$AF$205^A120,IF(A120='Données projet'!$A$62,'Données projet'!$B$62,AI119+AH120-AQ119)))</f>
        <v>282.49999999999955</v>
      </c>
      <c r="AJ120" s="13">
        <f>AI120*VLOOKUP('Données projet'!$B$10,Paramètres!$A$1:$I$89,3,0)*VLOOKUP('Données projet'!$B$10,Paramètres!$A$1:$I$89,5,0)</f>
        <v>286.45499999999959</v>
      </c>
      <c r="AK120" s="13">
        <f t="shared" si="89"/>
        <v>68.329321179865588</v>
      </c>
      <c r="AL120" s="20">
        <f t="shared" si="58"/>
        <v>617.91602605493176</v>
      </c>
      <c r="AM120" s="59">
        <f t="shared" si="59"/>
        <v>911.24935938826502</v>
      </c>
      <c r="AN120" s="59">
        <f ca="1">AVERAGE(OFFSET($AM$3,0,0,'Données projet'!$E$10+1,1))-AVERAGE(OFFSET($H$3,0,0,'Données projet'!$E$10+1,1))</f>
        <v>374.01259415112554</v>
      </c>
      <c r="AO120" s="59">
        <f t="shared" si="90"/>
        <v>244.5696433180579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28.457976243293359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28.457976243293359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2.8421709430404007E-14</v>
      </c>
      <c r="BE120" s="13">
        <f>BD120*VLOOKUP('Données projet'!$B$11,Paramètres!$A$1:$I$89,3,0)*VLOOKUP('Données projet'!$B$11,Paramètres!$A$1:$I$89,5,0)</f>
        <v>2.3055690689943732E-14</v>
      </c>
      <c r="BF120" s="13">
        <f t="shared" si="91"/>
        <v>4.10868481342271E-13</v>
      </c>
      <c r="BG120" s="20">
        <f t="shared" si="61"/>
        <v>7.5575126628944061E-13</v>
      </c>
      <c r="BH120" s="59">
        <f t="shared" si="62"/>
        <v>293.33333333333405</v>
      </c>
      <c r="BI120" s="59">
        <f ca="1">AVERAGE(OFFSET($BH$3,0,0,'Données projet'!$E$11+1,1))-AVERAGE(OFFSET($H$3,0,0,'Données projet'!$E$11+1,1))</f>
        <v>252.20412072815043</v>
      </c>
      <c r="BJ120" s="59">
        <f t="shared" si="92"/>
        <v>208.19930959443013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42.044995860230799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42.044995860230799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23.083631999999962</v>
      </c>
      <c r="D121" s="11">
        <f t="shared" si="86"/>
        <v>7.3818906040332211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51.737940141586186</v>
      </c>
      <c r="H121" s="67">
        <f t="shared" si="56"/>
        <v>309.72745186869116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2.8421709430404007E-13</v>
      </c>
      <c r="O121" s="13">
        <f>N121*VLOOKUP('Données projet'!$B$9,Paramètres!$A$1:$I$89,3,0)*VLOOKUP('Données projet'!$B$9,Paramètres!$A$1:$I$89,5,0)</f>
        <v>1.3301360013429075E-13</v>
      </c>
      <c r="P121" s="13">
        <f t="shared" si="87"/>
        <v>1.9329766731057041E-12</v>
      </c>
      <c r="Q121" s="20">
        <f t="shared" si="107"/>
        <v>3.5982663925596575E-12</v>
      </c>
      <c r="R121" s="59">
        <f t="shared" si="55"/>
        <v>293.3333333333369</v>
      </c>
      <c r="S121" s="59">
        <f ca="1">AVERAGE(OFFSET($R$3,0,0,'Données projet'!$E$9+1,1))-AVERAGE(OFFSET($H$3,0,0,'Données projet'!$E$9+1,1))</f>
        <v>270.18797004581819</v>
      </c>
      <c r="T121" s="59">
        <f t="shared" si="88"/>
        <v>246.88276293504617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39.240247389289493</v>
      </c>
      <c r="AA121" s="21">
        <f>EXP(-LN(2)/25)*AA120+(1-EXP(-LN(2)/25))/(LN(2)/25)*Calculateur!V121*Calculateur!X121*VLOOKUP('Données projet'!$B$9,Paramètres!$A$1:$I$89,3,0)*0.475*44/12</f>
        <v>81.264454007569796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120.50470139685929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2.5</v>
      </c>
      <c r="AI121" s="13">
        <f>IF('Données projet'!$A$62&gt;35,AI120+AH121-AQ120,IF(A121&lt;'Données projet'!$A$62,$AF$205^A121,IF(A121='Données projet'!$A$62,'Données projet'!$B$62,AI120+AH121-AQ120)))</f>
        <v>284.99999999999955</v>
      </c>
      <c r="AJ121" s="13">
        <f>AI121*VLOOKUP('Données projet'!$B$10,Paramètres!$A$1:$I$89,3,0)*VLOOKUP('Données projet'!$B$10,Paramètres!$A$1:$I$89,5,0)</f>
        <v>288.98999999999955</v>
      </c>
      <c r="AK121" s="13">
        <f t="shared" si="89"/>
        <v>68.86334590483672</v>
      </c>
      <c r="AL121" s="20">
        <f t="shared" si="58"/>
        <v>623.26124411758974</v>
      </c>
      <c r="AM121" s="59">
        <f t="shared" si="59"/>
        <v>916.594577450923</v>
      </c>
      <c r="AN121" s="59">
        <f ca="1">AVERAGE(OFFSET($AM$3,0,0,'Données projet'!$E$10+1,1))-AVERAGE(OFFSET($H$3,0,0,'Données projet'!$E$10+1,1))</f>
        <v>374.01259415112554</v>
      </c>
      <c r="AO121" s="59">
        <f t="shared" si="90"/>
        <v>244.5696433180579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27.899932686813958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27.899932686813958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2.8421709430404007E-14</v>
      </c>
      <c r="BE121" s="13">
        <f>BD121*VLOOKUP('Données projet'!$B$11,Paramètres!$A$1:$I$89,3,0)*VLOOKUP('Données projet'!$B$11,Paramètres!$A$1:$I$89,5,0)</f>
        <v>2.3055690689943732E-14</v>
      </c>
      <c r="BF121" s="13">
        <f t="shared" si="91"/>
        <v>4.10868481342271E-13</v>
      </c>
      <c r="BG121" s="20">
        <f t="shared" si="61"/>
        <v>7.5575126628944061E-13</v>
      </c>
      <c r="BH121" s="59">
        <f t="shared" si="62"/>
        <v>293.33333333333405</v>
      </c>
      <c r="BI121" s="59">
        <f ca="1">AVERAGE(OFFSET($BH$3,0,0,'Données projet'!$E$11+1,1))-AVERAGE(OFFSET($H$3,0,0,'Données projet'!$E$11+1,1))</f>
        <v>252.20412072815043</v>
      </c>
      <c r="BJ121" s="59">
        <f t="shared" si="92"/>
        <v>208.19930959443013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41.220519136326921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41.220519136326921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23.279255999999961</v>
      </c>
      <c r="D122" s="11">
        <f t="shared" si="86"/>
        <v>7.4371400238650196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52.163984826493511</v>
      </c>
      <c r="H122" s="67">
        <f t="shared" si="56"/>
        <v>310.16438974156483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2.8421709430404007E-13</v>
      </c>
      <c r="O122" s="13">
        <f>N122*VLOOKUP('Données projet'!$B$9,Paramètres!$A$1:$I$89,3,0)*VLOOKUP('Données projet'!$B$9,Paramètres!$A$1:$I$89,5,0)</f>
        <v>1.3301360013429075E-13</v>
      </c>
      <c r="P122" s="13">
        <f t="shared" si="87"/>
        <v>1.9329766731057041E-12</v>
      </c>
      <c r="Q122" s="20">
        <f t="shared" si="107"/>
        <v>3.5982663925596575E-12</v>
      </c>
      <c r="R122" s="59">
        <f t="shared" si="55"/>
        <v>293.3333333333369</v>
      </c>
      <c r="S122" s="59">
        <f ca="1">AVERAGE(OFFSET($R$3,0,0,'Données projet'!$E$9+1,1))-AVERAGE(OFFSET($H$3,0,0,'Données projet'!$E$9+1,1))</f>
        <v>270.18797004581819</v>
      </c>
      <c r="T122" s="59">
        <f t="shared" si="88"/>
        <v>246.88276293504617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38.470770072173131</v>
      </c>
      <c r="AA122" s="21">
        <f>EXP(-LN(2)/25)*AA121+(1-EXP(-LN(2)/25))/(LN(2)/25)*Calculateur!V122*Calculateur!X122*VLOOKUP('Données projet'!$B$9,Paramètres!$A$1:$I$89,3,0)*0.475*44/12</f>
        <v>79.04227323922089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117.51304331139403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2.5</v>
      </c>
      <c r="AI122" s="13">
        <f>IF('Données projet'!$A$62&gt;35,AI121+AH122-AQ121,IF(A122&lt;'Données projet'!$A$62,$AF$205^A122,IF(A122='Données projet'!$A$62,'Données projet'!$B$62,AI121+AH122-AQ121)))</f>
        <v>287.49999999999955</v>
      </c>
      <c r="AJ122" s="13">
        <f>AI122*VLOOKUP('Données projet'!$B$10,Paramètres!$A$1:$I$89,3,0)*VLOOKUP('Données projet'!$B$10,Paramètres!$A$1:$I$89,5,0)</f>
        <v>291.52499999999958</v>
      </c>
      <c r="AK122" s="13">
        <f t="shared" si="89"/>
        <v>69.396825633343269</v>
      </c>
      <c r="AL122" s="20">
        <f t="shared" si="58"/>
        <v>628.60551297807217</v>
      </c>
      <c r="AM122" s="59">
        <f t="shared" si="59"/>
        <v>921.93884631140554</v>
      </c>
      <c r="AN122" s="59">
        <f ca="1">AVERAGE(OFFSET($AM$3,0,0,'Données projet'!$E$10+1,1))-AVERAGE(OFFSET($H$3,0,0,'Données projet'!$E$10+1,1))</f>
        <v>374.01259415112554</v>
      </c>
      <c r="AO122" s="59">
        <f t="shared" si="90"/>
        <v>244.5696433180579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27.35283202410416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27.35283202410416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2.8421709430404007E-14</v>
      </c>
      <c r="BE122" s="13">
        <f>BD122*VLOOKUP('Données projet'!$B$11,Paramètres!$A$1:$I$89,3,0)*VLOOKUP('Données projet'!$B$11,Paramètres!$A$1:$I$89,5,0)</f>
        <v>2.3055690689943732E-14</v>
      </c>
      <c r="BF122" s="13">
        <f t="shared" si="91"/>
        <v>4.10868481342271E-13</v>
      </c>
      <c r="BG122" s="20">
        <f t="shared" si="61"/>
        <v>7.5575126628944061E-13</v>
      </c>
      <c r="BH122" s="59">
        <f t="shared" si="62"/>
        <v>293.33333333333405</v>
      </c>
      <c r="BI122" s="59">
        <f ca="1">AVERAGE(OFFSET($BH$3,0,0,'Données projet'!$E$11+1,1))-AVERAGE(OFFSET($H$3,0,0,'Données projet'!$E$11+1,1))</f>
        <v>252.20412072815043</v>
      </c>
      <c r="BJ122" s="59">
        <f t="shared" si="92"/>
        <v>208.19930959443013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40.41220989809765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40.41220989809765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23.47487999999996</v>
      </c>
      <c r="D123" s="11">
        <f t="shared" si="86"/>
        <v>7.4923354271568998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52.589937778048842</v>
      </c>
      <c r="H123" s="67">
        <f t="shared" si="56"/>
        <v>310.60123353563154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2.8421709430404007E-13</v>
      </c>
      <c r="O123" s="13">
        <f>N123*VLOOKUP('Données projet'!$B$9,Paramètres!$A$1:$I$89,3,0)*VLOOKUP('Données projet'!$B$9,Paramètres!$A$1:$I$89,5,0)</f>
        <v>1.3301360013429075E-13</v>
      </c>
      <c r="P123" s="13">
        <f t="shared" si="87"/>
        <v>1.9329766731057041E-12</v>
      </c>
      <c r="Q123" s="20">
        <f t="shared" si="107"/>
        <v>3.5982663925596575E-12</v>
      </c>
      <c r="R123" s="59">
        <f t="shared" si="55"/>
        <v>293.3333333333369</v>
      </c>
      <c r="S123" s="59">
        <f ca="1">AVERAGE(OFFSET($R$3,0,0,'Données projet'!$E$9+1,1))-AVERAGE(OFFSET($H$3,0,0,'Données projet'!$E$9+1,1))</f>
        <v>270.18797004581819</v>
      </c>
      <c r="T123" s="59">
        <f t="shared" si="88"/>
        <v>246.88276293504617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37.716381735910602</v>
      </c>
      <c r="AA123" s="21">
        <f>EXP(-LN(2)/25)*AA122+(1-EXP(-LN(2)/25))/(LN(2)/25)*Calculateur!V123*Calculateur!X123*VLOOKUP('Données projet'!$B$9,Paramètres!$A$1:$I$89,3,0)*0.475*44/12</f>
        <v>76.880858120841893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114.59723985675249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290</v>
      </c>
      <c r="AG123" s="12">
        <f>VLOOKUP(A123,'Données projet'!$A$61:$I$81,9,0)</f>
        <v>2.5</v>
      </c>
      <c r="AH123" s="12">
        <f t="array" ref="AH123">INDEX(AG:AG,MIN(IF(ISNUMBER(AG123:AG319),ROW(AG123:AG319),"")))</f>
        <v>2.5</v>
      </c>
      <c r="AI123" s="13">
        <f>IF('Données projet'!$A$62&gt;35,AI122+AH123-AQ122,IF(A123&lt;'Données projet'!$A$62,$AF$205^A123,IF(A123='Données projet'!$A$62,'Données projet'!$B$62,AI122+AH123-AQ122)))</f>
        <v>289.99999999999955</v>
      </c>
      <c r="AJ123" s="13">
        <f>AI123*VLOOKUP('Données projet'!$B$10,Paramètres!$A$1:$I$89,3,0)*VLOOKUP('Données projet'!$B$10,Paramètres!$A$1:$I$89,5,0)</f>
        <v>294.05999999999955</v>
      </c>
      <c r="AK123" s="13">
        <f t="shared" si="89"/>
        <v>69.929765653573313</v>
      </c>
      <c r="AL123" s="20">
        <f t="shared" si="58"/>
        <v>633.94884184663943</v>
      </c>
      <c r="AM123" s="59">
        <f t="shared" si="59"/>
        <v>927.28217517997268</v>
      </c>
      <c r="AN123" s="59">
        <f ca="1">AVERAGE(OFFSET($AM$3,0,0,'Données projet'!$E$10+1,1))-AVERAGE(OFFSET($H$3,0,0,'Données projet'!$E$10+1,1))</f>
        <v>374.01259415112554</v>
      </c>
      <c r="AO123" s="59">
        <f t="shared" si="90"/>
        <v>244.5696433180579</v>
      </c>
      <c r="AP123" s="15">
        <f>IF(ISNA(VLOOKUP(A123,'Données projet'!$A$61:$I$81,3,0)),0,VLOOKUP(A123,'Données projet'!$A$61:$I$81,3,0))</f>
        <v>19</v>
      </c>
      <c r="AQ123" s="15">
        <f>IF(ISNA(VLOOKUP(A123,'Données projet'!$A$61:$I$81,4,0)),0,VLOOKUP(A123,'Données projet'!$A$61:$I$81,4,0))</f>
        <v>290</v>
      </c>
      <c r="AR123" s="16">
        <f>IF(ISNA(VLOOKUP(A123,'Données projet'!$A$61:$I$81,5,0)),0%,VLOOKUP(A123,'Données projet'!$A$61:$I$81,5,0)*VLOOKUP('Données projet'!$B$10,Paramètres!$A$1:$I$89,7,0))</f>
        <v>0.25800000000000001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110.68571158150016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110.68571158150016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2.8421709430404007E-14</v>
      </c>
      <c r="BE123" s="13">
        <f>BD123*VLOOKUP('Données projet'!$B$11,Paramètres!$A$1:$I$89,3,0)*VLOOKUP('Données projet'!$B$11,Paramètres!$A$1:$I$89,5,0)</f>
        <v>2.3055690689943732E-14</v>
      </c>
      <c r="BF123" s="13">
        <f t="shared" si="91"/>
        <v>4.10868481342271E-13</v>
      </c>
      <c r="BG123" s="20">
        <f t="shared" si="61"/>
        <v>7.5575126628944061E-13</v>
      </c>
      <c r="BH123" s="59">
        <f t="shared" si="62"/>
        <v>293.33333333333405</v>
      </c>
      <c r="BI123" s="59">
        <f ca="1">AVERAGE(OFFSET($BH$3,0,0,'Données projet'!$E$11+1,1))-AVERAGE(OFFSET($H$3,0,0,'Données projet'!$E$11+1,1))</f>
        <v>252.20412072815043</v>
      </c>
      <c r="BJ123" s="59">
        <f t="shared" si="92"/>
        <v>208.19930959443013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39.619751111010103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39.619751111010103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23.670503999999958</v>
      </c>
      <c r="D124" s="11">
        <f t="shared" si="86"/>
        <v>7.5474773162107489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53.015799849284157</v>
      </c>
      <c r="H124" s="67">
        <f t="shared" si="56"/>
        <v>311.03798412573366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2.8421709430404007E-13</v>
      </c>
      <c r="O124" s="13">
        <f>N124*VLOOKUP('Données projet'!$B$9,Paramètres!$A$1:$I$89,3,0)*VLOOKUP('Données projet'!$B$9,Paramètres!$A$1:$I$89,5,0)</f>
        <v>1.3301360013429075E-13</v>
      </c>
      <c r="P124" s="13">
        <f t="shared" si="87"/>
        <v>1.9329766731057041E-12</v>
      </c>
      <c r="Q124" s="20">
        <f t="shared" si="107"/>
        <v>3.5982663925596575E-12</v>
      </c>
      <c r="R124" s="59">
        <f t="shared" si="55"/>
        <v>293.3333333333369</v>
      </c>
      <c r="S124" s="59">
        <f ca="1">AVERAGE(OFFSET($R$3,0,0,'Données projet'!$E$9+1,1))-AVERAGE(OFFSET($H$3,0,0,'Données projet'!$E$9+1,1))</f>
        <v>270.18797004581819</v>
      </c>
      <c r="T124" s="59">
        <f t="shared" si="88"/>
        <v>246.88276293504617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36.97678649479073</v>
      </c>
      <c r="AA124" s="21">
        <f>EXP(-LN(2)/25)*AA123+(1-EXP(-LN(2)/25))/(LN(2)/25)*Calculateur!V124*Calculateur!X124*VLOOKUP('Données projet'!$B$9,Paramètres!$A$1:$I$89,3,0)*0.475*44/12</f>
        <v>74.778547012538851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111.75533350732958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-4.5474735088646412E-13</v>
      </c>
      <c r="AJ124" s="13">
        <f>AI124*VLOOKUP('Données projet'!$B$10,Paramètres!$A$1:$I$89,3,0)*VLOOKUP('Données projet'!$B$10,Paramètres!$A$1:$I$89,5,0)</f>
        <v>-4.6111381379887462E-13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374.01259415112554</v>
      </c>
      <c r="AO124" s="59">
        <f t="shared" si="90"/>
        <v>244.5696433180579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108.51523228900479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108.51523228900479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2.8421709430404007E-14</v>
      </c>
      <c r="BE124" s="13">
        <f>BD124*VLOOKUP('Données projet'!$B$11,Paramètres!$A$1:$I$89,3,0)*VLOOKUP('Données projet'!$B$11,Paramètres!$A$1:$I$89,5,0)</f>
        <v>2.3055690689943732E-14</v>
      </c>
      <c r="BF124" s="13">
        <f t="shared" si="91"/>
        <v>4.10868481342271E-13</v>
      </c>
      <c r="BG124" s="20">
        <f t="shared" si="61"/>
        <v>7.5575126628944061E-13</v>
      </c>
      <c r="BH124" s="59">
        <f t="shared" si="62"/>
        <v>293.33333333333405</v>
      </c>
      <c r="BI124" s="59">
        <f ca="1">AVERAGE(OFFSET($BH$3,0,0,'Données projet'!$E$11+1,1))-AVERAGE(OFFSET($H$3,0,0,'Données projet'!$E$11+1,1))</f>
        <v>252.20412072815043</v>
      </c>
      <c r="BJ124" s="59">
        <f t="shared" si="92"/>
        <v>208.19930959443013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38.842831957385215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38.842831957385215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23.866127999999957</v>
      </c>
      <c r="D125" s="11">
        <f t="shared" si="86"/>
        <v>7.6025661845466752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53.441571878317795</v>
      </c>
      <c r="H125" s="67">
        <f t="shared" si="56"/>
        <v>311.47464237141872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2.8421709430404007E-13</v>
      </c>
      <c r="O125" s="13">
        <f>N125*VLOOKUP('Données projet'!$B$9,Paramètres!$A$1:$I$89,3,0)*VLOOKUP('Données projet'!$B$9,Paramètres!$A$1:$I$89,5,0)</f>
        <v>1.3301360013429075E-13</v>
      </c>
      <c r="P125" s="13">
        <f t="shared" si="87"/>
        <v>1.9329766731057041E-12</v>
      </c>
      <c r="Q125" s="20">
        <f t="shared" si="107"/>
        <v>3.5982663925596575E-12</v>
      </c>
      <c r="R125" s="59">
        <f t="shared" si="55"/>
        <v>293.3333333333369</v>
      </c>
      <c r="S125" s="59">
        <f ca="1">AVERAGE(OFFSET($R$3,0,0,'Données projet'!$E$9+1,1))-AVERAGE(OFFSET($H$3,0,0,'Données projet'!$E$9+1,1))</f>
        <v>270.18797004581819</v>
      </c>
      <c r="T125" s="59">
        <f t="shared" si="88"/>
        <v>246.88276293504617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36.251694265240658</v>
      </c>
      <c r="AA125" s="21">
        <f>EXP(-LN(2)/25)*AA124+(1-EXP(-LN(2)/25))/(LN(2)/25)*Calculateur!V125*Calculateur!X125*VLOOKUP('Données projet'!$B$9,Paramètres!$A$1:$I$89,3,0)*0.475*44/12</f>
        <v>72.733723712048103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108.98541797728876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-4.5474735088646412E-13</v>
      </c>
      <c r="AJ125" s="13">
        <f>AI125*VLOOKUP('Données projet'!$B$10,Paramètres!$A$1:$I$89,3,0)*VLOOKUP('Données projet'!$B$10,Paramètres!$A$1:$I$89,5,0)</f>
        <v>-4.6111381379887462E-13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374.01259415112554</v>
      </c>
      <c r="AO125" s="59">
        <f t="shared" si="90"/>
        <v>244.5696433180579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106.3873147715736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106.3873147715736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2.8421709430404007E-14</v>
      </c>
      <c r="BE125" s="13">
        <f>BD125*VLOOKUP('Données projet'!$B$11,Paramètres!$A$1:$I$89,3,0)*VLOOKUP('Données projet'!$B$11,Paramètres!$A$1:$I$89,5,0)</f>
        <v>2.3055690689943732E-14</v>
      </c>
      <c r="BF125" s="13">
        <f t="shared" si="91"/>
        <v>4.10868481342271E-13</v>
      </c>
      <c r="BG125" s="20">
        <f t="shared" si="61"/>
        <v>7.5575126628944061E-13</v>
      </c>
      <c r="BH125" s="59">
        <f t="shared" si="62"/>
        <v>293.33333333333405</v>
      </c>
      <c r="BI125" s="59">
        <f ca="1">AVERAGE(OFFSET($BH$3,0,0,'Données projet'!$E$11+1,1))-AVERAGE(OFFSET($H$3,0,0,'Données projet'!$E$11+1,1))</f>
        <v>252.20412072815043</v>
      </c>
      <c r="BJ125" s="59">
        <f t="shared" si="92"/>
        <v>208.19930959443013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38.081147714489013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38.081147714489013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24.061751999999956</v>
      </c>
      <c r="D126" s="11">
        <f t="shared" si="86"/>
        <v>7.6576025171272315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53.867254688735294</v>
      </c>
      <c r="H126" s="67">
        <f t="shared" si="56"/>
        <v>311.91120911732986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2.8421709430404007E-13</v>
      </c>
      <c r="O126" s="13">
        <f>N126*VLOOKUP('Données projet'!$B$9,Paramètres!$A$1:$I$89,3,0)*VLOOKUP('Données projet'!$B$9,Paramètres!$A$1:$I$89,5,0)</f>
        <v>1.3301360013429075E-13</v>
      </c>
      <c r="P126" s="13">
        <f t="shared" si="87"/>
        <v>1.9329766731057041E-12</v>
      </c>
      <c r="Q126" s="20">
        <f t="shared" si="107"/>
        <v>3.5982663925596575E-12</v>
      </c>
      <c r="R126" s="59">
        <f t="shared" si="55"/>
        <v>293.3333333333369</v>
      </c>
      <c r="S126" s="59">
        <f ca="1">AVERAGE(OFFSET($R$3,0,0,'Données projet'!$E$9+1,1))-AVERAGE(OFFSET($H$3,0,0,'Données projet'!$E$9+1,1))</f>
        <v>270.18797004581819</v>
      </c>
      <c r="T126" s="59">
        <f t="shared" si="88"/>
        <v>246.88276293504617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35.540820652049476</v>
      </c>
      <c r="AA126" s="21">
        <f>EXP(-LN(2)/25)*AA125+(1-EXP(-LN(2)/25))/(LN(2)/25)*Calculateur!V126*Calculateur!X126*VLOOKUP('Données projet'!$B$9,Paramètres!$A$1:$I$89,3,0)*0.475*44/12</f>
        <v>70.744816212241858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106.28563686429133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-4.5474735088646412E-13</v>
      </c>
      <c r="AJ126" s="13">
        <f>AI126*VLOOKUP('Données projet'!$B$10,Paramètres!$A$1:$I$89,3,0)*VLOOKUP('Données projet'!$B$10,Paramètres!$A$1:$I$89,5,0)</f>
        <v>-4.6111381379887462E-13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374.01259415112554</v>
      </c>
      <c r="AO126" s="59">
        <f t="shared" si="90"/>
        <v>244.5696433180579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104.30112441875771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104.30112441875771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2.8421709430404007E-14</v>
      </c>
      <c r="BE126" s="13">
        <f>BD126*VLOOKUP('Données projet'!$B$11,Paramètres!$A$1:$I$89,3,0)*VLOOKUP('Données projet'!$B$11,Paramètres!$A$1:$I$89,5,0)</f>
        <v>2.3055690689943732E-14</v>
      </c>
      <c r="BF126" s="13">
        <f t="shared" si="91"/>
        <v>4.10868481342271E-13</v>
      </c>
      <c r="BG126" s="20">
        <f t="shared" si="61"/>
        <v>7.5575126628944061E-13</v>
      </c>
      <c r="BH126" s="59">
        <f t="shared" si="62"/>
        <v>293.33333333333405</v>
      </c>
      <c r="BI126" s="59">
        <f ca="1">AVERAGE(OFFSET($BH$3,0,0,'Données projet'!$E$11+1,1))-AVERAGE(OFFSET($H$3,0,0,'Données projet'!$E$11+1,1))</f>
        <v>252.20412072815043</v>
      </c>
      <c r="BJ126" s="59">
        <f t="shared" si="92"/>
        <v>208.19930959443013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37.334399635014492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37.334399635014492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24.257375999999955</v>
      </c>
      <c r="D127" s="11">
        <f t="shared" si="86"/>
        <v>7.7125867905741243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54.292849089957393</v>
      </c>
      <c r="H127" s="67">
        <f t="shared" si="56"/>
        <v>312.34768519358317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2.8421709430404007E-13</v>
      </c>
      <c r="O127" s="13">
        <f>N127*VLOOKUP('Données projet'!$B$9,Paramètres!$A$1:$I$89,3,0)*VLOOKUP('Données projet'!$B$9,Paramètres!$A$1:$I$89,5,0)</f>
        <v>1.3301360013429075E-13</v>
      </c>
      <c r="P127" s="13">
        <f t="shared" si="87"/>
        <v>1.9329766731057041E-12</v>
      </c>
      <c r="Q127" s="20">
        <f t="shared" si="107"/>
        <v>3.5982663925596575E-12</v>
      </c>
      <c r="R127" s="59">
        <f t="shared" si="55"/>
        <v>293.3333333333369</v>
      </c>
      <c r="S127" s="59">
        <f ca="1">AVERAGE(OFFSET($R$3,0,0,'Données projet'!$E$9+1,1))-AVERAGE(OFFSET($H$3,0,0,'Données projet'!$E$9+1,1))</f>
        <v>270.18797004581819</v>
      </c>
      <c r="T127" s="59">
        <f t="shared" si="88"/>
        <v>246.88276293504617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34.843886836822882</v>
      </c>
      <c r="AA127" s="21">
        <f>EXP(-LN(2)/25)*AA126+(1-EXP(-LN(2)/25))/(LN(2)/25)*Calculateur!V127*Calculateur!X127*VLOOKUP('Données projet'!$B$9,Paramètres!$A$1:$I$89,3,0)*0.475*44/12</f>
        <v>68.81029549260991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103.65418232943279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-4.5474735088646412E-13</v>
      </c>
      <c r="AJ127" s="13">
        <f>AI127*VLOOKUP('Données projet'!$B$10,Paramètres!$A$1:$I$89,3,0)*VLOOKUP('Données projet'!$B$10,Paramètres!$A$1:$I$89,5,0)</f>
        <v>-4.6111381379887462E-13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374.01259415112554</v>
      </c>
      <c r="AO127" s="59">
        <f t="shared" si="90"/>
        <v>244.5696433180579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102.25584298631007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102.25584298631007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2.8421709430404007E-14</v>
      </c>
      <c r="BE127" s="13">
        <f>BD127*VLOOKUP('Données projet'!$B$11,Paramètres!$A$1:$I$89,3,0)*VLOOKUP('Données projet'!$B$11,Paramètres!$A$1:$I$89,5,0)</f>
        <v>2.3055690689943732E-14</v>
      </c>
      <c r="BF127" s="13">
        <f t="shared" si="91"/>
        <v>4.10868481342271E-13</v>
      </c>
      <c r="BG127" s="20">
        <f t="shared" si="61"/>
        <v>7.5575126628944061E-13</v>
      </c>
      <c r="BH127" s="59">
        <f t="shared" si="62"/>
        <v>293.33333333333405</v>
      </c>
      <c r="BI127" s="59">
        <f ca="1">AVERAGE(OFFSET($BH$3,0,0,'Données projet'!$E$11+1,1))-AVERAGE(OFFSET($H$3,0,0,'Données projet'!$E$11+1,1))</f>
        <v>252.20412072815043</v>
      </c>
      <c r="BJ127" s="59">
        <f t="shared" si="92"/>
        <v>208.19930959443013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36.602294829907116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36.602294829907116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24.452999999999953</v>
      </c>
      <c r="D128" s="11">
        <f t="shared" si="86"/>
        <v>7.7675194733777673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54.718355877595855</v>
      </c>
      <c r="H128" s="67">
        <f t="shared" si="56"/>
        <v>312.78407141613286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2.8421709430404007E-13</v>
      </c>
      <c r="O128" s="13">
        <f>N128*VLOOKUP('Données projet'!$B$9,Paramètres!$A$1:$I$89,3,0)*VLOOKUP('Données projet'!$B$9,Paramètres!$A$1:$I$89,5,0)</f>
        <v>1.3301360013429075E-13</v>
      </c>
      <c r="P128" s="13">
        <f t="shared" si="87"/>
        <v>1.9329766731057041E-12</v>
      </c>
      <c r="Q128" s="20">
        <f t="shared" si="107"/>
        <v>3.5982663925596575E-12</v>
      </c>
      <c r="R128" s="59">
        <f t="shared" si="55"/>
        <v>293.3333333333369</v>
      </c>
      <c r="S128" s="59">
        <f ca="1">AVERAGE(OFFSET($R$3,0,0,'Données projet'!$E$9+1,1))-AVERAGE(OFFSET($H$3,0,0,'Données projet'!$E$9+1,1))</f>
        <v>270.18797004581819</v>
      </c>
      <c r="T128" s="59">
        <f t="shared" si="88"/>
        <v>246.88276293504617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34.160619468625228</v>
      </c>
      <c r="AA128" s="21">
        <f>EXP(-LN(2)/25)*AA127+(1-EXP(-LN(2)/25))/(LN(2)/25)*Calculateur!V128*Calculateur!X128*VLOOKUP('Données projet'!$B$9,Paramètres!$A$1:$I$89,3,0)*0.475*44/12</f>
        <v>66.928674343788316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101.08929381241354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-4.5474735088646412E-13</v>
      </c>
      <c r="AJ128" s="13">
        <f>AI128*VLOOKUP('Données projet'!$B$10,Paramètres!$A$1:$I$89,3,0)*VLOOKUP('Données projet'!$B$10,Paramètres!$A$1:$I$89,5,0)</f>
        <v>-4.6111381379887462E-13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374.01259415112554</v>
      </c>
      <c r="AO128" s="59">
        <f t="shared" si="90"/>
        <v>244.5696433180579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100.25066827525424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100.25066827525424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2.8421709430404007E-14</v>
      </c>
      <c r="BE128" s="13">
        <f>BD128*VLOOKUP('Données projet'!$B$11,Paramètres!$A$1:$I$89,3,0)*VLOOKUP('Données projet'!$B$11,Paramètres!$A$1:$I$89,5,0)</f>
        <v>2.3055690689943732E-14</v>
      </c>
      <c r="BF128" s="13">
        <f t="shared" si="91"/>
        <v>4.10868481342271E-13</v>
      </c>
      <c r="BG128" s="20">
        <f t="shared" si="61"/>
        <v>7.5575126628944061E-13</v>
      </c>
      <c r="BH128" s="59">
        <f t="shared" si="62"/>
        <v>293.33333333333405</v>
      </c>
      <c r="BI128" s="59">
        <f ca="1">AVERAGE(OFFSET($BH$3,0,0,'Données projet'!$E$11+1,1))-AVERAGE(OFFSET($H$3,0,0,'Données projet'!$E$11+1,1))</f>
        <v>252.20412072815043</v>
      </c>
      <c r="BJ128" s="59">
        <f t="shared" si="92"/>
        <v>208.19930959443013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35.884546153488053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35.884546153488053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24.648623999999952</v>
      </c>
      <c r="D129" s="11">
        <f t="shared" si="86"/>
        <v>7.8224010260999073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55.143775833797662</v>
      </c>
      <c r="H129" s="67">
        <f t="shared" si="56"/>
        <v>313.22036858712391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2.8421709430404007E-13</v>
      </c>
      <c r="O129" s="13">
        <f>N129*VLOOKUP('Données projet'!$B$9,Paramètres!$A$1:$I$89,3,0)*VLOOKUP('Données projet'!$B$9,Paramètres!$A$1:$I$89,5,0)</f>
        <v>1.3301360013429075E-13</v>
      </c>
      <c r="P129" s="13">
        <f t="shared" si="87"/>
        <v>1.9329766731057041E-12</v>
      </c>
      <c r="Q129" s="20">
        <f t="shared" si="107"/>
        <v>3.5982663925596575E-12</v>
      </c>
      <c r="R129" s="59">
        <f t="shared" si="55"/>
        <v>293.3333333333369</v>
      </c>
      <c r="S129" s="59">
        <f ca="1">AVERAGE(OFFSET($R$3,0,0,'Données projet'!$E$9+1,1))-AVERAGE(OFFSET($H$3,0,0,'Données projet'!$E$9+1,1))</f>
        <v>270.18797004581819</v>
      </c>
      <c r="T129" s="59">
        <f t="shared" si="88"/>
        <v>246.88276293504617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33.490750556765988</v>
      </c>
      <c r="AA129" s="21">
        <f>EXP(-LN(2)/25)*AA128+(1-EXP(-LN(2)/25))/(LN(2)/25)*Calculateur!V129*Calculateur!X129*VLOOKUP('Données projet'!$B$9,Paramètres!$A$1:$I$89,3,0)*0.475*44/12</f>
        <v>65.098506224231414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98.589256780997403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-4.5474735088646412E-13</v>
      </c>
      <c r="AJ129" s="13">
        <f>AI129*VLOOKUP('Données projet'!$B$10,Paramètres!$A$1:$I$89,3,0)*VLOOKUP('Données projet'!$B$10,Paramètres!$A$1:$I$89,5,0)</f>
        <v>-4.6111381379887462E-13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374.01259415112554</v>
      </c>
      <c r="AO129" s="59">
        <f t="shared" si="90"/>
        <v>244.5696433180579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98.284813817246402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98.284813817246402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2.8421709430404007E-14</v>
      </c>
      <c r="BE129" s="13">
        <f>BD129*VLOOKUP('Données projet'!$B$11,Paramètres!$A$1:$I$89,3,0)*VLOOKUP('Données projet'!$B$11,Paramètres!$A$1:$I$89,5,0)</f>
        <v>2.3055690689943732E-14</v>
      </c>
      <c r="BF129" s="13">
        <f t="shared" si="91"/>
        <v>4.10868481342271E-13</v>
      </c>
      <c r="BG129" s="20">
        <f t="shared" si="61"/>
        <v>7.5575126628944061E-13</v>
      </c>
      <c r="BH129" s="59">
        <f t="shared" si="62"/>
        <v>293.33333333333405</v>
      </c>
      <c r="BI129" s="59">
        <f ca="1">AVERAGE(OFFSET($BH$3,0,0,'Données projet'!$E$11+1,1))-AVERAGE(OFFSET($H$3,0,0,'Données projet'!$E$11+1,1))</f>
        <v>252.20412072815043</v>
      </c>
      <c r="BJ129" s="59">
        <f t="shared" si="92"/>
        <v>208.19930959443013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35.1808720908301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35.1808720908301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24.844247999999951</v>
      </c>
      <c r="D130" s="11">
        <f t="shared" si="86"/>
        <v>7.877231901569643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55.569109727577846</v>
      </c>
      <c r="H130" s="67">
        <f t="shared" si="56"/>
        <v>313.65657749523371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2.8421709430404007E-13</v>
      </c>
      <c r="O130" s="13">
        <f>N130*VLOOKUP('Données projet'!$B$9,Paramètres!$A$1:$I$89,3,0)*VLOOKUP('Données projet'!$B$9,Paramètres!$A$1:$I$89,5,0)</f>
        <v>1.3301360013429075E-13</v>
      </c>
      <c r="P130" s="13">
        <f t="shared" si="87"/>
        <v>1.9329766731057041E-12</v>
      </c>
      <c r="Q130" s="20">
        <f t="shared" si="107"/>
        <v>3.5982663925596575E-12</v>
      </c>
      <c r="R130" s="59">
        <f t="shared" si="55"/>
        <v>293.3333333333369</v>
      </c>
      <c r="S130" s="59">
        <f ca="1">AVERAGE(OFFSET($R$3,0,0,'Données projet'!$E$9+1,1))-AVERAGE(OFFSET($H$3,0,0,'Données projet'!$E$9+1,1))</f>
        <v>270.18797004581819</v>
      </c>
      <c r="T130" s="59">
        <f t="shared" si="88"/>
        <v>246.88276293504617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32.834017365688617</v>
      </c>
      <c r="AA130" s="21">
        <f>EXP(-LN(2)/25)*AA129+(1-EXP(-LN(2)/25))/(LN(2)/25)*Calculateur!V130*Calculateur!X130*VLOOKUP('Données projet'!$B$9,Paramètres!$A$1:$I$89,3,0)*0.475*44/12</f>
        <v>63.318384148148148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96.152401513836764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-4.5474735088646412E-13</v>
      </c>
      <c r="AJ130" s="13">
        <f>AI130*VLOOKUP('Données projet'!$B$10,Paramètres!$A$1:$I$89,3,0)*VLOOKUP('Données projet'!$B$10,Paramètres!$A$1:$I$89,5,0)</f>
        <v>-4.6111381379887462E-13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374.01259415112554</v>
      </c>
      <c r="AO130" s="59">
        <f t="shared" si="90"/>
        <v>244.5696433180579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96.357508566107271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96.357508566107271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2.8421709430404007E-14</v>
      </c>
      <c r="BE130" s="13">
        <f>BD130*VLOOKUP('Données projet'!$B$11,Paramètres!$A$1:$I$89,3,0)*VLOOKUP('Données projet'!$B$11,Paramètres!$A$1:$I$89,5,0)</f>
        <v>2.3055690689943732E-14</v>
      </c>
      <c r="BF130" s="13">
        <f t="shared" si="91"/>
        <v>4.10868481342271E-13</v>
      </c>
      <c r="BG130" s="20">
        <f t="shared" si="61"/>
        <v>7.5575126628944061E-13</v>
      </c>
      <c r="BH130" s="59">
        <f t="shared" si="62"/>
        <v>293.33333333333405</v>
      </c>
      <c r="BI130" s="59">
        <f ca="1">AVERAGE(OFFSET($BH$3,0,0,'Données projet'!$E$11+1,1))-AVERAGE(OFFSET($H$3,0,0,'Données projet'!$E$11+1,1))</f>
        <v>252.20412072815043</v>
      </c>
      <c r="BJ130" s="59">
        <f t="shared" si="92"/>
        <v>208.19930959443013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34.490996647342072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34.490996647342072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25.039871999999949</v>
      </c>
      <c r="D131" s="11">
        <f t="shared" si="86"/>
        <v>7.9320125450731078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55.994358315141625</v>
      </c>
      <c r="H131" s="67">
        <f t="shared" si="56"/>
        <v>314.09269891600229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2.8421709430404007E-13</v>
      </c>
      <c r="O131" s="13">
        <f>N131*VLOOKUP('Données projet'!$B$9,Paramètres!$A$1:$I$89,3,0)*VLOOKUP('Données projet'!$B$9,Paramètres!$A$1:$I$89,5,0)</f>
        <v>1.3301360013429075E-13</v>
      </c>
      <c r="P131" s="13">
        <f t="shared" si="87"/>
        <v>1.9329766731057041E-12</v>
      </c>
      <c r="Q131" s="20">
        <f t="shared" ref="Q131:Q153" si="108">(O131+P131)*0.475*44/12</f>
        <v>3.5982663925596575E-12</v>
      </c>
      <c r="R131" s="59">
        <f t="shared" ref="R131:R194" si="109">Q131+(I131+J131)*44/12</f>
        <v>293.3333333333369</v>
      </c>
      <c r="S131" s="59">
        <f ca="1">AVERAGE(OFFSET($R$3,0,0,'Données projet'!$E$9+1,1))-AVERAGE(OFFSET($H$3,0,0,'Données projet'!$E$9+1,1))</f>
        <v>270.18797004581819</v>
      </c>
      <c r="T131" s="59">
        <f t="shared" si="88"/>
        <v>246.88276293504617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32.190162311920574</v>
      </c>
      <c r="AA131" s="21">
        <f>EXP(-LN(2)/25)*AA130+(1-EXP(-LN(2)/25))/(LN(2)/25)*Calculateur!V131*Calculateur!X131*VLOOKUP('Données projet'!$B$9,Paramètres!$A$1:$I$89,3,0)*0.475*44/12</f>
        <v>61.586939603847931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93.777101915768498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-4.5474735088646412E-13</v>
      </c>
      <c r="AJ131" s="13">
        <f>AI131*VLOOKUP('Données projet'!$B$10,Paramètres!$A$1:$I$89,3,0)*VLOOKUP('Données projet'!$B$10,Paramètres!$A$1:$I$89,5,0)</f>
        <v>-4.6111381379887462E-13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374.01259415112554</v>
      </c>
      <c r="AO131" s="59">
        <f t="shared" si="90"/>
        <v>244.5696433180579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94.467996595402852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94.467996595402852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2.8421709430404007E-14</v>
      </c>
      <c r="BE131" s="13">
        <f>BD131*VLOOKUP('Données projet'!$B$11,Paramètres!$A$1:$I$89,3,0)*VLOOKUP('Données projet'!$B$11,Paramètres!$A$1:$I$89,5,0)</f>
        <v>2.3055690689943732E-14</v>
      </c>
      <c r="BF131" s="13">
        <f t="shared" si="91"/>
        <v>4.10868481342271E-13</v>
      </c>
      <c r="BG131" s="20">
        <f t="shared" si="61"/>
        <v>7.5575126628944061E-13</v>
      </c>
      <c r="BH131" s="59">
        <f t="shared" si="62"/>
        <v>293.33333333333405</v>
      </c>
      <c r="BI131" s="59">
        <f ca="1">AVERAGE(OFFSET($BH$3,0,0,'Données projet'!$E$11+1,1))-AVERAGE(OFFSET($H$3,0,0,'Données projet'!$E$11+1,1))</f>
        <v>252.20412072815043</v>
      </c>
      <c r="BJ131" s="59">
        <f t="shared" si="92"/>
        <v>208.19930959443013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33.814649240518378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33.814649240518378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25.235495999999948</v>
      </c>
      <c r="D132" s="11">
        <f t="shared" si="86"/>
        <v>7.9867433945370285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56.419522340196131</v>
      </c>
      <c r="H132" s="67">
        <f t="shared" ref="H132:H195" si="110">(B132+E132+F132)*44/12+(C132+D132)*0.475*44/12</f>
        <v>314.52873361215194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2.8421709430404007E-13</v>
      </c>
      <c r="O132" s="13">
        <f>N132*VLOOKUP('Données projet'!$B$9,Paramètres!$A$1:$I$89,3,0)*VLOOKUP('Données projet'!$B$9,Paramètres!$A$1:$I$89,5,0)</f>
        <v>1.3301360013429075E-13</v>
      </c>
      <c r="P132" s="13">
        <f t="shared" si="87"/>
        <v>1.9329766731057041E-12</v>
      </c>
      <c r="Q132" s="20">
        <f t="shared" si="108"/>
        <v>3.5982663925596575E-12</v>
      </c>
      <c r="R132" s="59">
        <f t="shared" si="109"/>
        <v>293.3333333333369</v>
      </c>
      <c r="S132" s="59">
        <f ca="1">AVERAGE(OFFSET($R$3,0,0,'Données projet'!$E$9+1,1))-AVERAGE(OFFSET($H$3,0,0,'Données projet'!$E$9+1,1))</f>
        <v>270.18797004581819</v>
      </c>
      <c r="T132" s="59">
        <f t="shared" si="88"/>
        <v>246.88276293504617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31.55893286304412</v>
      </c>
      <c r="AA132" s="21">
        <f>EXP(-LN(2)/25)*AA131+(1-EXP(-LN(2)/25))/(LN(2)/25)*Calculateur!V132*Calculateur!X132*VLOOKUP('Données projet'!$B$9,Paramètres!$A$1:$I$89,3,0)*0.475*44/12</f>
        <v>59.902841501664312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91.461774364708432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-4.5474735088646412E-13</v>
      </c>
      <c r="AJ132" s="13">
        <f>AI132*VLOOKUP('Données projet'!$B$10,Paramètres!$A$1:$I$89,3,0)*VLOOKUP('Données projet'!$B$10,Paramètres!$A$1:$I$89,5,0)</f>
        <v>-4.6111381379887462E-13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374.01259415112554</v>
      </c>
      <c r="AO132" s="59">
        <f t="shared" si="90"/>
        <v>244.5696433180579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92.615536801955443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92.615536801955443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2.8421709430404007E-14</v>
      </c>
      <c r="BE132" s="13">
        <f>BD132*VLOOKUP('Données projet'!$B$11,Paramètres!$A$1:$I$89,3,0)*VLOOKUP('Données projet'!$B$11,Paramètres!$A$1:$I$89,5,0)</f>
        <v>2.3055690689943732E-14</v>
      </c>
      <c r="BF132" s="13">
        <f t="shared" si="91"/>
        <v>4.10868481342271E-13</v>
      </c>
      <c r="BG132" s="20">
        <f t="shared" ref="BG132:BG153" si="115">(BE132+BF132)*0.475*44/12</f>
        <v>7.5575126628944061E-13</v>
      </c>
      <c r="BH132" s="59">
        <f t="shared" ref="BH132:BH195" si="116">BG132+(AY132+AZ132)*44/12</f>
        <v>293.33333333333405</v>
      </c>
      <c r="BI132" s="59">
        <f ca="1">AVERAGE(OFFSET($BH$3,0,0,'Données projet'!$E$11+1,1))-AVERAGE(OFFSET($H$3,0,0,'Données projet'!$E$11+1,1))</f>
        <v>252.20412072815043</v>
      </c>
      <c r="BJ132" s="59">
        <f t="shared" si="92"/>
        <v>208.19930959443013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33.151564593811308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33.151564593811308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25.431119999999947</v>
      </c>
      <c r="D133" s="11">
        <f t="shared" ref="D133:D196" si="140">IFERROR(EXP(-1.0587+0.8836*LN(C133)+0.284),0)</f>
        <v>8.0414248807064421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56.844602534252253</v>
      </c>
      <c r="H133" s="67">
        <f t="shared" si="110"/>
        <v>314.96468233389697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2.8421709430404007E-13</v>
      </c>
      <c r="O133" s="13">
        <f>N133*VLOOKUP('Données projet'!$B$9,Paramètres!$A$1:$I$89,3,0)*VLOOKUP('Données projet'!$B$9,Paramètres!$A$1:$I$89,5,0)</f>
        <v>1.3301360013429075E-13</v>
      </c>
      <c r="P133" s="13">
        <f t="shared" ref="P133:P196" si="141">EXP(-1.0587+0.8836*LN(O133)+0.284)</f>
        <v>1.9329766731057041E-12</v>
      </c>
      <c r="Q133" s="20">
        <f t="shared" si="108"/>
        <v>3.5982663925596575E-12</v>
      </c>
      <c r="R133" s="59">
        <f t="shared" si="109"/>
        <v>293.3333333333369</v>
      </c>
      <c r="S133" s="59">
        <f ca="1">AVERAGE(OFFSET($R$3,0,0,'Données projet'!$E$9+1,1))-AVERAGE(OFFSET($H$3,0,0,'Données projet'!$E$9+1,1))</f>
        <v>270.18797004581819</v>
      </c>
      <c r="T133" s="59">
        <f t="shared" ref="T133:T196" si="142">$T$3</f>
        <v>246.88276293504617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30.940081438648185</v>
      </c>
      <c r="AA133" s="21">
        <f>EXP(-LN(2)/25)*AA132+(1-EXP(-LN(2)/25))/(LN(2)/25)*Calculateur!V133*Calculateur!X133*VLOOKUP('Données projet'!$B$9,Paramètres!$A$1:$I$89,3,0)*0.475*44/12</f>
        <v>58.264795150647778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89.204876589295964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-4.5474735088646412E-13</v>
      </c>
      <c r="AJ133" s="13">
        <f>AI133*VLOOKUP('Données projet'!$B$10,Paramètres!$A$1:$I$89,3,0)*VLOOKUP('Données projet'!$B$10,Paramètres!$A$1:$I$89,5,0)</f>
        <v>-4.6111381379887462E-13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374.01259415112554</v>
      </c>
      <c r="AO133" s="59">
        <f t="shared" ref="AO133:AO196" si="144">$AO$3</f>
        <v>244.5696433180579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90.799402615168631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90.799402615168631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2.8421709430404007E-14</v>
      </c>
      <c r="BE133" s="13">
        <f>BD133*VLOOKUP('Données projet'!$B$11,Paramètres!$A$1:$I$89,3,0)*VLOOKUP('Données projet'!$B$11,Paramètres!$A$1:$I$89,5,0)</f>
        <v>2.3055690689943732E-14</v>
      </c>
      <c r="BF133" s="13">
        <f t="shared" ref="BF133:BF153" si="145">EXP(-1.0587+0.8836*LN(BE133)+0.284)</f>
        <v>4.10868481342271E-13</v>
      </c>
      <c r="BG133" s="20">
        <f t="shared" si="115"/>
        <v>7.5575126628944061E-13</v>
      </c>
      <c r="BH133" s="59">
        <f t="shared" si="116"/>
        <v>293.33333333333405</v>
      </c>
      <c r="BI133" s="59">
        <f ca="1">AVERAGE(OFFSET($BH$3,0,0,'Données projet'!$E$11+1,1))-AVERAGE(OFFSET($H$3,0,0,'Données projet'!$E$11+1,1))</f>
        <v>252.20412072815043</v>
      </c>
      <c r="BJ133" s="59">
        <f t="shared" ref="BJ133:BJ196" si="146">$BJ$3</f>
        <v>208.19930959443013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32.501482632584469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32.501482632584469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25.626743999999945</v>
      </c>
      <c r="D134" s="11">
        <f t="shared" si="140"/>
        <v>8.09605742731679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57.26959961691685</v>
      </c>
      <c r="H134" s="67">
        <f t="shared" si="110"/>
        <v>315.40054581924335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2.8421709430404007E-13</v>
      </c>
      <c r="O134" s="13">
        <f>N134*VLOOKUP('Données projet'!$B$9,Paramètres!$A$1:$I$89,3,0)*VLOOKUP('Données projet'!$B$9,Paramètres!$A$1:$I$89,5,0)</f>
        <v>1.3301360013429075E-13</v>
      </c>
      <c r="P134" s="13">
        <f t="shared" si="141"/>
        <v>1.9329766731057041E-12</v>
      </c>
      <c r="Q134" s="20">
        <f t="shared" si="108"/>
        <v>3.5982663925596575E-12</v>
      </c>
      <c r="R134" s="59">
        <f t="shared" si="109"/>
        <v>293.3333333333369</v>
      </c>
      <c r="S134" s="59">
        <f ca="1">AVERAGE(OFFSET($R$3,0,0,'Données projet'!$E$9+1,1))-AVERAGE(OFFSET($H$3,0,0,'Données projet'!$E$9+1,1))</f>
        <v>270.18797004581819</v>
      </c>
      <c r="T134" s="59">
        <f t="shared" si="142"/>
        <v>246.88276293504617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30.333365313222558</v>
      </c>
      <c r="AA134" s="21">
        <f>EXP(-LN(2)/25)*AA133+(1-EXP(-LN(2)/25))/(LN(2)/25)*Calculateur!V134*Calculateur!X134*VLOOKUP('Données projet'!$B$9,Paramètres!$A$1:$I$89,3,0)*0.475*44/12</f>
        <v>56.671541263240904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87.004906576463469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-4.5474735088646412E-13</v>
      </c>
      <c r="AJ134" s="13">
        <f>AI134*VLOOKUP('Données projet'!$B$10,Paramètres!$A$1:$I$89,3,0)*VLOOKUP('Données projet'!$B$10,Paramètres!$A$1:$I$89,5,0)</f>
        <v>-4.6111381379887462E-13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374.01259415112554</v>
      </c>
      <c r="AO134" s="59">
        <f t="shared" si="144"/>
        <v>244.5696433180579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89.018881712052234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89.018881712052234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2.8421709430404007E-14</v>
      </c>
      <c r="BE134" s="13">
        <f>BD134*VLOOKUP('Données projet'!$B$11,Paramètres!$A$1:$I$89,3,0)*VLOOKUP('Données projet'!$B$11,Paramètres!$A$1:$I$89,5,0)</f>
        <v>2.3055690689943732E-14</v>
      </c>
      <c r="BF134" s="13">
        <f t="shared" si="145"/>
        <v>4.10868481342271E-13</v>
      </c>
      <c r="BG134" s="20">
        <f t="shared" si="115"/>
        <v>7.5575126628944061E-13</v>
      </c>
      <c r="BH134" s="59">
        <f t="shared" si="116"/>
        <v>293.33333333333405</v>
      </c>
      <c r="BI134" s="59">
        <f ca="1">AVERAGE(OFFSET($BH$3,0,0,'Données projet'!$E$11+1,1))-AVERAGE(OFFSET($H$3,0,0,'Données projet'!$E$11+1,1))</f>
        <v>252.20412072815043</v>
      </c>
      <c r="BJ134" s="59">
        <f t="shared" si="146"/>
        <v>208.19930959443013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31.864148382106443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31.864148382106443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25.822367999999944</v>
      </c>
      <c r="D135" s="11">
        <f t="shared" si="140"/>
        <v>8.1506414512606078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57.694514296175818</v>
      </c>
      <c r="H135" s="67">
        <f t="shared" si="110"/>
        <v>315.83632479427882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2.8421709430404007E-13</v>
      </c>
      <c r="O135" s="13">
        <f>N135*VLOOKUP('Données projet'!$B$9,Paramètres!$A$1:$I$89,3,0)*VLOOKUP('Données projet'!$B$9,Paramètres!$A$1:$I$89,5,0)</f>
        <v>1.3301360013429075E-13</v>
      </c>
      <c r="P135" s="13">
        <f t="shared" si="141"/>
        <v>1.9329766731057041E-12</v>
      </c>
      <c r="Q135" s="20">
        <f t="shared" si="108"/>
        <v>3.5982663925596575E-12</v>
      </c>
      <c r="R135" s="59">
        <f t="shared" si="109"/>
        <v>293.3333333333369</v>
      </c>
      <c r="S135" s="59">
        <f ca="1">AVERAGE(OFFSET($R$3,0,0,'Données projet'!$E$9+1,1))-AVERAGE(OFFSET($H$3,0,0,'Données projet'!$E$9+1,1))</f>
        <v>270.18797004581819</v>
      </c>
      <c r="T135" s="59">
        <f t="shared" si="142"/>
        <v>246.88276293504617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29.738546520956231</v>
      </c>
      <c r="AA135" s="21">
        <f>EXP(-LN(2)/25)*AA134+(1-EXP(-LN(2)/25))/(LN(2)/25)*Calculateur!V135*Calculateur!X135*VLOOKUP('Données projet'!$B$9,Paramètres!$A$1:$I$89,3,0)*0.475*44/12</f>
        <v>55.121854987170749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84.860401508126984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-4.5474735088646412E-13</v>
      </c>
      <c r="AJ135" s="13">
        <f>AI135*VLOOKUP('Données projet'!$B$10,Paramètres!$A$1:$I$89,3,0)*VLOOKUP('Données projet'!$B$10,Paramètres!$A$1:$I$89,5,0)</f>
        <v>-4.6111381379887462E-13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374.01259415112554</v>
      </c>
      <c r="AO135" s="59">
        <f t="shared" si="144"/>
        <v>244.5696433180579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87.273275737835434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87.273275737835434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2.8421709430404007E-14</v>
      </c>
      <c r="BE135" s="13">
        <f>BD135*VLOOKUP('Données projet'!$B$11,Paramètres!$A$1:$I$89,3,0)*VLOOKUP('Données projet'!$B$11,Paramètres!$A$1:$I$89,5,0)</f>
        <v>2.3055690689943732E-14</v>
      </c>
      <c r="BF135" s="13">
        <f t="shared" si="145"/>
        <v>4.10868481342271E-13</v>
      </c>
      <c r="BG135" s="20">
        <f t="shared" si="115"/>
        <v>7.5575126628944061E-13</v>
      </c>
      <c r="BH135" s="59">
        <f t="shared" si="116"/>
        <v>293.33333333333405</v>
      </c>
      <c r="BI135" s="59">
        <f ca="1">AVERAGE(OFFSET($BH$3,0,0,'Données projet'!$E$11+1,1))-AVERAGE(OFFSET($H$3,0,0,'Données projet'!$E$11+1,1))</f>
        <v>252.20412072815043</v>
      </c>
      <c r="BJ135" s="59">
        <f t="shared" si="146"/>
        <v>208.19930959443013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31.239311867544782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31.239311867544782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26.017991999999943</v>
      </c>
      <c r="D136" s="11">
        <f t="shared" si="140"/>
        <v>8.205177362749005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58.119347268668399</v>
      </c>
      <c r="H136" s="67">
        <f t="shared" si="110"/>
        <v>316.27201997345446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2.8421709430404007E-13</v>
      </c>
      <c r="O136" s="13">
        <f>N136*VLOOKUP('Données projet'!$B$9,Paramètres!$A$1:$I$89,3,0)*VLOOKUP('Données projet'!$B$9,Paramètres!$A$1:$I$89,5,0)</f>
        <v>1.3301360013429075E-13</v>
      </c>
      <c r="P136" s="13">
        <f t="shared" si="141"/>
        <v>1.9329766731057041E-12</v>
      </c>
      <c r="Q136" s="20">
        <f t="shared" si="108"/>
        <v>3.5982663925596575E-12</v>
      </c>
      <c r="R136" s="59">
        <f t="shared" si="109"/>
        <v>293.3333333333369</v>
      </c>
      <c r="S136" s="59">
        <f ca="1">AVERAGE(OFFSET($R$3,0,0,'Données projet'!$E$9+1,1))-AVERAGE(OFFSET($H$3,0,0,'Données projet'!$E$9+1,1))</f>
        <v>270.18797004581819</v>
      </c>
      <c r="T136" s="59">
        <f t="shared" si="142"/>
        <v>246.88276293504617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29.155391762402605</v>
      </c>
      <c r="AA136" s="21">
        <f>EXP(-LN(2)/25)*AA135+(1-EXP(-LN(2)/25))/(LN(2)/25)*Calculateur!V136*Calculateur!X136*VLOOKUP('Données projet'!$B$9,Paramètres!$A$1:$I$89,3,0)*0.475*44/12</f>
        <v>53.614544963814197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82.769936726216798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-4.5474735088646412E-13</v>
      </c>
      <c r="AJ136" s="13">
        <f>AI136*VLOOKUP('Données projet'!$B$10,Paramètres!$A$1:$I$89,3,0)*VLOOKUP('Données projet'!$B$10,Paramètres!$A$1:$I$89,5,0)</f>
        <v>-4.6111381379887462E-13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374.01259415112554</v>
      </c>
      <c r="AO136" s="59">
        <f t="shared" si="144"/>
        <v>244.5696433180579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85.561900032058517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85.561900032058517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2.8421709430404007E-14</v>
      </c>
      <c r="BE136" s="13">
        <f>BD136*VLOOKUP('Données projet'!$B$11,Paramètres!$A$1:$I$89,3,0)*VLOOKUP('Données projet'!$B$11,Paramètres!$A$1:$I$89,5,0)</f>
        <v>2.3055690689943732E-14</v>
      </c>
      <c r="BF136" s="13">
        <f t="shared" si="145"/>
        <v>4.10868481342271E-13</v>
      </c>
      <c r="BG136" s="20">
        <f t="shared" si="115"/>
        <v>7.5575126628944061E-13</v>
      </c>
      <c r="BH136" s="59">
        <f t="shared" si="116"/>
        <v>293.33333333333405</v>
      </c>
      <c r="BI136" s="59">
        <f ca="1">AVERAGE(OFFSET($BH$3,0,0,'Données projet'!$E$11+1,1))-AVERAGE(OFFSET($H$3,0,0,'Données projet'!$E$11+1,1))</f>
        <v>252.20412072815043</v>
      </c>
      <c r="BJ136" s="59">
        <f t="shared" si="146"/>
        <v>208.19930959443013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30.626728015921032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30.626728015921032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26.213615999999941</v>
      </c>
      <c r="D137" s="11">
        <f t="shared" si="140"/>
        <v>8.2596655654681754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58.544099219952869</v>
      </c>
      <c r="H137" s="67">
        <f t="shared" si="110"/>
        <v>316.70763205985696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2.8421709430404007E-13</v>
      </c>
      <c r="O137" s="13">
        <f>N137*VLOOKUP('Données projet'!$B$9,Paramètres!$A$1:$I$89,3,0)*VLOOKUP('Données projet'!$B$9,Paramètres!$A$1:$I$89,5,0)</f>
        <v>1.3301360013429075E-13</v>
      </c>
      <c r="P137" s="13">
        <f t="shared" si="141"/>
        <v>1.9329766731057041E-12</v>
      </c>
      <c r="Q137" s="20">
        <f t="shared" si="108"/>
        <v>3.5982663925596575E-12</v>
      </c>
      <c r="R137" s="59">
        <f t="shared" si="109"/>
        <v>293.3333333333369</v>
      </c>
      <c r="S137" s="59">
        <f ca="1">AVERAGE(OFFSET($R$3,0,0,'Données projet'!$E$9+1,1))-AVERAGE(OFFSET($H$3,0,0,'Données projet'!$E$9+1,1))</f>
        <v>270.18797004581819</v>
      </c>
      <c r="T137" s="59">
        <f t="shared" si="142"/>
        <v>246.88276293504617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28.583672312974937</v>
      </c>
      <c r="AA137" s="21">
        <f>EXP(-LN(2)/25)*AA136+(1-EXP(-LN(2)/25))/(LN(2)/25)*Calculateur!V137*Calculateur!X137*VLOOKUP('Données projet'!$B$9,Paramètres!$A$1:$I$89,3,0)*0.475*44/12</f>
        <v>52.148452412312317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80.73212472528725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-4.5474735088646412E-13</v>
      </c>
      <c r="AJ137" s="13">
        <f>AI137*VLOOKUP('Données projet'!$B$10,Paramètres!$A$1:$I$89,3,0)*VLOOKUP('Données projet'!$B$10,Paramètres!$A$1:$I$89,5,0)</f>
        <v>-4.6111381379887462E-13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374.01259415112554</v>
      </c>
      <c r="AO137" s="59">
        <f t="shared" si="144"/>
        <v>244.5696433180579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83.884083360035774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83.884083360035774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2.8421709430404007E-14</v>
      </c>
      <c r="BE137" s="13">
        <f>BD137*VLOOKUP('Données projet'!$B$11,Paramètres!$A$1:$I$89,3,0)*VLOOKUP('Données projet'!$B$11,Paramètres!$A$1:$I$89,5,0)</f>
        <v>2.3055690689943732E-14</v>
      </c>
      <c r="BF137" s="13">
        <f t="shared" si="145"/>
        <v>4.10868481342271E-13</v>
      </c>
      <c r="BG137" s="20">
        <f t="shared" si="115"/>
        <v>7.5575126628944061E-13</v>
      </c>
      <c r="BH137" s="59">
        <f t="shared" si="116"/>
        <v>293.33333333333405</v>
      </c>
      <c r="BI137" s="59">
        <f ca="1">AVERAGE(OFFSET($BH$3,0,0,'Données projet'!$E$11+1,1))-AVERAGE(OFFSET($H$3,0,0,'Données projet'!$E$11+1,1))</f>
        <v>252.20412072815043</v>
      </c>
      <c r="BJ137" s="59">
        <f t="shared" si="146"/>
        <v>208.19930959443013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30.026156559988369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30.026156559988369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26.40923999999994</v>
      </c>
      <c r="D138" s="11">
        <f t="shared" si="140"/>
        <v>8.3141064567310625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58.968770824764221</v>
      </c>
      <c r="H138" s="67">
        <f t="shared" si="110"/>
        <v>317.14316174547321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2.8421709430404007E-13</v>
      </c>
      <c r="O138" s="13">
        <f>N138*VLOOKUP('Données projet'!$B$9,Paramètres!$A$1:$I$89,3,0)*VLOOKUP('Données projet'!$B$9,Paramètres!$A$1:$I$89,5,0)</f>
        <v>1.3301360013429075E-13</v>
      </c>
      <c r="P138" s="13">
        <f t="shared" si="141"/>
        <v>1.9329766731057041E-12</v>
      </c>
      <c r="Q138" s="20">
        <f t="shared" si="108"/>
        <v>3.5982663925596575E-12</v>
      </c>
      <c r="R138" s="59">
        <f t="shared" si="109"/>
        <v>293.3333333333369</v>
      </c>
      <c r="S138" s="59">
        <f ca="1">AVERAGE(OFFSET($R$3,0,0,'Données projet'!$E$9+1,1))-AVERAGE(OFFSET($H$3,0,0,'Données projet'!$E$9+1,1))</f>
        <v>270.18797004581819</v>
      </c>
      <c r="T138" s="59">
        <f t="shared" si="142"/>
        <v>246.88276293504617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28.023163933236113</v>
      </c>
      <c r="AA138" s="21">
        <f>EXP(-LN(2)/25)*AA137+(1-EXP(-LN(2)/25))/(LN(2)/25)*Calculateur!V138*Calculateur!X138*VLOOKUP('Données projet'!$B$9,Paramètres!$A$1:$I$89,3,0)*0.475*44/12</f>
        <v>50.722450238729714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78.745614171965826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-4.5474735088646412E-13</v>
      </c>
      <c r="AJ138" s="13">
        <f>AI138*VLOOKUP('Données projet'!$B$10,Paramètres!$A$1:$I$89,3,0)*VLOOKUP('Données projet'!$B$10,Paramètres!$A$1:$I$89,5,0)</f>
        <v>-4.6111381379887462E-13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374.01259415112554</v>
      </c>
      <c r="AO138" s="59">
        <f t="shared" si="144"/>
        <v>244.5696433180579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82.239167649584274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82.239167649584274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2.8421709430404007E-14</v>
      </c>
      <c r="BE138" s="13">
        <f>BD138*VLOOKUP('Données projet'!$B$11,Paramètres!$A$1:$I$89,3,0)*VLOOKUP('Données projet'!$B$11,Paramètres!$A$1:$I$89,5,0)</f>
        <v>2.3055690689943732E-14</v>
      </c>
      <c r="BF138" s="13">
        <f t="shared" si="145"/>
        <v>4.10868481342271E-13</v>
      </c>
      <c r="BG138" s="20">
        <f t="shared" si="115"/>
        <v>7.5575126628944061E-13</v>
      </c>
      <c r="BH138" s="59">
        <f t="shared" si="116"/>
        <v>293.33333333333405</v>
      </c>
      <c r="BI138" s="59">
        <f ca="1">AVERAGE(OFFSET($BH$3,0,0,'Données projet'!$E$11+1,1))-AVERAGE(OFFSET($H$3,0,0,'Données projet'!$E$11+1,1))</f>
        <v>252.20412072815043</v>
      </c>
      <c r="BJ138" s="59">
        <f t="shared" si="146"/>
        <v>208.19930959443013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29.437361943994127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29.437361943994127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26.604863999999939</v>
      </c>
      <c r="D139" s="11">
        <f t="shared" si="140"/>
        <v>8.3685004276244417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59.393362747263865</v>
      </c>
      <c r="H139" s="67">
        <f t="shared" si="110"/>
        <v>317.57860971144578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2.8421709430404007E-13</v>
      </c>
      <c r="O139" s="13">
        <f>N139*VLOOKUP('Données projet'!$B$9,Paramètres!$A$1:$I$89,3,0)*VLOOKUP('Données projet'!$B$9,Paramètres!$A$1:$I$89,5,0)</f>
        <v>1.3301360013429075E-13</v>
      </c>
      <c r="P139" s="13">
        <f t="shared" si="141"/>
        <v>1.9329766731057041E-12</v>
      </c>
      <c r="Q139" s="20">
        <f t="shared" si="108"/>
        <v>3.5982663925596575E-12</v>
      </c>
      <c r="R139" s="59">
        <f t="shared" si="109"/>
        <v>293.3333333333369</v>
      </c>
      <c r="S139" s="59">
        <f ca="1">AVERAGE(OFFSET($R$3,0,0,'Données projet'!$E$9+1,1))-AVERAGE(OFFSET($H$3,0,0,'Données projet'!$E$9+1,1))</f>
        <v>270.18797004581819</v>
      </c>
      <c r="T139" s="59">
        <f t="shared" si="142"/>
        <v>246.88276293504617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27.473646780947615</v>
      </c>
      <c r="AA139" s="21">
        <f>EXP(-LN(2)/25)*AA138+(1-EXP(-LN(2)/25))/(LN(2)/25)*Calculateur!V139*Calculateur!X139*VLOOKUP('Données projet'!$B$9,Paramètres!$A$1:$I$89,3,0)*0.475*44/12</f>
        <v>49.335442169573916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76.809088950521527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-4.5474735088646412E-13</v>
      </c>
      <c r="AJ139" s="13">
        <f>AI139*VLOOKUP('Données projet'!$B$10,Paramètres!$A$1:$I$89,3,0)*VLOOKUP('Données projet'!$B$10,Paramètres!$A$1:$I$89,5,0)</f>
        <v>-4.6111381379887462E-13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374.01259415112554</v>
      </c>
      <c r="AO139" s="59">
        <f t="shared" si="144"/>
        <v>244.5696433180579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80.626507732915215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80.626507732915215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2.8421709430404007E-14</v>
      </c>
      <c r="BE139" s="13">
        <f>BD139*VLOOKUP('Données projet'!$B$11,Paramètres!$A$1:$I$89,3,0)*VLOOKUP('Données projet'!$B$11,Paramètres!$A$1:$I$89,5,0)</f>
        <v>2.3055690689943732E-14</v>
      </c>
      <c r="BF139" s="13">
        <f t="shared" si="145"/>
        <v>4.10868481342271E-13</v>
      </c>
      <c r="BG139" s="20">
        <f t="shared" si="115"/>
        <v>7.5575126628944061E-13</v>
      </c>
      <c r="BH139" s="59">
        <f t="shared" si="116"/>
        <v>293.33333333333405</v>
      </c>
      <c r="BI139" s="59">
        <f ca="1">AVERAGE(OFFSET($BH$3,0,0,'Données projet'!$E$11+1,1))-AVERAGE(OFFSET($H$3,0,0,'Données projet'!$E$11+1,1))</f>
        <v>252.20412072815043</v>
      </c>
      <c r="BJ139" s="59">
        <f t="shared" si="146"/>
        <v>208.19930959443013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28.860113231290278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28.860113231290278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26.800487999999937</v>
      </c>
      <c r="D140" s="11">
        <f t="shared" si="140"/>
        <v>8.4228478631515262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59.817875641281773</v>
      </c>
      <c r="H140" s="67">
        <f t="shared" si="110"/>
        <v>318.01397662832215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2.8421709430404007E-13</v>
      </c>
      <c r="O140" s="13">
        <f>N140*VLOOKUP('Données projet'!$B$9,Paramètres!$A$1:$I$89,3,0)*VLOOKUP('Données projet'!$B$9,Paramètres!$A$1:$I$89,5,0)</f>
        <v>1.3301360013429075E-13</v>
      </c>
      <c r="P140" s="13">
        <f t="shared" si="141"/>
        <v>1.9329766731057041E-12</v>
      </c>
      <c r="Q140" s="20">
        <f t="shared" si="108"/>
        <v>3.5982663925596575E-12</v>
      </c>
      <c r="R140" s="59">
        <f t="shared" si="109"/>
        <v>293.3333333333369</v>
      </c>
      <c r="S140" s="59">
        <f ca="1">AVERAGE(OFFSET($R$3,0,0,'Données projet'!$E$9+1,1))-AVERAGE(OFFSET($H$3,0,0,'Données projet'!$E$9+1,1))</f>
        <v>270.18797004581819</v>
      </c>
      <c r="T140" s="59">
        <f t="shared" si="142"/>
        <v>246.88276293504617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26.934905324843125</v>
      </c>
      <c r="AA140" s="21">
        <f>EXP(-LN(2)/25)*AA139+(1-EXP(-LN(2)/25))/(LN(2)/25)*Calculateur!V140*Calculateur!X140*VLOOKUP('Données projet'!$B$9,Paramètres!$A$1:$I$89,3,0)*0.475*44/12</f>
        <v>47.986361909008771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74.921267233851893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-4.5474735088646412E-13</v>
      </c>
      <c r="AJ140" s="13">
        <f>AI140*VLOOKUP('Données projet'!$B$10,Paramètres!$A$1:$I$89,3,0)*VLOOKUP('Données projet'!$B$10,Paramètres!$A$1:$I$89,5,0)</f>
        <v>-4.6111381379887462E-13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374.01259415112554</v>
      </c>
      <c r="AO140" s="59">
        <f t="shared" si="144"/>
        <v>244.5696433180579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79.045471093586613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79.045471093586613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2.8421709430404007E-14</v>
      </c>
      <c r="BE140" s="13">
        <f>BD140*VLOOKUP('Données projet'!$B$11,Paramètres!$A$1:$I$89,3,0)*VLOOKUP('Données projet'!$B$11,Paramètres!$A$1:$I$89,5,0)</f>
        <v>2.3055690689943732E-14</v>
      </c>
      <c r="BF140" s="13">
        <f t="shared" si="145"/>
        <v>4.10868481342271E-13</v>
      </c>
      <c r="BG140" s="20">
        <f t="shared" si="115"/>
        <v>7.5575126628944061E-13</v>
      </c>
      <c r="BH140" s="59">
        <f t="shared" si="116"/>
        <v>293.33333333333405</v>
      </c>
      <c r="BI140" s="59">
        <f ca="1">AVERAGE(OFFSET($BH$3,0,0,'Données projet'!$E$11+1,1))-AVERAGE(OFFSET($H$3,0,0,'Données projet'!$E$11+1,1))</f>
        <v>252.20412072815043</v>
      </c>
      <c r="BJ140" s="59">
        <f t="shared" si="146"/>
        <v>208.19930959443013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28.294184013755601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28.294184013755601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26.996111999999936</v>
      </c>
      <c r="D141" s="11">
        <f t="shared" si="140"/>
        <v>8.47714914237031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60.242310150551589</v>
      </c>
      <c r="H141" s="67">
        <f t="shared" si="110"/>
        <v>318.44926315629488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2.8421709430404007E-13</v>
      </c>
      <c r="O141" s="13">
        <f>N141*VLOOKUP('Données projet'!$B$9,Paramètres!$A$1:$I$89,3,0)*VLOOKUP('Données projet'!$B$9,Paramètres!$A$1:$I$89,5,0)</f>
        <v>1.3301360013429075E-13</v>
      </c>
      <c r="P141" s="13">
        <f t="shared" si="141"/>
        <v>1.9329766731057041E-12</v>
      </c>
      <c r="Q141" s="20">
        <f t="shared" si="108"/>
        <v>3.5982663925596575E-12</v>
      </c>
      <c r="R141" s="59">
        <f t="shared" si="109"/>
        <v>293.3333333333369</v>
      </c>
      <c r="S141" s="59">
        <f ca="1">AVERAGE(OFFSET($R$3,0,0,'Données projet'!$E$9+1,1))-AVERAGE(OFFSET($H$3,0,0,'Données projet'!$E$9+1,1))</f>
        <v>270.18797004581819</v>
      </c>
      <c r="T141" s="59">
        <f t="shared" si="142"/>
        <v>246.88276293504617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26.406728260093004</v>
      </c>
      <c r="AA141" s="21">
        <f>EXP(-LN(2)/25)*AA140+(1-EXP(-LN(2)/25))/(LN(2)/25)*Calculateur!V141*Calculateur!X141*VLOOKUP('Données projet'!$B$9,Paramètres!$A$1:$I$89,3,0)*0.475*44/12</f>
        <v>46.674172319113829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73.080900579206826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-4.5474735088646412E-13</v>
      </c>
      <c r="AJ141" s="13">
        <f>AI141*VLOOKUP('Données projet'!$B$10,Paramètres!$A$1:$I$89,3,0)*VLOOKUP('Données projet'!$B$10,Paramètres!$A$1:$I$89,5,0)</f>
        <v>-4.6111381379887462E-13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374.01259415112554</v>
      </c>
      <c r="AO141" s="59">
        <f t="shared" si="144"/>
        <v>244.5696433180579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77.495437618418109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77.495437618418109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2.8421709430404007E-14</v>
      </c>
      <c r="BE141" s="13">
        <f>BD141*VLOOKUP('Données projet'!$B$11,Paramètres!$A$1:$I$89,3,0)*VLOOKUP('Données projet'!$B$11,Paramètres!$A$1:$I$89,5,0)</f>
        <v>2.3055690689943732E-14</v>
      </c>
      <c r="BF141" s="13">
        <f t="shared" si="145"/>
        <v>4.10868481342271E-13</v>
      </c>
      <c r="BG141" s="20">
        <f t="shared" si="115"/>
        <v>7.5575126628944061E-13</v>
      </c>
      <c r="BH141" s="59">
        <f t="shared" si="116"/>
        <v>293.33333333333405</v>
      </c>
      <c r="BI141" s="59">
        <f ca="1">AVERAGE(OFFSET($BH$3,0,0,'Données projet'!$E$11+1,1))-AVERAGE(OFFSET($H$3,0,0,'Données projet'!$E$11+1,1))</f>
        <v>252.20412072815043</v>
      </c>
      <c r="BJ141" s="59">
        <f t="shared" si="146"/>
        <v>208.19930959443013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27.739352322994041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27.739352322994041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27.191735999999935</v>
      </c>
      <c r="D142" s="11">
        <f t="shared" si="140"/>
        <v>8.53140463852775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60.666666908938247</v>
      </c>
      <c r="H142" s="67">
        <f t="shared" si="110"/>
        <v>318.88446994543574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2.8421709430404007E-13</v>
      </c>
      <c r="O142" s="13">
        <f>N142*VLOOKUP('Données projet'!$B$9,Paramètres!$A$1:$I$89,3,0)*VLOOKUP('Données projet'!$B$9,Paramètres!$A$1:$I$89,5,0)</f>
        <v>1.3301360013429075E-13</v>
      </c>
      <c r="P142" s="13">
        <f t="shared" si="141"/>
        <v>1.9329766731057041E-12</v>
      </c>
      <c r="Q142" s="20">
        <f t="shared" si="108"/>
        <v>3.5982663925596575E-12</v>
      </c>
      <c r="R142" s="59">
        <f t="shared" si="109"/>
        <v>293.3333333333369</v>
      </c>
      <c r="S142" s="59">
        <f ca="1">AVERAGE(OFFSET($R$3,0,0,'Données projet'!$E$9+1,1))-AVERAGE(OFFSET($H$3,0,0,'Données projet'!$E$9+1,1))</f>
        <v>270.18797004581819</v>
      </c>
      <c r="T142" s="59">
        <f t="shared" si="142"/>
        <v>246.88276293504617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25.888908425426433</v>
      </c>
      <c r="AA142" s="21">
        <f>EXP(-LN(2)/25)*AA141+(1-EXP(-LN(2)/25))/(LN(2)/25)*Calculateur!V142*Calculateur!X142*VLOOKUP('Données projet'!$B$9,Paramètres!$A$1:$I$89,3,0)*0.475*44/12</f>
        <v>45.397864622559617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71.286773047986046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-4.5474735088646412E-13</v>
      </c>
      <c r="AJ142" s="13">
        <f>AI142*VLOOKUP('Données projet'!$B$10,Paramètres!$A$1:$I$89,3,0)*VLOOKUP('Données projet'!$B$10,Paramètres!$A$1:$I$89,5,0)</f>
        <v>-4.6111381379887462E-13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374.01259415112554</v>
      </c>
      <c r="AO142" s="59">
        <f t="shared" si="144"/>
        <v>244.5696433180579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75.975799354270592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75.975799354270592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2.8421709430404007E-14</v>
      </c>
      <c r="BE142" s="13">
        <f>BD142*VLOOKUP('Données projet'!$B$11,Paramètres!$A$1:$I$89,3,0)*VLOOKUP('Données projet'!$B$11,Paramètres!$A$1:$I$89,5,0)</f>
        <v>2.3055690689943732E-14</v>
      </c>
      <c r="BF142" s="13">
        <f t="shared" si="145"/>
        <v>4.10868481342271E-13</v>
      </c>
      <c r="BG142" s="20">
        <f t="shared" si="115"/>
        <v>7.5575126628944061E-13</v>
      </c>
      <c r="BH142" s="59">
        <f t="shared" si="116"/>
        <v>293.33333333333405</v>
      </c>
      <c r="BI142" s="59">
        <f ca="1">AVERAGE(OFFSET($BH$3,0,0,'Données projet'!$E$11+1,1))-AVERAGE(OFFSET($H$3,0,0,'Données projet'!$E$11+1,1))</f>
        <v>252.20412072815043</v>
      </c>
      <c r="BJ142" s="59">
        <f t="shared" si="146"/>
        <v>208.19930959443013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27.195400543274399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27.195400543274399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27.387359999999934</v>
      </c>
      <c r="D143" s="11">
        <f t="shared" si="140"/>
        <v>8.5856147191900369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61.090946540659466</v>
      </c>
      <c r="H143" s="67">
        <f t="shared" si="110"/>
        <v>319.31959763592255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2.8421709430404007E-13</v>
      </c>
      <c r="O143" s="13">
        <f>N143*VLOOKUP('Données projet'!$B$9,Paramètres!$A$1:$I$89,3,0)*VLOOKUP('Données projet'!$B$9,Paramètres!$A$1:$I$89,5,0)</f>
        <v>1.3301360013429075E-13</v>
      </c>
      <c r="P143" s="13">
        <f t="shared" si="141"/>
        <v>1.9329766731057041E-12</v>
      </c>
      <c r="Q143" s="20">
        <f t="shared" si="108"/>
        <v>3.5982663925596575E-12</v>
      </c>
      <c r="R143" s="59">
        <f t="shared" si="109"/>
        <v>293.3333333333369</v>
      </c>
      <c r="S143" s="59">
        <f ca="1">AVERAGE(OFFSET($R$3,0,0,'Données projet'!$E$9+1,1))-AVERAGE(OFFSET($H$3,0,0,'Données projet'!$E$9+1,1))</f>
        <v>270.18797004581819</v>
      </c>
      <c r="T143" s="59">
        <f t="shared" si="142"/>
        <v>246.88276293504617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25.38124272187876</v>
      </c>
      <c r="AA143" s="21">
        <f>EXP(-LN(2)/25)*AA142+(1-EXP(-LN(2)/25))/(LN(2)/25)*Calculateur!V143*Calculateur!X143*VLOOKUP('Données projet'!$B$9,Paramètres!$A$1:$I$89,3,0)*0.475*44/12</f>
        <v>44.156457627085778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69.537700348964535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-4.5474735088646412E-13</v>
      </c>
      <c r="AJ143" s="13">
        <f>AI143*VLOOKUP('Données projet'!$B$10,Paramètres!$A$1:$I$89,3,0)*VLOOKUP('Données projet'!$B$10,Paramètres!$A$1:$I$89,5,0)</f>
        <v>-4.6111381379887462E-13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374.01259415112554</v>
      </c>
      <c r="AO143" s="59">
        <f t="shared" si="144"/>
        <v>244.5696433180579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74.485960269595196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74.485960269595196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2.8421709430404007E-14</v>
      </c>
      <c r="BE143" s="13">
        <f>BD143*VLOOKUP('Données projet'!$B$11,Paramètres!$A$1:$I$89,3,0)*VLOOKUP('Données projet'!$B$11,Paramètres!$A$1:$I$89,5,0)</f>
        <v>2.3055690689943732E-14</v>
      </c>
      <c r="BF143" s="13">
        <f t="shared" si="145"/>
        <v>4.10868481342271E-13</v>
      </c>
      <c r="BG143" s="20">
        <f t="shared" si="115"/>
        <v>7.5575126628944061E-13</v>
      </c>
      <c r="BH143" s="59">
        <f t="shared" si="116"/>
        <v>293.33333333333405</v>
      </c>
      <c r="BI143" s="59">
        <f ca="1">AVERAGE(OFFSET($BH$3,0,0,'Données projet'!$E$11+1,1))-AVERAGE(OFFSET($H$3,0,0,'Données projet'!$E$11+1,1))</f>
        <v>252.20412072815043</v>
      </c>
      <c r="BJ143" s="59">
        <f t="shared" si="146"/>
        <v>208.19930959443013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26.662115326177233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26.662115326177233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27.582983999999932</v>
      </c>
      <c r="D144" s="11">
        <f t="shared" si="140"/>
        <v>8.6397797463689567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61.515149660500157</v>
      </c>
      <c r="H144" s="67">
        <f t="shared" si="110"/>
        <v>319.75464685825915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2.8421709430404007E-13</v>
      </c>
      <c r="O144" s="13">
        <f>N144*VLOOKUP('Données projet'!$B$9,Paramètres!$A$1:$I$89,3,0)*VLOOKUP('Données projet'!$B$9,Paramètres!$A$1:$I$89,5,0)</f>
        <v>1.3301360013429075E-13</v>
      </c>
      <c r="P144" s="13">
        <f t="shared" si="141"/>
        <v>1.9329766731057041E-12</v>
      </c>
      <c r="Q144" s="20">
        <f t="shared" si="108"/>
        <v>3.5982663925596575E-12</v>
      </c>
      <c r="R144" s="59">
        <f t="shared" si="109"/>
        <v>293.3333333333369</v>
      </c>
      <c r="S144" s="59">
        <f ca="1">AVERAGE(OFFSET($R$3,0,0,'Données projet'!$E$9+1,1))-AVERAGE(OFFSET($H$3,0,0,'Données projet'!$E$9+1,1))</f>
        <v>270.18797004581819</v>
      </c>
      <c r="T144" s="59">
        <f t="shared" si="142"/>
        <v>246.88276293504617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24.883532033132152</v>
      </c>
      <c r="AA144" s="21">
        <f>EXP(-LN(2)/25)*AA143+(1-EXP(-LN(2)/25))/(LN(2)/25)*Calculateur!V144*Calculateur!X144*VLOOKUP('Données projet'!$B$9,Paramètres!$A$1:$I$89,3,0)*0.475*44/12</f>
        <v>42.948996971185935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67.83252900431809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-4.5474735088646412E-13</v>
      </c>
      <c r="AJ144" s="13">
        <f>AI144*VLOOKUP('Données projet'!$B$10,Paramètres!$A$1:$I$89,3,0)*VLOOKUP('Données projet'!$B$10,Paramètres!$A$1:$I$89,5,0)</f>
        <v>-4.6111381379887462E-13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374.01259415112554</v>
      </c>
      <c r="AO144" s="59">
        <f t="shared" si="144"/>
        <v>244.5696433180579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73.025336020658173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73.025336020658173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2.8421709430404007E-14</v>
      </c>
      <c r="BE144" s="13">
        <f>BD144*VLOOKUP('Données projet'!$B$11,Paramètres!$A$1:$I$89,3,0)*VLOOKUP('Données projet'!$B$11,Paramètres!$A$1:$I$89,5,0)</f>
        <v>2.3055690689943732E-14</v>
      </c>
      <c r="BF144" s="13">
        <f t="shared" si="145"/>
        <v>4.10868481342271E-13</v>
      </c>
      <c r="BG144" s="20">
        <f t="shared" si="115"/>
        <v>7.5575126628944061E-13</v>
      </c>
      <c r="BH144" s="59">
        <f t="shared" si="116"/>
        <v>293.33333333333405</v>
      </c>
      <c r="BI144" s="59">
        <f ca="1">AVERAGE(OFFSET($BH$3,0,0,'Données projet'!$E$11+1,1))-AVERAGE(OFFSET($H$3,0,0,'Données projet'!$E$11+1,1))</f>
        <v>252.20412072815043</v>
      </c>
      <c r="BJ144" s="59">
        <f t="shared" si="146"/>
        <v>208.19930959443013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26.13928750691548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26.13928750691548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27.778607999999931</v>
      </c>
      <c r="D145" s="11">
        <f t="shared" si="140"/>
        <v>8.6939000766446579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61.939276874020983</v>
      </c>
      <c r="H145" s="67">
        <f t="shared" si="110"/>
        <v>320.18961823348934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2.8421709430404007E-13</v>
      </c>
      <c r="O145" s="13">
        <f>N145*VLOOKUP('Données projet'!$B$9,Paramètres!$A$1:$I$89,3,0)*VLOOKUP('Données projet'!$B$9,Paramètres!$A$1:$I$89,5,0)</f>
        <v>1.3301360013429075E-13</v>
      </c>
      <c r="P145" s="13">
        <f t="shared" si="141"/>
        <v>1.9329766731057041E-12</v>
      </c>
      <c r="Q145" s="20">
        <f t="shared" si="108"/>
        <v>3.5982663925596575E-12</v>
      </c>
      <c r="R145" s="59">
        <f t="shared" si="109"/>
        <v>293.3333333333369</v>
      </c>
      <c r="S145" s="59">
        <f ca="1">AVERAGE(OFFSET($R$3,0,0,'Données projet'!$E$9+1,1))-AVERAGE(OFFSET($H$3,0,0,'Données projet'!$E$9+1,1))</f>
        <v>270.18797004581819</v>
      </c>
      <c r="T145" s="59">
        <f t="shared" si="142"/>
        <v>246.88276293504617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24.395581147418323</v>
      </c>
      <c r="AA145" s="21">
        <f>EXP(-LN(2)/25)*AA144+(1-EXP(-LN(2)/25))/(LN(2)/25)*Calculateur!V145*Calculateur!X145*VLOOKUP('Données projet'!$B$9,Paramètres!$A$1:$I$89,3,0)*0.475*44/12</f>
        <v>41.774554390419269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66.170135537837595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-4.5474735088646412E-13</v>
      </c>
      <c r="AJ145" s="13">
        <f>AI145*VLOOKUP('Données projet'!$B$10,Paramètres!$A$1:$I$89,3,0)*VLOOKUP('Données projet'!$B$10,Paramètres!$A$1:$I$89,5,0)</f>
        <v>-4.6111381379887462E-13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374.01259415112554</v>
      </c>
      <c r="AO145" s="59">
        <f t="shared" si="144"/>
        <v>244.5696433180579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71.593353722349974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71.593353722349974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2.8421709430404007E-14</v>
      </c>
      <c r="BE145" s="13">
        <f>BD145*VLOOKUP('Données projet'!$B$11,Paramètres!$A$1:$I$89,3,0)*VLOOKUP('Données projet'!$B$11,Paramètres!$A$1:$I$89,5,0)</f>
        <v>2.3055690689943732E-14</v>
      </c>
      <c r="BF145" s="13">
        <f t="shared" si="145"/>
        <v>4.10868481342271E-13</v>
      </c>
      <c r="BG145" s="20">
        <f t="shared" si="115"/>
        <v>7.5575126628944061E-13</v>
      </c>
      <c r="BH145" s="59">
        <f t="shared" si="116"/>
        <v>293.33333333333405</v>
      </c>
      <c r="BI145" s="59">
        <f ca="1">AVERAGE(OFFSET($BH$3,0,0,'Données projet'!$E$11+1,1))-AVERAGE(OFFSET($H$3,0,0,'Données projet'!$E$11+1,1))</f>
        <v>252.20412072815043</v>
      </c>
      <c r="BJ145" s="59">
        <f t="shared" si="146"/>
        <v>208.19930959443013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25.626712022295969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25.626712022295969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27.97423199999993</v>
      </c>
      <c r="D146" s="11">
        <f t="shared" si="140"/>
        <v>8.7479760612847635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62.363328777760671</v>
      </c>
      <c r="H146" s="67">
        <f t="shared" si="110"/>
        <v>320.62451237340417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2.8421709430404007E-13</v>
      </c>
      <c r="O146" s="13">
        <f>N146*VLOOKUP('Données projet'!$B$9,Paramètres!$A$1:$I$89,3,0)*VLOOKUP('Données projet'!$B$9,Paramètres!$A$1:$I$89,5,0)</f>
        <v>1.3301360013429075E-13</v>
      </c>
      <c r="P146" s="13">
        <f t="shared" si="141"/>
        <v>1.9329766731057041E-12</v>
      </c>
      <c r="Q146" s="20">
        <f t="shared" si="108"/>
        <v>3.5982663925596575E-12</v>
      </c>
      <c r="R146" s="59">
        <f t="shared" si="109"/>
        <v>293.3333333333369</v>
      </c>
      <c r="S146" s="59">
        <f ca="1">AVERAGE(OFFSET($R$3,0,0,'Données projet'!$E$9+1,1))-AVERAGE(OFFSET($H$3,0,0,'Données projet'!$E$9+1,1))</f>
        <v>270.18797004581819</v>
      </c>
      <c r="T146" s="59">
        <f t="shared" si="142"/>
        <v>246.88276293504617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23.917198680952687</v>
      </c>
      <c r="AA146" s="21">
        <f>EXP(-LN(2)/25)*AA145+(1-EXP(-LN(2)/25))/(LN(2)/25)*Calculateur!V146*Calculateur!X146*VLOOKUP('Données projet'!$B$9,Paramètres!$A$1:$I$89,3,0)*0.475*44/12</f>
        <v>40.632227003784912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64.549425684737599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-4.5474735088646412E-13</v>
      </c>
      <c r="AJ146" s="13">
        <f>AI146*VLOOKUP('Données projet'!$B$10,Paramètres!$A$1:$I$89,3,0)*VLOOKUP('Données projet'!$B$10,Paramètres!$A$1:$I$89,5,0)</f>
        <v>-4.6111381379887462E-13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374.01259415112554</v>
      </c>
      <c r="AO146" s="59">
        <f t="shared" si="144"/>
        <v>244.5696433180579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70.189451723488645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70.189451723488645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2.8421709430404007E-14</v>
      </c>
      <c r="BE146" s="13">
        <f>BD146*VLOOKUP('Données projet'!$B$11,Paramètres!$A$1:$I$89,3,0)*VLOOKUP('Données projet'!$B$11,Paramètres!$A$1:$I$89,5,0)</f>
        <v>2.3055690689943732E-14</v>
      </c>
      <c r="BF146" s="13">
        <f t="shared" si="145"/>
        <v>4.10868481342271E-13</v>
      </c>
      <c r="BG146" s="20">
        <f t="shared" si="115"/>
        <v>7.5575126628944061E-13</v>
      </c>
      <c r="BH146" s="59">
        <f t="shared" si="116"/>
        <v>293.33333333333405</v>
      </c>
      <c r="BI146" s="59">
        <f ca="1">AVERAGE(OFFSET($BH$3,0,0,'Données projet'!$E$11+1,1))-AVERAGE(OFFSET($H$3,0,0,'Données projet'!$E$11+1,1))</f>
        <v>252.20412072815043</v>
      </c>
      <c r="BJ146" s="59">
        <f t="shared" si="146"/>
        <v>208.19930959443013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25.124187830289671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25.124187830289671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28.169855999999928</v>
      </c>
      <c r="D147" s="11">
        <f t="shared" si="140"/>
        <v>8.802008046360136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62.787305959432551</v>
      </c>
      <c r="H147" s="67">
        <f t="shared" si="110"/>
        <v>321.0593298807438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2.8421709430404007E-13</v>
      </c>
      <c r="O147" s="13">
        <f>N147*VLOOKUP('Données projet'!$B$9,Paramètres!$A$1:$I$89,3,0)*VLOOKUP('Données projet'!$B$9,Paramètres!$A$1:$I$89,5,0)</f>
        <v>1.3301360013429075E-13</v>
      </c>
      <c r="P147" s="13">
        <f t="shared" si="141"/>
        <v>1.9329766731057041E-12</v>
      </c>
      <c r="Q147" s="20">
        <f t="shared" si="108"/>
        <v>3.5982663925596575E-12</v>
      </c>
      <c r="R147" s="59">
        <f t="shared" si="109"/>
        <v>293.3333333333369</v>
      </c>
      <c r="S147" s="59">
        <f ca="1">AVERAGE(OFFSET($R$3,0,0,'Données projet'!$E$9+1,1))-AVERAGE(OFFSET($H$3,0,0,'Données projet'!$E$9+1,1))</f>
        <v>270.18797004581819</v>
      </c>
      <c r="T147" s="59">
        <f t="shared" si="142"/>
        <v>246.88276293504617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23.44819700286995</v>
      </c>
      <c r="AA147" s="21">
        <f>EXP(-LN(2)/25)*AA146+(1-EXP(-LN(2)/25))/(LN(2)/25)*Calculateur!V147*Calculateur!X147*VLOOKUP('Données projet'!$B$9,Paramètres!$A$1:$I$89,3,0)*0.475*44/12</f>
        <v>39.521136619610459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62.969333622480406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-4.5474735088646412E-13</v>
      </c>
      <c r="AJ147" s="13">
        <f>AI147*VLOOKUP('Données projet'!$B$10,Paramètres!$A$1:$I$89,3,0)*VLOOKUP('Données projet'!$B$10,Paramètres!$A$1:$I$89,5,0)</f>
        <v>-4.6111381379887462E-13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374.01259415112554</v>
      </c>
      <c r="AO147" s="59">
        <f t="shared" si="144"/>
        <v>244.5696433180579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68.81307938652931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68.81307938652931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2.8421709430404007E-14</v>
      </c>
      <c r="BE147" s="13">
        <f>BD147*VLOOKUP('Données projet'!$B$11,Paramètres!$A$1:$I$89,3,0)*VLOOKUP('Données projet'!$B$11,Paramètres!$A$1:$I$89,5,0)</f>
        <v>2.3055690689943732E-14</v>
      </c>
      <c r="BF147" s="13">
        <f t="shared" si="145"/>
        <v>4.10868481342271E-13</v>
      </c>
      <c r="BG147" s="20">
        <f t="shared" si="115"/>
        <v>7.5575126628944061E-13</v>
      </c>
      <c r="BH147" s="59">
        <f t="shared" si="116"/>
        <v>293.33333333333405</v>
      </c>
      <c r="BI147" s="59">
        <f ca="1">AVERAGE(OFFSET($BH$3,0,0,'Données projet'!$E$11+1,1))-AVERAGE(OFFSET($H$3,0,0,'Données projet'!$E$11+1,1))</f>
        <v>252.20412072815043</v>
      </c>
      <c r="BJ147" s="59">
        <f t="shared" si="146"/>
        <v>208.19930959443013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24.631517831179124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24.631517831179124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28.365479999999927</v>
      </c>
      <c r="D148" s="11">
        <f t="shared" si="140"/>
        <v>8.855996372857291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63.21120899811541</v>
      </c>
      <c r="H148" s="67">
        <f t="shared" si="110"/>
        <v>321.49407134939298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2.8421709430404007E-13</v>
      </c>
      <c r="O148" s="13">
        <f>N148*VLOOKUP('Données projet'!$B$9,Paramètres!$A$1:$I$89,3,0)*VLOOKUP('Données projet'!$B$9,Paramètres!$A$1:$I$89,5,0)</f>
        <v>1.3301360013429075E-13</v>
      </c>
      <c r="P148" s="13">
        <f t="shared" si="141"/>
        <v>1.9329766731057041E-12</v>
      </c>
      <c r="Q148" s="20">
        <f t="shared" si="108"/>
        <v>3.5982663925596575E-12</v>
      </c>
      <c r="R148" s="59">
        <f t="shared" si="109"/>
        <v>293.3333333333369</v>
      </c>
      <c r="S148" s="59">
        <f ca="1">AVERAGE(OFFSET($R$3,0,0,'Données projet'!$E$9+1,1))-AVERAGE(OFFSET($H$3,0,0,'Données projet'!$E$9+1,1))</f>
        <v>270.18797004581819</v>
      </c>
      <c r="T148" s="59">
        <f t="shared" si="142"/>
        <v>246.88276293504617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22.988392161631637</v>
      </c>
      <c r="AA148" s="21">
        <f>EXP(-LN(2)/25)*AA147+(1-EXP(-LN(2)/25))/(LN(2)/25)*Calculateur!V148*Calculateur!X148*VLOOKUP('Données projet'!$B$9,Paramètres!$A$1:$I$89,3,0)*0.475*44/12</f>
        <v>38.440429060420961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61.428821222052598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-4.5474735088646412E-13</v>
      </c>
      <c r="AJ148" s="13">
        <f>AI148*VLOOKUP('Données projet'!$B$10,Paramètres!$A$1:$I$89,3,0)*VLOOKUP('Données projet'!$B$10,Paramètres!$A$1:$I$89,5,0)</f>
        <v>-4.6111381379887462E-13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374.01259415112554</v>
      </c>
      <c r="AO148" s="59">
        <f t="shared" si="144"/>
        <v>244.5696433180579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67.463696871593527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67.463696871593527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2.8421709430404007E-14</v>
      </c>
      <c r="BE148" s="13">
        <f>BD148*VLOOKUP('Données projet'!$B$11,Paramètres!$A$1:$I$89,3,0)*VLOOKUP('Données projet'!$B$11,Paramètres!$A$1:$I$89,5,0)</f>
        <v>2.3055690689943732E-14</v>
      </c>
      <c r="BF148" s="13">
        <f t="shared" si="145"/>
        <v>4.10868481342271E-13</v>
      </c>
      <c r="BG148" s="20">
        <f t="shared" si="115"/>
        <v>7.5575126628944061E-13</v>
      </c>
      <c r="BH148" s="59">
        <f t="shared" si="116"/>
        <v>293.33333333333405</v>
      </c>
      <c r="BI148" s="59">
        <f ca="1">AVERAGE(OFFSET($BH$3,0,0,'Données projet'!$E$11+1,1))-AVERAGE(OFFSET($H$3,0,0,'Données projet'!$E$11+1,1))</f>
        <v>252.20412072815043</v>
      </c>
      <c r="BJ148" s="59">
        <f t="shared" si="146"/>
        <v>208.19930959443013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24.148508790252109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24.148508790252109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28.561103999999926</v>
      </c>
      <c r="D149" s="11">
        <f t="shared" si="140"/>
        <v>8.9099413767876268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63.635038464439212</v>
      </c>
      <c r="H149" s="67">
        <f t="shared" si="110"/>
        <v>321.9287373645717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2.8421709430404007E-13</v>
      </c>
      <c r="O149" s="13">
        <f>N149*VLOOKUP('Données projet'!$B$9,Paramètres!$A$1:$I$89,3,0)*VLOOKUP('Données projet'!$B$9,Paramètres!$A$1:$I$89,5,0)</f>
        <v>1.3301360013429075E-13</v>
      </c>
      <c r="P149" s="13">
        <f t="shared" si="141"/>
        <v>1.9329766731057041E-12</v>
      </c>
      <c r="Q149" s="20">
        <f t="shared" si="108"/>
        <v>3.5982663925596575E-12</v>
      </c>
      <c r="R149" s="59">
        <f t="shared" si="109"/>
        <v>293.3333333333369</v>
      </c>
      <c r="S149" s="59">
        <f ca="1">AVERAGE(OFFSET($R$3,0,0,'Données projet'!$E$9+1,1))-AVERAGE(OFFSET($H$3,0,0,'Données projet'!$E$9+1,1))</f>
        <v>270.18797004581819</v>
      </c>
      <c r="T149" s="59">
        <f t="shared" si="142"/>
        <v>246.88276293504617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22.537603812876746</v>
      </c>
      <c r="AA149" s="21">
        <f>EXP(-LN(2)/25)*AA148+(1-EXP(-LN(2)/25))/(LN(2)/25)*Calculateur!V149*Calculateur!X149*VLOOKUP('Données projet'!$B$9,Paramètres!$A$1:$I$89,3,0)*0.475*44/12</f>
        <v>37.38927350626944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59.926877319146186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-4.5474735088646412E-13</v>
      </c>
      <c r="AJ149" s="13">
        <f>AI149*VLOOKUP('Données projet'!$B$10,Paramètres!$A$1:$I$89,3,0)*VLOOKUP('Données projet'!$B$10,Paramètres!$A$1:$I$89,5,0)</f>
        <v>-4.6111381379887462E-13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374.01259415112554</v>
      </c>
      <c r="AO149" s="59">
        <f t="shared" si="144"/>
        <v>244.5696433180579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66.140774924733563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66.140774924733563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2.8421709430404007E-14</v>
      </c>
      <c r="BE149" s="13">
        <f>BD149*VLOOKUP('Données projet'!$B$11,Paramètres!$A$1:$I$89,3,0)*VLOOKUP('Données projet'!$B$11,Paramètres!$A$1:$I$89,5,0)</f>
        <v>2.3055690689943732E-14</v>
      </c>
      <c r="BF149" s="13">
        <f t="shared" si="145"/>
        <v>4.10868481342271E-13</v>
      </c>
      <c r="BG149" s="20">
        <f t="shared" si="115"/>
        <v>7.5575126628944061E-13</v>
      </c>
      <c r="BH149" s="59">
        <f t="shared" si="116"/>
        <v>293.33333333333405</v>
      </c>
      <c r="BI149" s="59">
        <f ca="1">AVERAGE(OFFSET($BH$3,0,0,'Données projet'!$E$11+1,1))-AVERAGE(OFFSET($H$3,0,0,'Données projet'!$E$11+1,1))</f>
        <v>252.20412072815043</v>
      </c>
      <c r="BJ149" s="59">
        <f t="shared" si="146"/>
        <v>208.19930959443013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23.674971262011244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23.674971262011244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28.756727999999924</v>
      </c>
      <c r="D150" s="11">
        <f t="shared" si="140"/>
        <v>8.9638433892935989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64.058794920765152</v>
      </c>
      <c r="H150" s="67">
        <f t="shared" si="110"/>
        <v>322.3633285030196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2.8421709430404007E-13</v>
      </c>
      <c r="O150" s="13">
        <f>N150*VLOOKUP('Données projet'!$B$9,Paramètres!$A$1:$I$89,3,0)*VLOOKUP('Données projet'!$B$9,Paramètres!$A$1:$I$89,5,0)</f>
        <v>1.3301360013429075E-13</v>
      </c>
      <c r="P150" s="13">
        <f t="shared" si="141"/>
        <v>1.9329766731057041E-12</v>
      </c>
      <c r="Q150" s="20">
        <f t="shared" si="108"/>
        <v>3.5982663925596575E-12</v>
      </c>
      <c r="R150" s="59">
        <f t="shared" si="109"/>
        <v>293.3333333333369</v>
      </c>
      <c r="S150" s="59">
        <f ca="1">AVERAGE(OFFSET($R$3,0,0,'Données projet'!$E$9+1,1))-AVERAGE(OFFSET($H$3,0,0,'Données projet'!$E$9+1,1))</f>
        <v>270.18797004581819</v>
      </c>
      <c r="T150" s="59">
        <f t="shared" si="142"/>
        <v>246.88276293504617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22.095655148687197</v>
      </c>
      <c r="AA150" s="21">
        <f>EXP(-LN(2)/25)*AA149+(1-EXP(-LN(2)/25))/(LN(2)/25)*Calculateur!V150*Calculateur!X150*VLOOKUP('Données projet'!$B$9,Paramètres!$A$1:$I$89,3,0)*0.475*44/12</f>
        <v>36.366861856024066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58.462517004711259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-4.5474735088646412E-13</v>
      </c>
      <c r="AJ150" s="13">
        <f>AI150*VLOOKUP('Données projet'!$B$10,Paramètres!$A$1:$I$89,3,0)*VLOOKUP('Données projet'!$B$10,Paramètres!$A$1:$I$89,5,0)</f>
        <v>-4.6111381379887462E-13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374.01259415112554</v>
      </c>
      <c r="AO150" s="59">
        <f t="shared" si="144"/>
        <v>244.5696433180579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64.843794670348814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64.843794670348814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2.8421709430404007E-14</v>
      </c>
      <c r="BE150" s="13">
        <f>BD150*VLOOKUP('Données projet'!$B$11,Paramètres!$A$1:$I$89,3,0)*VLOOKUP('Données projet'!$B$11,Paramètres!$A$1:$I$89,5,0)</f>
        <v>2.3055690689943732E-14</v>
      </c>
      <c r="BF150" s="13">
        <f t="shared" si="145"/>
        <v>4.10868481342271E-13</v>
      </c>
      <c r="BG150" s="20">
        <f t="shared" si="115"/>
        <v>7.5575126628944061E-13</v>
      </c>
      <c r="BH150" s="59">
        <f t="shared" si="116"/>
        <v>293.33333333333405</v>
      </c>
      <c r="BI150" s="59">
        <f ca="1">AVERAGE(OFFSET($BH$3,0,0,'Données projet'!$E$11+1,1))-AVERAGE(OFFSET($H$3,0,0,'Données projet'!$E$11+1,1))</f>
        <v>252.20412072815043</v>
      </c>
      <c r="BJ150" s="59">
        <f t="shared" si="146"/>
        <v>208.19930959443013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23.210719515869812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23.210719515869812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28.952351999999923</v>
      </c>
      <c r="D151" s="11">
        <f t="shared" si="140"/>
        <v>9.0177027367518736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64.482478921360951</v>
      </c>
      <c r="H151" s="67">
        <f t="shared" si="110"/>
        <v>322.79784533317604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2.8421709430404007E-13</v>
      </c>
      <c r="O151" s="13">
        <f>N151*VLOOKUP('Données projet'!$B$9,Paramètres!$A$1:$I$89,3,0)*VLOOKUP('Données projet'!$B$9,Paramètres!$A$1:$I$89,5,0)</f>
        <v>1.3301360013429075E-13</v>
      </c>
      <c r="P151" s="13">
        <f t="shared" si="141"/>
        <v>1.9329766731057041E-12</v>
      </c>
      <c r="Q151" s="20">
        <f t="shared" si="108"/>
        <v>3.5982663925596575E-12</v>
      </c>
      <c r="R151" s="59">
        <f t="shared" si="109"/>
        <v>293.3333333333369</v>
      </c>
      <c r="S151" s="59">
        <f ca="1">AVERAGE(OFFSET($R$3,0,0,'Données projet'!$E$9+1,1))-AVERAGE(OFFSET($H$3,0,0,'Données projet'!$E$9+1,1))</f>
        <v>270.18797004581819</v>
      </c>
      <c r="T151" s="59">
        <f t="shared" si="142"/>
        <v>246.88276293504617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21.662372828240336</v>
      </c>
      <c r="AA151" s="21">
        <f>EXP(-LN(2)/25)*AA150+(1-EXP(-LN(2)/25))/(LN(2)/25)*Calculateur!V151*Calculateur!X151*VLOOKUP('Données projet'!$B$9,Paramètres!$A$1:$I$89,3,0)*0.475*44/12</f>
        <v>35.372408106120943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57.034780934361279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-4.5474735088646412E-13</v>
      </c>
      <c r="AJ151" s="13">
        <f>AI151*VLOOKUP('Données projet'!$B$10,Paramètres!$A$1:$I$89,3,0)*VLOOKUP('Données projet'!$B$10,Paramètres!$A$1:$I$89,5,0)</f>
        <v>-4.6111381379887462E-13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374.01259415112554</v>
      </c>
      <c r="AO151" s="59">
        <f t="shared" si="144"/>
        <v>244.5696433180579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63.572247407672705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63.572247407672705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2.8421709430404007E-14</v>
      </c>
      <c r="BE151" s="13">
        <f>BD151*VLOOKUP('Données projet'!$B$11,Paramètres!$A$1:$I$89,3,0)*VLOOKUP('Données projet'!$B$11,Paramètres!$A$1:$I$89,5,0)</f>
        <v>2.3055690689943732E-14</v>
      </c>
      <c r="BF151" s="13">
        <f t="shared" si="145"/>
        <v>4.10868481342271E-13</v>
      </c>
      <c r="BG151" s="20">
        <f t="shared" si="115"/>
        <v>7.5575126628944061E-13</v>
      </c>
      <c r="BH151" s="59">
        <f t="shared" si="116"/>
        <v>293.33333333333405</v>
      </c>
      <c r="BI151" s="59">
        <f ca="1">AVERAGE(OFFSET($BH$3,0,0,'Données projet'!$E$11+1,1))-AVERAGE(OFFSET($H$3,0,0,'Données projet'!$E$11+1,1))</f>
        <v>252.20412072815043</v>
      </c>
      <c r="BJ151" s="59">
        <f t="shared" si="146"/>
        <v>208.19930959443013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22.755571463304609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22.755571463304609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29.147975999999922</v>
      </c>
      <c r="D152" s="11">
        <f t="shared" si="140"/>
        <v>9.0715197408736685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64.906091012571281</v>
      </c>
      <c r="H152" s="67">
        <f t="shared" si="110"/>
        <v>323.23228841535484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2.8421709430404007E-13</v>
      </c>
      <c r="O152" s="13">
        <f>N152*VLOOKUP('Données projet'!$B$9,Paramètres!$A$1:$I$89,3,0)*VLOOKUP('Données projet'!$B$9,Paramètres!$A$1:$I$89,5,0)</f>
        <v>1.3301360013429075E-13</v>
      </c>
      <c r="P152" s="13">
        <f t="shared" si="141"/>
        <v>1.9329766731057041E-12</v>
      </c>
      <c r="Q152" s="20">
        <f t="shared" si="108"/>
        <v>3.5982663925596575E-12</v>
      </c>
      <c r="R152" s="59">
        <f t="shared" si="109"/>
        <v>293.3333333333369</v>
      </c>
      <c r="S152" s="59">
        <f ca="1">AVERAGE(OFFSET($R$3,0,0,'Données projet'!$E$9+1,1))-AVERAGE(OFFSET($H$3,0,0,'Données projet'!$E$9+1,1))</f>
        <v>270.18797004581819</v>
      </c>
      <c r="T152" s="59">
        <f t="shared" si="142"/>
        <v>246.88276293504617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21.237586909821317</v>
      </c>
      <c r="AA152" s="21">
        <f>EXP(-LN(2)/25)*AA151+(1-EXP(-LN(2)/25))/(LN(2)/25)*Calculateur!V152*Calculateur!X152*VLOOKUP('Données projet'!$B$9,Paramètres!$A$1:$I$89,3,0)*0.475*44/12</f>
        <v>34.405147746304969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55.642734656126287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-4.5474735088646412E-13</v>
      </c>
      <c r="AJ152" s="13">
        <f>AI152*VLOOKUP('Données projet'!$B$10,Paramètres!$A$1:$I$89,3,0)*VLOOKUP('Données projet'!$B$10,Paramètres!$A$1:$I$89,5,0)</f>
        <v>-4.6111381379887462E-13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374.01259415112554</v>
      </c>
      <c r="AO152" s="59">
        <f t="shared" si="144"/>
        <v>244.5696433180579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62.325634411250427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62.325634411250427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2.8421709430404007E-14</v>
      </c>
      <c r="BE152" s="13">
        <f>BD152*VLOOKUP('Données projet'!$B$11,Paramètres!$A$1:$I$89,3,0)*VLOOKUP('Données projet'!$B$11,Paramètres!$A$1:$I$89,5,0)</f>
        <v>2.3055690689943732E-14</v>
      </c>
      <c r="BF152" s="13">
        <f t="shared" si="145"/>
        <v>4.10868481342271E-13</v>
      </c>
      <c r="BG152" s="20">
        <f t="shared" si="115"/>
        <v>7.5575126628944061E-13</v>
      </c>
      <c r="BH152" s="59">
        <f t="shared" si="116"/>
        <v>293.33333333333405</v>
      </c>
      <c r="BI152" s="59">
        <f ca="1">AVERAGE(OFFSET($BH$3,0,0,'Données projet'!$E$11+1,1))-AVERAGE(OFFSET($H$3,0,0,'Données projet'!$E$11+1,1))</f>
        <v>252.20412072815043</v>
      </c>
      <c r="BJ152" s="59">
        <f t="shared" si="146"/>
        <v>208.19930959443013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22.309348586437309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22.309348586437309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29.34359999999992</v>
      </c>
      <c r="D153" s="11">
        <f t="shared" si="140"/>
        <v>9.1252947188022944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65.329631732983415</v>
      </c>
      <c r="H153" s="67">
        <f t="shared" si="110"/>
        <v>323.66665830191386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2.8421709430404007E-13</v>
      </c>
      <c r="O153" s="13">
        <f>N153*VLOOKUP('Données projet'!$B$9,Paramètres!$A$1:$I$89,3,0)*VLOOKUP('Données projet'!$B$9,Paramètres!$A$1:$I$89,5,0)</f>
        <v>1.3301360013429075E-13</v>
      </c>
      <c r="P153" s="13">
        <f t="shared" si="141"/>
        <v>1.9329766731057041E-12</v>
      </c>
      <c r="Q153" s="20">
        <f t="shared" si="108"/>
        <v>3.5982663925596575E-12</v>
      </c>
      <c r="R153" s="59">
        <f t="shared" si="109"/>
        <v>293.3333333333369</v>
      </c>
      <c r="S153" s="59">
        <f ca="1">AVERAGE(OFFSET($R$3,0,0,'Données projet'!$E$9+1,1))-AVERAGE(OFFSET($H$3,0,0,'Données projet'!$E$9+1,1))</f>
        <v>270.18797004581819</v>
      </c>
      <c r="T153" s="59">
        <f t="shared" si="142"/>
        <v>246.88276293504617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20.82113078416867</v>
      </c>
      <c r="AA153" s="21">
        <f>EXP(-LN(2)/25)*AA152+(1-EXP(-LN(2)/25))/(LN(2)/25)*Calculateur!V153*Calculateur!X153*VLOOKUP('Données projet'!$B$9,Paramètres!$A$1:$I$89,3,0)*0.475*44/12</f>
        <v>33.464337171894172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54.285467956062845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-4.5474735088646412E-13</v>
      </c>
      <c r="AJ153" s="13">
        <f>AI153*VLOOKUP('Données projet'!$B$10,Paramètres!$A$1:$I$89,3,0)*VLOOKUP('Données projet'!$B$10,Paramètres!$A$1:$I$89,5,0)</f>
        <v>-4.6111381379887462E-13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374.01259415112554</v>
      </c>
      <c r="AO153" s="59">
        <f t="shared" si="144"/>
        <v>244.5696433180579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61.103466735329135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61.103466735329135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2.8421709430404007E-14</v>
      </c>
      <c r="BE153" s="13">
        <f>BD153*VLOOKUP('Données projet'!$B$11,Paramètres!$A$1:$I$89,3,0)*VLOOKUP('Données projet'!$B$11,Paramètres!$A$1:$I$89,5,0)</f>
        <v>2.3055690689943732E-14</v>
      </c>
      <c r="BF153" s="13">
        <f t="shared" si="145"/>
        <v>4.10868481342271E-13</v>
      </c>
      <c r="BG153" s="20">
        <f t="shared" si="115"/>
        <v>7.5575126628944061E-13</v>
      </c>
      <c r="BH153" s="59">
        <f t="shared" si="116"/>
        <v>293.33333333333405</v>
      </c>
      <c r="BI153" s="59">
        <f ca="1">AVERAGE(OFFSET($BH$3,0,0,'Données projet'!$E$11+1,1))-AVERAGE(OFFSET($H$3,0,0,'Données projet'!$E$11+1,1))</f>
        <v>252.20412072815043</v>
      </c>
      <c r="BJ153" s="59">
        <f t="shared" si="146"/>
        <v>208.19930959443013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21.871875868016296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21.871875868016296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29.539223999999919</v>
      </c>
      <c r="D154" s="11">
        <f t="shared" si="140"/>
        <v>9.1790279832080106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65.7531016135882</v>
      </c>
      <c r="H154" s="67">
        <f t="shared" si="110"/>
        <v>324.10095553742048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2.8421709430404007E-13</v>
      </c>
      <c r="O154" s="13">
        <f>N154*VLOOKUP('Données projet'!$B$9,Paramètres!$A$1:$I$89,3,0)*VLOOKUP('Données projet'!$B$9,Paramètres!$A$1:$I$89,5,0)</f>
        <v>1.3301360013429075E-13</v>
      </c>
      <c r="P154" s="13">
        <f t="shared" si="141"/>
        <v>1.9329766731057041E-12</v>
      </c>
      <c r="Q154" s="20">
        <f t="shared" ref="Q154:Q203" si="162">(O154+P154)*0.475*44/12</f>
        <v>3.5982663925596575E-12</v>
      </c>
      <c r="R154" s="59">
        <f t="shared" si="109"/>
        <v>293.3333333333369</v>
      </c>
      <c r="S154" s="59">
        <f ca="1">AVERAGE(OFFSET($R$3,0,0,'Données projet'!$E$9+1,1))-AVERAGE(OFFSET($H$3,0,0,'Données projet'!$E$9+1,1))</f>
        <v>270.18797004581819</v>
      </c>
      <c r="T154" s="59">
        <f t="shared" si="142"/>
        <v>246.88276293504617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20.412841109126916</v>
      </c>
      <c r="AA154" s="21">
        <f>EXP(-LN(2)/25)*AA153+(1-EXP(-LN(2)/25))/(LN(2)/25)*Calculateur!V154*Calculateur!X154*VLOOKUP('Données projet'!$B$9,Paramètres!$A$1:$I$89,3,0)*0.475*44/12</f>
        <v>32.549253112115721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52.962094221242637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-4.5474735088646412E-13</v>
      </c>
      <c r="AJ154" s="13">
        <f>AI154*VLOOKUP('Données projet'!$B$10,Paramètres!$A$1:$I$89,3,0)*VLOOKUP('Données projet'!$B$10,Paramètres!$A$1:$I$89,5,0)</f>
        <v>-4.6111381379887462E-13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374.01259415112554</v>
      </c>
      <c r="AO154" s="59">
        <f t="shared" si="144"/>
        <v>244.5696433180579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59.905265022083988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59.905265022083988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2.8421709430404007E-14</v>
      </c>
      <c r="BE154" s="13">
        <f>BD154*VLOOKUP('Données projet'!$B$11,Paramètres!$A$1:$I$89,3,0)*VLOOKUP('Données projet'!$B$11,Paramètres!$A$1:$I$89,5,0)</f>
        <v>2.3055690689943732E-14</v>
      </c>
      <c r="BF154" s="13">
        <f t="shared" ref="BF154:BF203" si="167">EXP(-1.0587+0.8836*LN(BE154)+0.284)</f>
        <v>4.10868481342271E-13</v>
      </c>
      <c r="BG154" s="20">
        <f t="shared" ref="BG154:BG203" si="168">(BE154+BF154)*0.475*44/12</f>
        <v>7.5575126628944061E-13</v>
      </c>
      <c r="BH154" s="59">
        <f t="shared" si="116"/>
        <v>293.33333333333405</v>
      </c>
      <c r="BI154" s="59">
        <f ca="1">AVERAGE(OFFSET($BH$3,0,0,'Données projet'!$E$11+1,1))-AVERAGE(OFFSET($H$3,0,0,'Données projet'!$E$11+1,1))</f>
        <v>252.20412072815043</v>
      </c>
      <c r="BJ154" s="59">
        <f t="shared" si="146"/>
        <v>208.19930959443013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21.44298172277151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21.44298172277151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29.734847999999918</v>
      </c>
      <c r="D155" s="11">
        <f t="shared" si="140"/>
        <v>9.2327198423803232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66.17650117793697</v>
      </c>
      <c r="H155" s="67">
        <f t="shared" si="110"/>
        <v>324.53518065881229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2.8421709430404007E-13</v>
      </c>
      <c r="O155" s="13">
        <f>N155*VLOOKUP('Données projet'!$B$9,Paramètres!$A$1:$I$89,3,0)*VLOOKUP('Données projet'!$B$9,Paramètres!$A$1:$I$89,5,0)</f>
        <v>1.3301360013429075E-13</v>
      </c>
      <c r="P155" s="13">
        <f t="shared" si="141"/>
        <v>1.9329766731057041E-12</v>
      </c>
      <c r="Q155" s="20">
        <f t="shared" si="162"/>
        <v>3.5982663925596575E-12</v>
      </c>
      <c r="R155" s="59">
        <f t="shared" si="109"/>
        <v>293.3333333333369</v>
      </c>
      <c r="S155" s="59">
        <f ca="1">AVERAGE(OFFSET($R$3,0,0,'Données projet'!$E$9+1,1))-AVERAGE(OFFSET($H$3,0,0,'Données projet'!$E$9+1,1))</f>
        <v>270.18797004581819</v>
      </c>
      <c r="T155" s="59">
        <f t="shared" si="142"/>
        <v>246.88276293504617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20.012557745580619</v>
      </c>
      <c r="AA155" s="21">
        <f>EXP(-LN(2)/25)*AA154+(1-EXP(-LN(2)/25))/(LN(2)/25)*Calculateur!V155*Calculateur!X155*VLOOKUP('Données projet'!$B$9,Paramètres!$A$1:$I$89,3,0)*0.475*44/12</f>
        <v>31.659192074074088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51.671749819654707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-4.5474735088646412E-13</v>
      </c>
      <c r="AJ155" s="13">
        <f>AI155*VLOOKUP('Données projet'!$B$10,Paramètres!$A$1:$I$89,3,0)*VLOOKUP('Données projet'!$B$10,Paramètres!$A$1:$I$89,5,0)</f>
        <v>-4.6111381379887462E-13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374.01259415112554</v>
      </c>
      <c r="AO155" s="59">
        <f t="shared" si="144"/>
        <v>244.5696433180579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58.730559313604694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58.730559313604694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2.8421709430404007E-14</v>
      </c>
      <c r="BE155" s="13">
        <f>BD155*VLOOKUP('Données projet'!$B$11,Paramètres!$A$1:$I$89,3,0)*VLOOKUP('Données projet'!$B$11,Paramètres!$A$1:$I$89,5,0)</f>
        <v>2.3055690689943732E-14</v>
      </c>
      <c r="BF155" s="13">
        <f t="shared" si="167"/>
        <v>4.10868481342271E-13</v>
      </c>
      <c r="BG155" s="20">
        <f t="shared" si="168"/>
        <v>7.5575126628944061E-13</v>
      </c>
      <c r="BH155" s="59">
        <f t="shared" si="116"/>
        <v>293.33333333333405</v>
      </c>
      <c r="BI155" s="59">
        <f ca="1">AVERAGE(OFFSET($BH$3,0,0,'Données projet'!$E$11+1,1))-AVERAGE(OFFSET($H$3,0,0,'Données projet'!$E$11+1,1))</f>
        <v>252.20412072815043</v>
      </c>
      <c r="BJ155" s="59">
        <f t="shared" si="146"/>
        <v>208.19930959443013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21.022497930115374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21.022497930115374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29.930471999999916</v>
      </c>
      <c r="D156" s="11">
        <f t="shared" si="140"/>
        <v>9.286370600317758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66.599830942293877</v>
      </c>
      <c r="H156" s="67">
        <f t="shared" si="110"/>
        <v>324.9693341955533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2.8421709430404007E-13</v>
      </c>
      <c r="O156" s="13">
        <f>N156*VLOOKUP('Données projet'!$B$9,Paramètres!$A$1:$I$89,3,0)*VLOOKUP('Données projet'!$B$9,Paramètres!$A$1:$I$89,5,0)</f>
        <v>1.3301360013429075E-13</v>
      </c>
      <c r="P156" s="13">
        <f t="shared" si="141"/>
        <v>1.9329766731057041E-12</v>
      </c>
      <c r="Q156" s="20">
        <f t="shared" si="162"/>
        <v>3.5982663925596575E-12</v>
      </c>
      <c r="R156" s="59">
        <f t="shared" si="109"/>
        <v>293.3333333333369</v>
      </c>
      <c r="S156" s="59">
        <f ca="1">AVERAGE(OFFSET($R$3,0,0,'Données projet'!$E$9+1,1))-AVERAGE(OFFSET($H$3,0,0,'Données projet'!$E$9+1,1))</f>
        <v>270.18797004581819</v>
      </c>
      <c r="T156" s="59">
        <f t="shared" si="142"/>
        <v>246.88276293504617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19.620123694644722</v>
      </c>
      <c r="AA156" s="21">
        <f>EXP(-LN(2)/25)*AA155+(1-EXP(-LN(2)/25))/(LN(2)/25)*Calculateur!V156*Calculateur!X156*VLOOKUP('Données projet'!$B$9,Paramètres!$A$1:$I$89,3,0)*0.475*44/12</f>
        <v>30.79346980192398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50.413593496568701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-4.5474735088646412E-13</v>
      </c>
      <c r="AJ156" s="13">
        <f>AI156*VLOOKUP('Données projet'!$B$10,Paramètres!$A$1:$I$89,3,0)*VLOOKUP('Données projet'!$B$10,Paramètres!$A$1:$I$89,5,0)</f>
        <v>-4.6111381379887462E-13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374.01259415112554</v>
      </c>
      <c r="AO156" s="59">
        <f t="shared" si="144"/>
        <v>244.5696433180579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57.578888867568949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57.578888867568949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2.8421709430404007E-14</v>
      </c>
      <c r="BE156" s="13">
        <f>BD156*VLOOKUP('Données projet'!$B$11,Paramètres!$A$1:$I$89,3,0)*VLOOKUP('Données projet'!$B$11,Paramètres!$A$1:$I$89,5,0)</f>
        <v>2.3055690689943732E-14</v>
      </c>
      <c r="BF156" s="13">
        <f t="shared" si="167"/>
        <v>4.10868481342271E-13</v>
      </c>
      <c r="BG156" s="20">
        <f t="shared" si="168"/>
        <v>7.5575126628944061E-13</v>
      </c>
      <c r="BH156" s="59">
        <f t="shared" si="116"/>
        <v>293.33333333333405</v>
      </c>
      <c r="BI156" s="59">
        <f ca="1">AVERAGE(OFFSET($BH$3,0,0,'Données projet'!$E$11+1,1))-AVERAGE(OFFSET($H$3,0,0,'Données projet'!$E$11+1,1))</f>
        <v>252.20412072815043</v>
      </c>
      <c r="BJ156" s="59">
        <f t="shared" si="146"/>
        <v>208.19930959443013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20.610259568163436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20.610259568163436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30.126095999999915</v>
      </c>
      <c r="D157" s="11">
        <f t="shared" si="140"/>
        <v>9.339980556815247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67.02309141578435</v>
      </c>
      <c r="H157" s="67">
        <f t="shared" si="110"/>
        <v>325.40341666978645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2.8421709430404007E-13</v>
      </c>
      <c r="O157" s="13">
        <f>N157*VLOOKUP('Données projet'!$B$9,Paramètres!$A$1:$I$89,3,0)*VLOOKUP('Données projet'!$B$9,Paramètres!$A$1:$I$89,5,0)</f>
        <v>1.3301360013429075E-13</v>
      </c>
      <c r="P157" s="13">
        <f t="shared" si="141"/>
        <v>1.9329766731057041E-12</v>
      </c>
      <c r="Q157" s="20">
        <f t="shared" si="162"/>
        <v>3.5982663925596575E-12</v>
      </c>
      <c r="R157" s="59">
        <f t="shared" si="109"/>
        <v>293.3333333333369</v>
      </c>
      <c r="S157" s="59">
        <f ca="1">AVERAGE(OFFSET($R$3,0,0,'Données projet'!$E$9+1,1))-AVERAGE(OFFSET($H$3,0,0,'Données projet'!$E$9+1,1))</f>
        <v>270.18797004581819</v>
      </c>
      <c r="T157" s="59">
        <f t="shared" si="142"/>
        <v>246.88276293504617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19.235385036086541</v>
      </c>
      <c r="AA157" s="21">
        <f>EXP(-LN(2)/25)*AA156+(1-EXP(-LN(2)/25))/(LN(2)/25)*Calculateur!V157*Calculateur!X157*VLOOKUP('Données projet'!$B$9,Paramètres!$A$1:$I$89,3,0)*0.475*44/12</f>
        <v>29.95142075083217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49.186805786918711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-4.5474735088646412E-13</v>
      </c>
      <c r="AJ157" s="13">
        <f>AI157*VLOOKUP('Données projet'!$B$10,Paramètres!$A$1:$I$89,3,0)*VLOOKUP('Données projet'!$B$10,Paramètres!$A$1:$I$89,5,0)</f>
        <v>-4.6111381379887462E-13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374.01259415112554</v>
      </c>
      <c r="AO157" s="59">
        <f t="shared" si="144"/>
        <v>244.5696433180579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56.449801976530352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56.449801976530352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2.8421709430404007E-14</v>
      </c>
      <c r="BE157" s="13">
        <f>BD157*VLOOKUP('Données projet'!$B$11,Paramètres!$A$1:$I$89,3,0)*VLOOKUP('Données projet'!$B$11,Paramètres!$A$1:$I$89,5,0)</f>
        <v>2.3055690689943732E-14</v>
      </c>
      <c r="BF157" s="13">
        <f t="shared" si="167"/>
        <v>4.10868481342271E-13</v>
      </c>
      <c r="BG157" s="20">
        <f t="shared" si="168"/>
        <v>7.5575126628944061E-13</v>
      </c>
      <c r="BH157" s="59">
        <f t="shared" si="116"/>
        <v>293.33333333333405</v>
      </c>
      <c r="BI157" s="59">
        <f ca="1">AVERAGE(OFFSET($BH$3,0,0,'Données projet'!$E$11+1,1))-AVERAGE(OFFSET($H$3,0,0,'Données projet'!$E$11+1,1))</f>
        <v>252.20412072815043</v>
      </c>
      <c r="BJ157" s="59">
        <f t="shared" si="146"/>
        <v>208.19930959443013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20.206104949048804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20.206104949048804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30.321719999999914</v>
      </c>
      <c r="D158" s="11">
        <f t="shared" si="140"/>
        <v>9.3935500075491447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67.446283100539461</v>
      </c>
      <c r="H158" s="67">
        <f t="shared" si="110"/>
        <v>325.83742859648129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2.8421709430404007E-13</v>
      </c>
      <c r="O158" s="13">
        <f>N158*VLOOKUP('Données projet'!$B$9,Paramètres!$A$1:$I$89,3,0)*VLOOKUP('Données projet'!$B$9,Paramètres!$A$1:$I$89,5,0)</f>
        <v>1.3301360013429075E-13</v>
      </c>
      <c r="P158" s="13">
        <f t="shared" si="141"/>
        <v>1.9329766731057041E-12</v>
      </c>
      <c r="Q158" s="20">
        <f t="shared" si="162"/>
        <v>3.5982663925596575E-12</v>
      </c>
      <c r="R158" s="59">
        <f t="shared" si="109"/>
        <v>293.3333333333369</v>
      </c>
      <c r="S158" s="59">
        <f ca="1">AVERAGE(OFFSET($R$3,0,0,'Données projet'!$E$9+1,1))-AVERAGE(OFFSET($H$3,0,0,'Données projet'!$E$9+1,1))</f>
        <v>270.18797004581819</v>
      </c>
      <c r="T158" s="59">
        <f t="shared" si="142"/>
        <v>246.88276293504617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18.858190867955276</v>
      </c>
      <c r="AA158" s="21">
        <f>EXP(-LN(2)/25)*AA157+(1-EXP(-LN(2)/25))/(LN(2)/25)*Calculateur!V158*Calculateur!X158*VLOOKUP('Données projet'!$B$9,Paramètres!$A$1:$I$89,3,0)*0.475*44/12</f>
        <v>29.132397575323903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47.990588443279179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-4.5474735088646412E-13</v>
      </c>
      <c r="AJ158" s="13">
        <f>AI158*VLOOKUP('Données projet'!$B$10,Paramètres!$A$1:$I$89,3,0)*VLOOKUP('Données projet'!$B$10,Paramètres!$A$1:$I$89,5,0)</f>
        <v>-4.6111381379887462E-13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374.01259415112554</v>
      </c>
      <c r="AO158" s="59">
        <f t="shared" si="144"/>
        <v>244.5696433180579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55.342855790750022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55.342855790750022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2.8421709430404007E-14</v>
      </c>
      <c r="BE158" s="13">
        <f>BD158*VLOOKUP('Données projet'!$B$11,Paramètres!$A$1:$I$89,3,0)*VLOOKUP('Données projet'!$B$11,Paramètres!$A$1:$I$89,5,0)</f>
        <v>2.3055690689943732E-14</v>
      </c>
      <c r="BF158" s="13">
        <f t="shared" si="167"/>
        <v>4.10868481342271E-13</v>
      </c>
      <c r="BG158" s="20">
        <f t="shared" si="168"/>
        <v>7.5575126628944061E-13</v>
      </c>
      <c r="BH158" s="59">
        <f t="shared" si="116"/>
        <v>293.33333333333405</v>
      </c>
      <c r="BI158" s="59">
        <f ca="1">AVERAGE(OFFSET($BH$3,0,0,'Données projet'!$E$11+1,1))-AVERAGE(OFFSET($H$3,0,0,'Données projet'!$E$11+1,1))</f>
        <v>252.20412072815043</v>
      </c>
      <c r="BJ158" s="59">
        <f t="shared" si="146"/>
        <v>208.19930959443013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19.80987555550503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19.80987555550503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30.517343999999913</v>
      </c>
      <c r="D159" s="11">
        <f t="shared" si="140"/>
        <v>9.4470792441600171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67.869406491836529</v>
      </c>
      <c r="H159" s="67">
        <f t="shared" si="110"/>
        <v>326.27137048357855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2.8421709430404007E-13</v>
      </c>
      <c r="O159" s="13">
        <f>N159*VLOOKUP('Données projet'!$B$9,Paramètres!$A$1:$I$89,3,0)*VLOOKUP('Données projet'!$B$9,Paramètres!$A$1:$I$89,5,0)</f>
        <v>1.3301360013429075E-13</v>
      </c>
      <c r="P159" s="13">
        <f t="shared" si="141"/>
        <v>1.9329766731057041E-12</v>
      </c>
      <c r="Q159" s="20">
        <f t="shared" si="162"/>
        <v>3.5982663925596575E-12</v>
      </c>
      <c r="R159" s="59">
        <f t="shared" si="109"/>
        <v>293.3333333333369</v>
      </c>
      <c r="S159" s="59">
        <f ca="1">AVERAGE(OFFSET($R$3,0,0,'Données projet'!$E$9+1,1))-AVERAGE(OFFSET($H$3,0,0,'Données projet'!$E$9+1,1))</f>
        <v>270.18797004581819</v>
      </c>
      <c r="T159" s="59">
        <f t="shared" si="142"/>
        <v>246.88276293504617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18.48839324739534</v>
      </c>
      <c r="AA159" s="21">
        <f>EXP(-LN(2)/25)*AA158+(1-EXP(-LN(2)/25))/(LN(2)/25)*Calculateur!V159*Calculateur!X159*VLOOKUP('Données projet'!$B$9,Paramètres!$A$1:$I$89,3,0)*0.475*44/12</f>
        <v>28.335770631620466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46.824163879015806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-4.5474735088646412E-13</v>
      </c>
      <c r="AJ159" s="13">
        <f>AI159*VLOOKUP('Données projet'!$B$10,Paramètres!$A$1:$I$89,3,0)*VLOOKUP('Données projet'!$B$10,Paramètres!$A$1:$I$89,5,0)</f>
        <v>-4.6111381379887462E-13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374.01259415112554</v>
      </c>
      <c r="AO159" s="59">
        <f t="shared" si="144"/>
        <v>244.5696433180579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54.257616144502336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54.257616144502336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2.8421709430404007E-14</v>
      </c>
      <c r="BE159" s="13">
        <f>BD159*VLOOKUP('Données projet'!$B$11,Paramètres!$A$1:$I$89,3,0)*VLOOKUP('Données projet'!$B$11,Paramètres!$A$1:$I$89,5,0)</f>
        <v>2.3055690689943732E-14</v>
      </c>
      <c r="BF159" s="13">
        <f t="shared" si="167"/>
        <v>4.10868481342271E-13</v>
      </c>
      <c r="BG159" s="20">
        <f t="shared" si="168"/>
        <v>7.5575126628944061E-13</v>
      </c>
      <c r="BH159" s="59">
        <f t="shared" si="116"/>
        <v>293.33333333333405</v>
      </c>
      <c r="BI159" s="59">
        <f ca="1">AVERAGE(OFFSET($BH$3,0,0,'Données projet'!$E$11+1,1))-AVERAGE(OFFSET($H$3,0,0,'Données projet'!$E$11+1,1))</f>
        <v>252.20412072815043</v>
      </c>
      <c r="BJ159" s="59">
        <f t="shared" si="146"/>
        <v>208.19930959443013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19.421415978692586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19.421415978692586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30.712967999999911</v>
      </c>
      <c r="D160" s="11">
        <f t="shared" si="140"/>
        <v>9.5005685543332365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68.292462078235943</v>
      </c>
      <c r="H160" s="67">
        <f t="shared" si="110"/>
        <v>326.70524283213024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2.8421709430404007E-13</v>
      </c>
      <c r="O160" s="13">
        <f>N160*VLOOKUP('Données projet'!$B$9,Paramètres!$A$1:$I$89,3,0)*VLOOKUP('Données projet'!$B$9,Paramètres!$A$1:$I$89,5,0)</f>
        <v>1.3301360013429075E-13</v>
      </c>
      <c r="P160" s="13">
        <f t="shared" si="141"/>
        <v>1.9329766731057041E-12</v>
      </c>
      <c r="Q160" s="20">
        <f t="shared" si="162"/>
        <v>3.5982663925596575E-12</v>
      </c>
      <c r="R160" s="59">
        <f t="shared" si="109"/>
        <v>293.3333333333369</v>
      </c>
      <c r="S160" s="59">
        <f ca="1">AVERAGE(OFFSET($R$3,0,0,'Données projet'!$E$9+1,1))-AVERAGE(OFFSET($H$3,0,0,'Données projet'!$E$9+1,1))</f>
        <v>270.18797004581819</v>
      </c>
      <c r="T160" s="59">
        <f t="shared" si="142"/>
        <v>246.88276293504617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18.125847132620308</v>
      </c>
      <c r="AA160" s="21">
        <f>EXP(-LN(2)/25)*AA159+(1-EXP(-LN(2)/25))/(LN(2)/25)*Calculateur!V160*Calculateur!X160*VLOOKUP('Données projet'!$B$9,Paramètres!$A$1:$I$89,3,0)*0.475*44/12</f>
        <v>27.560927493585389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45.686774626205697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-4.5474735088646412E-13</v>
      </c>
      <c r="AJ160" s="13">
        <f>AI160*VLOOKUP('Données projet'!$B$10,Paramètres!$A$1:$I$89,3,0)*VLOOKUP('Données projet'!$B$10,Paramètres!$A$1:$I$89,5,0)</f>
        <v>-4.6111381379887462E-13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374.01259415112554</v>
      </c>
      <c r="AO160" s="59">
        <f t="shared" si="144"/>
        <v>244.5696433180579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53.193657385786743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53.193657385786743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2.8421709430404007E-14</v>
      </c>
      <c r="BE160" s="13">
        <f>BD160*VLOOKUP('Données projet'!$B$11,Paramètres!$A$1:$I$89,3,0)*VLOOKUP('Données projet'!$B$11,Paramètres!$A$1:$I$89,5,0)</f>
        <v>2.3055690689943732E-14</v>
      </c>
      <c r="BF160" s="13">
        <f t="shared" si="167"/>
        <v>4.10868481342271E-13</v>
      </c>
      <c r="BG160" s="20">
        <f t="shared" si="168"/>
        <v>7.5575126628944061E-13</v>
      </c>
      <c r="BH160" s="59">
        <f t="shared" si="116"/>
        <v>293.33333333333405</v>
      </c>
      <c r="BI160" s="59">
        <f ca="1">AVERAGE(OFFSET($BH$3,0,0,'Données projet'!$E$11+1,1))-AVERAGE(OFFSET($H$3,0,0,'Données projet'!$E$11+1,1))</f>
        <v>252.20412072815043</v>
      </c>
      <c r="BJ160" s="59">
        <f t="shared" si="146"/>
        <v>208.19930959443013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19.040573857244485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19.040573857244485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30.90859199999991</v>
      </c>
      <c r="D161" s="11">
        <f t="shared" si="140"/>
        <v>9.5540182218774721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68.715450341714586</v>
      </c>
      <c r="H161" s="67">
        <f t="shared" si="110"/>
        <v>327.13904613643649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2.8421709430404007E-13</v>
      </c>
      <c r="O161" s="13">
        <f>N161*VLOOKUP('Données projet'!$B$9,Paramètres!$A$1:$I$89,3,0)*VLOOKUP('Données projet'!$B$9,Paramètres!$A$1:$I$89,5,0)</f>
        <v>1.3301360013429075E-13</v>
      </c>
      <c r="P161" s="13">
        <f t="shared" si="141"/>
        <v>1.9329766731057041E-12</v>
      </c>
      <c r="Q161" s="20">
        <f t="shared" si="162"/>
        <v>3.5982663925596575E-12</v>
      </c>
      <c r="R161" s="59">
        <f t="shared" si="109"/>
        <v>293.3333333333369</v>
      </c>
      <c r="S161" s="59">
        <f ca="1">AVERAGE(OFFSET($R$3,0,0,'Données projet'!$E$9+1,1))-AVERAGE(OFFSET($H$3,0,0,'Données projet'!$E$9+1,1))</f>
        <v>270.18797004581819</v>
      </c>
      <c r="T161" s="59">
        <f t="shared" si="142"/>
        <v>246.88276293504617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17.770410326024717</v>
      </c>
      <c r="AA161" s="21">
        <f>EXP(-LN(2)/25)*AA160+(1-EXP(-LN(2)/25))/(LN(2)/25)*Calculateur!V161*Calculateur!X161*VLOOKUP('Données projet'!$B$9,Paramètres!$A$1:$I$89,3,0)*0.475*44/12</f>
        <v>26.807272481907113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44.577682807931829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-4.5474735088646412E-13</v>
      </c>
      <c r="AJ161" s="13">
        <f>AI161*VLOOKUP('Données projet'!$B$10,Paramètres!$A$1:$I$89,3,0)*VLOOKUP('Données projet'!$B$10,Paramètres!$A$1:$I$89,5,0)</f>
        <v>-4.6111381379887462E-13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374.01259415112554</v>
      </c>
      <c r="AO161" s="59">
        <f t="shared" si="144"/>
        <v>244.5696433180579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52.150562209378798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52.150562209378798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2.8421709430404007E-14</v>
      </c>
      <c r="BE161" s="13">
        <f>BD161*VLOOKUP('Données projet'!$B$11,Paramètres!$A$1:$I$89,3,0)*VLOOKUP('Données projet'!$B$11,Paramètres!$A$1:$I$89,5,0)</f>
        <v>2.3055690689943732E-14</v>
      </c>
      <c r="BF161" s="13">
        <f t="shared" si="167"/>
        <v>4.10868481342271E-13</v>
      </c>
      <c r="BG161" s="20">
        <f t="shared" si="168"/>
        <v>7.5575126628944061E-13</v>
      </c>
      <c r="BH161" s="59">
        <f t="shared" si="116"/>
        <v>293.33333333333405</v>
      </c>
      <c r="BI161" s="59">
        <f ca="1">AVERAGE(OFFSET($BH$3,0,0,'Données projet'!$E$11+1,1))-AVERAGE(OFFSET($H$3,0,0,'Données projet'!$E$11+1,1))</f>
        <v>252.20412072815043</v>
      </c>
      <c r="BJ161" s="59">
        <f t="shared" si="146"/>
        <v>208.19930959443013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18.667199817507225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18.667199817507225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31.104215999999909</v>
      </c>
      <c r="D162" s="11">
        <f t="shared" si="140"/>
        <v>9.6074285268011046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69.138371757795397</v>
      </c>
      <c r="H162" s="67">
        <f t="shared" si="110"/>
        <v>327.57278088417843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2.8421709430404007E-13</v>
      </c>
      <c r="O162" s="13">
        <f>N162*VLOOKUP('Données projet'!$B$9,Paramètres!$A$1:$I$89,3,0)*VLOOKUP('Données projet'!$B$9,Paramètres!$A$1:$I$89,5,0)</f>
        <v>1.3301360013429075E-13</v>
      </c>
      <c r="P162" s="13">
        <f t="shared" si="141"/>
        <v>1.9329766731057041E-12</v>
      </c>
      <c r="Q162" s="20">
        <f t="shared" si="162"/>
        <v>3.5982663925596575E-12</v>
      </c>
      <c r="R162" s="59">
        <f t="shared" si="109"/>
        <v>293.3333333333369</v>
      </c>
      <c r="S162" s="59">
        <f ca="1">AVERAGE(OFFSET($R$3,0,0,'Données projet'!$E$9+1,1))-AVERAGE(OFFSET($H$3,0,0,'Données projet'!$E$9+1,1))</f>
        <v>270.18797004581819</v>
      </c>
      <c r="T162" s="59">
        <f t="shared" si="142"/>
        <v>246.88276293504617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17.42194341841142</v>
      </c>
      <c r="AA162" s="21">
        <f>EXP(-LN(2)/25)*AA161+(1-EXP(-LN(2)/25))/(LN(2)/25)*Calculateur!V162*Calculateur!X162*VLOOKUP('Données projet'!$B$9,Paramètres!$A$1:$I$89,3,0)*0.475*44/12</f>
        <v>26.074226206156172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43.496169624567592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-4.5474735088646412E-13</v>
      </c>
      <c r="AJ162" s="13">
        <f>AI162*VLOOKUP('Données projet'!$B$10,Paramètres!$A$1:$I$89,3,0)*VLOOKUP('Données projet'!$B$10,Paramètres!$A$1:$I$89,5,0)</f>
        <v>-4.6111381379887462E-13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374.01259415112554</v>
      </c>
      <c r="AO162" s="59">
        <f t="shared" si="144"/>
        <v>244.5696433180579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51.127921493154979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51.127921493154979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2.8421709430404007E-14</v>
      </c>
      <c r="BE162" s="13">
        <f>BD162*VLOOKUP('Données projet'!$B$11,Paramètres!$A$1:$I$89,3,0)*VLOOKUP('Données projet'!$B$11,Paramètres!$A$1:$I$89,5,0)</f>
        <v>2.3055690689943732E-14</v>
      </c>
      <c r="BF162" s="13">
        <f t="shared" si="167"/>
        <v>4.10868481342271E-13</v>
      </c>
      <c r="BG162" s="20">
        <f t="shared" si="168"/>
        <v>7.5575126628944061E-13</v>
      </c>
      <c r="BH162" s="59">
        <f t="shared" si="116"/>
        <v>293.33333333333405</v>
      </c>
      <c r="BI162" s="59">
        <f ca="1">AVERAGE(OFFSET($BH$3,0,0,'Données projet'!$E$11+1,1))-AVERAGE(OFFSET($H$3,0,0,'Données projet'!$E$11+1,1))</f>
        <v>252.20412072815043</v>
      </c>
      <c r="BJ162" s="59">
        <f t="shared" si="146"/>
        <v>208.19930959443013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18.301147414953537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18.301147414953537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31.299839999999907</v>
      </c>
      <c r="D163" s="11">
        <f t="shared" si="140"/>
        <v>9.6607997453867096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69.561226795674116</v>
      </c>
      <c r="H163" s="67">
        <f t="shared" si="110"/>
        <v>328.00644755654838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2.8421709430404007E-13</v>
      </c>
      <c r="O163" s="13">
        <f>N163*VLOOKUP('Données projet'!$B$9,Paramètres!$A$1:$I$89,3,0)*VLOOKUP('Données projet'!$B$9,Paramètres!$A$1:$I$89,5,0)</f>
        <v>1.3301360013429075E-13</v>
      </c>
      <c r="P163" s="13">
        <f t="shared" si="141"/>
        <v>1.9329766731057041E-12</v>
      </c>
      <c r="Q163" s="20">
        <f t="shared" si="162"/>
        <v>3.5982663925596575E-12</v>
      </c>
      <c r="R163" s="59">
        <f t="shared" si="109"/>
        <v>293.3333333333369</v>
      </c>
      <c r="S163" s="59">
        <f ca="1">AVERAGE(OFFSET($R$3,0,0,'Données projet'!$E$9+1,1))-AVERAGE(OFFSET($H$3,0,0,'Données projet'!$E$9+1,1))</f>
        <v>270.18797004581819</v>
      </c>
      <c r="T163" s="59">
        <f t="shared" si="142"/>
        <v>246.88276293504617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17.080309734312593</v>
      </c>
      <c r="AA163" s="21">
        <f>EXP(-LN(2)/25)*AA162+(1-EXP(-LN(2)/25))/(LN(2)/25)*Calculateur!V163*Calculateur!X163*VLOOKUP('Données projet'!$B$9,Paramètres!$A$1:$I$89,3,0)*0.475*44/12</f>
        <v>25.361225119364867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42.44153485367746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-4.5474735088646412E-13</v>
      </c>
      <c r="AJ163" s="13">
        <f>AI163*VLOOKUP('Données projet'!$B$10,Paramètres!$A$1:$I$89,3,0)*VLOOKUP('Données projet'!$B$10,Paramètres!$A$1:$I$89,5,0)</f>
        <v>-4.6111381379887462E-13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374.01259415112554</v>
      </c>
      <c r="AO163" s="59">
        <f t="shared" si="144"/>
        <v>244.5696433180579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50.125334137627064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50.125334137627064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2.8421709430404007E-14</v>
      </c>
      <c r="BE163" s="13">
        <f>BD163*VLOOKUP('Données projet'!$B$11,Paramètres!$A$1:$I$89,3,0)*VLOOKUP('Données projet'!$B$11,Paramètres!$A$1:$I$89,5,0)</f>
        <v>2.3055690689943732E-14</v>
      </c>
      <c r="BF163" s="13">
        <f t="shared" si="167"/>
        <v>4.10868481342271E-13</v>
      </c>
      <c r="BG163" s="20">
        <f t="shared" si="168"/>
        <v>7.5575126628944061E-13</v>
      </c>
      <c r="BH163" s="59">
        <f t="shared" si="116"/>
        <v>293.33333333333405</v>
      </c>
      <c r="BI163" s="59">
        <f ca="1">AVERAGE(OFFSET($BH$3,0,0,'Données projet'!$E$11+1,1))-AVERAGE(OFFSET($H$3,0,0,'Données projet'!$E$11+1,1))</f>
        <v>252.20412072815043</v>
      </c>
      <c r="BJ163" s="59">
        <f t="shared" si="146"/>
        <v>208.19930959443013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17.942273076744005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17.942273076744005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31.495463999999906</v>
      </c>
      <c r="D164" s="11">
        <f t="shared" si="140"/>
        <v>9.7141321502635893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69.984015918342223</v>
      </c>
      <c r="H164" s="67">
        <f t="shared" si="110"/>
        <v>328.44004662837563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2.8421709430404007E-13</v>
      </c>
      <c r="O164" s="13">
        <f>N164*VLOOKUP('Données projet'!$B$9,Paramètres!$A$1:$I$89,3,0)*VLOOKUP('Données projet'!$B$9,Paramètres!$A$1:$I$89,5,0)</f>
        <v>1.3301360013429075E-13</v>
      </c>
      <c r="P164" s="13">
        <f t="shared" si="141"/>
        <v>1.9329766731057041E-12</v>
      </c>
      <c r="Q164" s="20">
        <f t="shared" si="162"/>
        <v>3.5982663925596575E-12</v>
      </c>
      <c r="R164" s="59">
        <f t="shared" si="109"/>
        <v>293.3333333333369</v>
      </c>
      <c r="S164" s="59">
        <f ca="1">AVERAGE(OFFSET($R$3,0,0,'Données projet'!$E$9+1,1))-AVERAGE(OFFSET($H$3,0,0,'Données projet'!$E$9+1,1))</f>
        <v>270.18797004581819</v>
      </c>
      <c r="T164" s="59">
        <f t="shared" si="142"/>
        <v>246.88276293504617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16.745375278382973</v>
      </c>
      <c r="AA164" s="21">
        <f>EXP(-LN(2)/25)*AA163+(1-EXP(-LN(2)/25))/(LN(2)/25)*Calculateur!V164*Calculateur!X164*VLOOKUP('Données projet'!$B$9,Paramètres!$A$1:$I$89,3,0)*0.475*44/12</f>
        <v>24.667721084786969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41.413096363169942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-4.5474735088646412E-13</v>
      </c>
      <c r="AJ164" s="13">
        <f>AI164*VLOOKUP('Données projet'!$B$10,Paramètres!$A$1:$I$89,3,0)*VLOOKUP('Données projet'!$B$10,Paramètres!$A$1:$I$89,5,0)</f>
        <v>-4.6111381379887462E-13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374.01259415112554</v>
      </c>
      <c r="AO164" s="59">
        <f t="shared" si="144"/>
        <v>244.5696433180579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49.142406908623144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49.142406908623144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2.8421709430404007E-14</v>
      </c>
      <c r="BE164" s="13">
        <f>BD164*VLOOKUP('Données projet'!$B$11,Paramètres!$A$1:$I$89,3,0)*VLOOKUP('Données projet'!$B$11,Paramètres!$A$1:$I$89,5,0)</f>
        <v>2.3055690689943732E-14</v>
      </c>
      <c r="BF164" s="13">
        <f t="shared" si="167"/>
        <v>4.10868481342271E-13</v>
      </c>
      <c r="BG164" s="20">
        <f t="shared" si="168"/>
        <v>7.5575126628944061E-13</v>
      </c>
      <c r="BH164" s="59">
        <f t="shared" si="116"/>
        <v>293.33333333333405</v>
      </c>
      <c r="BI164" s="59">
        <f ca="1">AVERAGE(OFFSET($BH$3,0,0,'Données projet'!$E$11+1,1))-AVERAGE(OFFSET($H$3,0,0,'Données projet'!$E$11+1,1))</f>
        <v>252.20412072815043</v>
      </c>
      <c r="BJ164" s="59">
        <f t="shared" si="146"/>
        <v>208.19930959443013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17.590436045415032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17.590436045415032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31.691087999999905</v>
      </c>
      <c r="D165" s="11">
        <f t="shared" si="140"/>
        <v>9.7674260104784683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70.406739582707146</v>
      </c>
      <c r="H165" s="67">
        <f t="shared" si="110"/>
        <v>328.87357856824985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2.8421709430404007E-13</v>
      </c>
      <c r="O165" s="13">
        <f>N165*VLOOKUP('Données projet'!$B$9,Paramètres!$A$1:$I$89,3,0)*VLOOKUP('Données projet'!$B$9,Paramètres!$A$1:$I$89,5,0)</f>
        <v>1.3301360013429075E-13</v>
      </c>
      <c r="P165" s="13">
        <f t="shared" si="141"/>
        <v>1.9329766731057041E-12</v>
      </c>
      <c r="Q165" s="20">
        <f t="shared" si="162"/>
        <v>3.5982663925596575E-12</v>
      </c>
      <c r="R165" s="59">
        <f t="shared" si="109"/>
        <v>293.3333333333369</v>
      </c>
      <c r="S165" s="59">
        <f ca="1">AVERAGE(OFFSET($R$3,0,0,'Données projet'!$E$9+1,1))-AVERAGE(OFFSET($H$3,0,0,'Données projet'!$E$9+1,1))</f>
        <v>270.18797004581819</v>
      </c>
      <c r="T165" s="59">
        <f t="shared" si="142"/>
        <v>246.88276293504617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16.417008682844287</v>
      </c>
      <c r="AA165" s="21">
        <f>EXP(-LN(2)/25)*AA164+(1-EXP(-LN(2)/25))/(LN(2)/25)*Calculateur!V165*Calculateur!X165*VLOOKUP('Données projet'!$B$9,Paramètres!$A$1:$I$89,3,0)*0.475*44/12</f>
        <v>23.993180954504396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40.41018963734868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-4.6111381379887462E-13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374.01259415112554</v>
      </c>
      <c r="AO165" s="59">
        <f t="shared" si="144"/>
        <v>244.5696433180579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48.178754283053578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48.178754283053578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2.8421709430404007E-14</v>
      </c>
      <c r="BE165" s="13">
        <f>BD165*VLOOKUP('Données projet'!$B$11,Paramètres!$A$1:$I$89,3,0)*VLOOKUP('Données projet'!$B$11,Paramètres!$A$1:$I$89,5,0)</f>
        <v>2.3055690689943732E-14</v>
      </c>
      <c r="BF165" s="13">
        <f t="shared" si="167"/>
        <v>4.10868481342271E-13</v>
      </c>
      <c r="BG165" s="20">
        <f t="shared" si="168"/>
        <v>7.5575126628944061E-13</v>
      </c>
      <c r="BH165" s="59">
        <f t="shared" si="116"/>
        <v>293.33333333333405</v>
      </c>
      <c r="BI165" s="59">
        <f ca="1">AVERAGE(OFFSET($BH$3,0,0,'Données projet'!$E$11+1,1))-AVERAGE(OFFSET($H$3,0,0,'Données projet'!$E$11+1,1))</f>
        <v>252.20412072815043</v>
      </c>
      <c r="BJ165" s="59">
        <f t="shared" si="146"/>
        <v>208.19930959443013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17.245498323671018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17.245498323671018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31.886711999999903</v>
      </c>
      <c r="D166" s="11">
        <f t="shared" si="140"/>
        <v>9.8206815915643872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70.829398239709178</v>
      </c>
      <c r="H166" s="67">
        <f t="shared" si="110"/>
        <v>329.30704383864116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2.8421709430404007E-13</v>
      </c>
      <c r="O166" s="13">
        <f>N166*VLOOKUP('Données projet'!$B$9,Paramètres!$A$1:$I$89,3,0)*VLOOKUP('Données projet'!$B$9,Paramètres!$A$1:$I$89,5,0)</f>
        <v>1.3301360013429075E-13</v>
      </c>
      <c r="P166" s="13">
        <f t="shared" si="141"/>
        <v>1.9329766731057041E-12</v>
      </c>
      <c r="Q166" s="20">
        <f t="shared" si="162"/>
        <v>3.5982663925596575E-12</v>
      </c>
      <c r="R166" s="59">
        <f t="shared" si="109"/>
        <v>293.3333333333369</v>
      </c>
      <c r="S166" s="59">
        <f ca="1">AVERAGE(OFFSET($R$3,0,0,'Données projet'!$E$9+1,1))-AVERAGE(OFFSET($H$3,0,0,'Données projet'!$E$9+1,1))</f>
        <v>270.18797004581819</v>
      </c>
      <c r="T166" s="59">
        <f t="shared" si="142"/>
        <v>246.88276293504617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16.095081155960266</v>
      </c>
      <c r="AA166" s="21">
        <f>EXP(-LN(2)/25)*AA165+(1-EXP(-LN(2)/25))/(LN(2)/25)*Calculateur!V166*Calculateur!X166*VLOOKUP('Données projet'!$B$9,Paramètres!$A$1:$I$89,3,0)*0.475*44/12</f>
        <v>23.337086159556925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39.432167315517191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-4.6111381379887462E-13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374.01259415112554</v>
      </c>
      <c r="AO166" s="59">
        <f t="shared" si="144"/>
        <v>244.5696433180579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47.233998297701369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47.233998297701369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2.8421709430404007E-14</v>
      </c>
      <c r="BE166" s="13">
        <f>BD166*VLOOKUP('Données projet'!$B$11,Paramètres!$A$1:$I$89,3,0)*VLOOKUP('Données projet'!$B$11,Paramètres!$A$1:$I$89,5,0)</f>
        <v>2.3055690689943732E-14</v>
      </c>
      <c r="BF166" s="13">
        <f t="shared" si="167"/>
        <v>4.10868481342271E-13</v>
      </c>
      <c r="BG166" s="20">
        <f t="shared" si="168"/>
        <v>7.5575126628944061E-13</v>
      </c>
      <c r="BH166" s="59">
        <f t="shared" si="116"/>
        <v>293.33333333333405</v>
      </c>
      <c r="BI166" s="59">
        <f ca="1">AVERAGE(OFFSET($BH$3,0,0,'Données projet'!$E$11+1,1))-AVERAGE(OFFSET($H$3,0,0,'Données projet'!$E$11+1,1))</f>
        <v>252.20412072815043</v>
      </c>
      <c r="BJ166" s="59">
        <f t="shared" si="146"/>
        <v>208.19930959443013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16.907324620259171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16.907324620259171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32.082335999999906</v>
      </c>
      <c r="D167" s="11">
        <f t="shared" si="140"/>
        <v>9.8738991556078712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71.251992334435684</v>
      </c>
      <c r="H167" s="67">
        <f t="shared" si="110"/>
        <v>329.74044289601687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2.8421709430404007E-13</v>
      </c>
      <c r="O167" s="13">
        <f>N167*VLOOKUP('Données projet'!$B$9,Paramètres!$A$1:$I$89,3,0)*VLOOKUP('Données projet'!$B$9,Paramètres!$A$1:$I$89,5,0)</f>
        <v>1.3301360013429075E-13</v>
      </c>
      <c r="P167" s="13">
        <f t="shared" si="141"/>
        <v>1.9329766731057041E-12</v>
      </c>
      <c r="Q167" s="20">
        <f t="shared" si="162"/>
        <v>3.5982663925596575E-12</v>
      </c>
      <c r="R167" s="59">
        <f t="shared" si="109"/>
        <v>293.3333333333369</v>
      </c>
      <c r="S167" s="59">
        <f ca="1">AVERAGE(OFFSET($R$3,0,0,'Données projet'!$E$9+1,1))-AVERAGE(OFFSET($H$3,0,0,'Données projet'!$E$9+1,1))</f>
        <v>270.18797004581819</v>
      </c>
      <c r="T167" s="59">
        <f t="shared" si="142"/>
        <v>246.88276293504617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15.779466431522039</v>
      </c>
      <c r="AA167" s="21">
        <f>EXP(-LN(2)/25)*AA166+(1-EXP(-LN(2)/25))/(LN(2)/25)*Calculateur!V167*Calculateur!X167*VLOOKUP('Données projet'!$B$9,Paramètres!$A$1:$I$89,3,0)*0.475*44/12</f>
        <v>22.698932311279819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38.478398742801858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-4.6111381379887462E-13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374.01259415112554</v>
      </c>
      <c r="AO167" s="59">
        <f t="shared" si="144"/>
        <v>244.5696433180579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46.307768400977665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46.307768400977665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2.8421709430404007E-14</v>
      </c>
      <c r="BE167" s="13">
        <f>BD167*VLOOKUP('Données projet'!$B$11,Paramètres!$A$1:$I$89,3,0)*VLOOKUP('Données projet'!$B$11,Paramètres!$A$1:$I$89,5,0)</f>
        <v>2.3055690689943732E-14</v>
      </c>
      <c r="BF167" s="13">
        <f t="shared" si="167"/>
        <v>4.10868481342271E-13</v>
      </c>
      <c r="BG167" s="20">
        <f t="shared" si="168"/>
        <v>7.5575126628944061E-13</v>
      </c>
      <c r="BH167" s="59">
        <f t="shared" si="116"/>
        <v>293.33333333333405</v>
      </c>
      <c r="BI167" s="59">
        <f ca="1">AVERAGE(OFFSET($BH$3,0,0,'Données projet'!$E$11+1,1))-AVERAGE(OFFSET($H$3,0,0,'Données projet'!$E$11+1,1))</f>
        <v>252.20412072815043</v>
      </c>
      <c r="BJ167" s="59">
        <f t="shared" si="146"/>
        <v>208.19930959443013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16.575782296905636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16.575782296905636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32.277959999999908</v>
      </c>
      <c r="D168" s="11">
        <f t="shared" si="140"/>
        <v>9.9270789613143631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71.674522306231964</v>
      </c>
      <c r="H168" s="67">
        <f t="shared" si="110"/>
        <v>330.17377619095572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2.8421709430404007E-13</v>
      </c>
      <c r="O168" s="13">
        <f>N168*VLOOKUP('Données projet'!$B$9,Paramètres!$A$1:$I$89,3,0)*VLOOKUP('Données projet'!$B$9,Paramètres!$A$1:$I$89,5,0)</f>
        <v>1.3301360013429075E-13</v>
      </c>
      <c r="P168" s="13">
        <f t="shared" si="141"/>
        <v>1.9329766731057041E-12</v>
      </c>
      <c r="Q168" s="20">
        <f t="shared" si="162"/>
        <v>3.5982663925596575E-12</v>
      </c>
      <c r="R168" s="59">
        <f t="shared" si="109"/>
        <v>293.3333333333369</v>
      </c>
      <c r="S168" s="59">
        <f ca="1">AVERAGE(OFFSET($R$3,0,0,'Données projet'!$E$9+1,1))-AVERAGE(OFFSET($H$3,0,0,'Données projet'!$E$9+1,1))</f>
        <v>270.18797004581819</v>
      </c>
      <c r="T168" s="59">
        <f t="shared" si="142"/>
        <v>246.88276293504617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15.470040719324071</v>
      </c>
      <c r="AA168" s="21">
        <f>EXP(-LN(2)/25)*AA167+(1-EXP(-LN(2)/25))/(LN(2)/25)*Calculateur!V168*Calculateur!X168*VLOOKUP('Données projet'!$B$9,Paramètres!$A$1:$I$89,3,0)*0.475*44/12</f>
        <v>22.0782288135429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37.548269532866968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-4.6111381379887462E-13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374.01259415112554</v>
      </c>
      <c r="AO168" s="59">
        <f t="shared" si="144"/>
        <v>244.5696433180579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45.399701307584259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45.399701307584259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2.8421709430404007E-14</v>
      </c>
      <c r="BE168" s="13">
        <f>BD168*VLOOKUP('Données projet'!$B$11,Paramètres!$A$1:$I$89,3,0)*VLOOKUP('Données projet'!$B$11,Paramètres!$A$1:$I$89,5,0)</f>
        <v>2.3055690689943732E-14</v>
      </c>
      <c r="BF168" s="13">
        <f t="shared" si="167"/>
        <v>4.10868481342271E-13</v>
      </c>
      <c r="BG168" s="20">
        <f t="shared" si="168"/>
        <v>7.5575126628944061E-13</v>
      </c>
      <c r="BH168" s="59">
        <f t="shared" si="116"/>
        <v>293.33333333333405</v>
      </c>
      <c r="BI168" s="59">
        <f ca="1">AVERAGE(OFFSET($BH$3,0,0,'Données projet'!$E$11+1,1))-AVERAGE(OFFSET($H$3,0,0,'Données projet'!$E$11+1,1))</f>
        <v>252.20412072815043</v>
      </c>
      <c r="BJ168" s="59">
        <f t="shared" si="146"/>
        <v>208.19930959443013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16.250741316292217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16.250741316292217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32.47358399999991</v>
      </c>
      <c r="D169" s="11">
        <f t="shared" si="140"/>
        <v>9.980221264072112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72.096988588810035</v>
      </c>
      <c r="H169" s="67">
        <f t="shared" si="110"/>
        <v>330.60704416825877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2.8421709430404007E-13</v>
      </c>
      <c r="O169" s="13">
        <f>N169*VLOOKUP('Données projet'!$B$9,Paramètres!$A$1:$I$89,3,0)*VLOOKUP('Données projet'!$B$9,Paramètres!$A$1:$I$89,5,0)</f>
        <v>1.3301360013429075E-13</v>
      </c>
      <c r="P169" s="13">
        <f t="shared" si="141"/>
        <v>1.9329766731057041E-12</v>
      </c>
      <c r="Q169" s="20">
        <f t="shared" si="162"/>
        <v>3.5982663925596575E-12</v>
      </c>
      <c r="R169" s="59">
        <f t="shared" si="109"/>
        <v>293.3333333333369</v>
      </c>
      <c r="S169" s="59">
        <f ca="1">AVERAGE(OFFSET($R$3,0,0,'Données projet'!$E$9+1,1))-AVERAGE(OFFSET($H$3,0,0,'Données projet'!$E$9+1,1))</f>
        <v>270.18797004581819</v>
      </c>
      <c r="T169" s="59">
        <f t="shared" si="142"/>
        <v>246.88276293504617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15.166682656611258</v>
      </c>
      <c r="AA169" s="21">
        <f>EXP(-LN(2)/25)*AA168+(1-EXP(-LN(2)/25))/(LN(2)/25)*Calculateur!V169*Calculateur!X169*VLOOKUP('Données projet'!$B$9,Paramètres!$A$1:$I$89,3,0)*0.475*44/12</f>
        <v>21.474498485592978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36.641181142204232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-4.6111381379887462E-13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374.01259415112554</v>
      </c>
      <c r="AO169" s="59">
        <f t="shared" si="144"/>
        <v>244.5696433180579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44.50944085602606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44.50944085602606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2.8421709430404007E-14</v>
      </c>
      <c r="BE169" s="13">
        <f>BD169*VLOOKUP('Données projet'!$B$11,Paramètres!$A$1:$I$89,3,0)*VLOOKUP('Données projet'!$B$11,Paramètres!$A$1:$I$89,5,0)</f>
        <v>2.3055690689943732E-14</v>
      </c>
      <c r="BF169" s="13">
        <f t="shared" si="167"/>
        <v>4.10868481342271E-13</v>
      </c>
      <c r="BG169" s="20">
        <f t="shared" si="168"/>
        <v>7.5575126628944061E-13</v>
      </c>
      <c r="BH169" s="59">
        <f t="shared" si="116"/>
        <v>293.33333333333405</v>
      </c>
      <c r="BI169" s="59">
        <f ca="1">AVERAGE(OFFSET($BH$3,0,0,'Données projet'!$E$11+1,1))-AVERAGE(OFFSET($H$3,0,0,'Données projet'!$E$11+1,1))</f>
        <v>252.20412072815043</v>
      </c>
      <c r="BJ169" s="59">
        <f t="shared" si="146"/>
        <v>208.19930959443013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15.932074191053204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15.932074191053204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32.669207999999912</v>
      </c>
      <c r="D170" s="11">
        <f t="shared" si="140"/>
        <v>10.033326316014392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72.51939161035412</v>
      </c>
      <c r="H170" s="67">
        <f t="shared" si="110"/>
        <v>331.04024726705825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2.8421709430404007E-13</v>
      </c>
      <c r="O170" s="13">
        <f>N170*VLOOKUP('Données projet'!$B$9,Paramètres!$A$1:$I$89,3,0)*VLOOKUP('Données projet'!$B$9,Paramètres!$A$1:$I$89,5,0)</f>
        <v>1.3301360013429075E-13</v>
      </c>
      <c r="P170" s="13">
        <f t="shared" si="141"/>
        <v>1.9329766731057041E-12</v>
      </c>
      <c r="Q170" s="20">
        <f t="shared" si="162"/>
        <v>3.5982663925596575E-12</v>
      </c>
      <c r="R170" s="59">
        <f t="shared" si="109"/>
        <v>293.3333333333369</v>
      </c>
      <c r="S170" s="59">
        <f ca="1">AVERAGE(OFFSET($R$3,0,0,'Données projet'!$E$9+1,1))-AVERAGE(OFFSET($H$3,0,0,'Données projet'!$E$9+1,1))</f>
        <v>270.18797004581819</v>
      </c>
      <c r="T170" s="59">
        <f t="shared" si="142"/>
        <v>246.88276293504617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14.869273260478094</v>
      </c>
      <c r="AA170" s="21">
        <f>EXP(-LN(2)/25)*AA169+(1-EXP(-LN(2)/25))/(LN(2)/25)*Calculateur!V170*Calculateur!X170*VLOOKUP('Données projet'!$B$9,Paramètres!$A$1:$I$89,3,0)*0.475*44/12</f>
        <v>20.887277195209641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35.756550455687737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-4.6111381379887462E-13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374.01259415112554</v>
      </c>
      <c r="AO170" s="59">
        <f t="shared" si="144"/>
        <v>244.5696433180579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43.63663786891766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43.63663786891766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2.8421709430404007E-14</v>
      </c>
      <c r="BE170" s="13">
        <f>BD170*VLOOKUP('Données projet'!$B$11,Paramètres!$A$1:$I$89,3,0)*VLOOKUP('Données projet'!$B$11,Paramètres!$A$1:$I$89,5,0)</f>
        <v>2.3055690689943732E-14</v>
      </c>
      <c r="BF170" s="13">
        <f t="shared" si="167"/>
        <v>4.10868481342271E-13</v>
      </c>
      <c r="BG170" s="20">
        <f t="shared" si="168"/>
        <v>7.5575126628944061E-13</v>
      </c>
      <c r="BH170" s="59">
        <f t="shared" si="116"/>
        <v>293.33333333333405</v>
      </c>
      <c r="BI170" s="59">
        <f ca="1">AVERAGE(OFFSET($BH$3,0,0,'Données projet'!$E$11+1,1))-AVERAGE(OFFSET($H$3,0,0,'Données projet'!$E$11+1,1))</f>
        <v>252.20412072815043</v>
      </c>
      <c r="BJ170" s="59">
        <f t="shared" si="146"/>
        <v>208.19930959443013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15.619655933772373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15.619655933772373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32.864831999999915</v>
      </c>
      <c r="D171" s="11">
        <f t="shared" si="140"/>
        <v>10.086394366080246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72.941731793623859</v>
      </c>
      <c r="H171" s="67">
        <f t="shared" si="110"/>
        <v>331.47338592092296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2.8421709430404007E-13</v>
      </c>
      <c r="O171" s="13">
        <f>N171*VLOOKUP('Données projet'!$B$9,Paramètres!$A$1:$I$89,3,0)*VLOOKUP('Données projet'!$B$9,Paramètres!$A$1:$I$89,5,0)</f>
        <v>1.3301360013429075E-13</v>
      </c>
      <c r="P171" s="13">
        <f t="shared" si="141"/>
        <v>1.9329766731057041E-12</v>
      </c>
      <c r="Q171" s="20">
        <f t="shared" si="162"/>
        <v>3.5982663925596575E-12</v>
      </c>
      <c r="R171" s="59">
        <f t="shared" si="109"/>
        <v>293.3333333333369</v>
      </c>
      <c r="S171" s="59">
        <f ca="1">AVERAGE(OFFSET($R$3,0,0,'Données projet'!$E$9+1,1))-AVERAGE(OFFSET($H$3,0,0,'Données projet'!$E$9+1,1))</f>
        <v>270.18797004581819</v>
      </c>
      <c r="T171" s="59">
        <f t="shared" si="142"/>
        <v>246.88276293504617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14.577695881201283</v>
      </c>
      <c r="AA171" s="21">
        <f>EXP(-LN(2)/25)*AA170+(1-EXP(-LN(2)/25))/(LN(2)/25)*Calculateur!V171*Calculateur!X171*VLOOKUP('Données projet'!$B$9,Paramètres!$A$1:$I$89,3,0)*0.475*44/12</f>
        <v>20.316113501892463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34.893809383093746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-4.6111381379887462E-13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374.01259415112554</v>
      </c>
      <c r="AO171" s="59">
        <f t="shared" si="144"/>
        <v>244.5696433180579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42.780950016029202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42.780950016029202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2.8421709430404007E-14</v>
      </c>
      <c r="BE171" s="13">
        <f>BD171*VLOOKUP('Données projet'!$B$11,Paramètres!$A$1:$I$89,3,0)*VLOOKUP('Données projet'!$B$11,Paramètres!$A$1:$I$89,5,0)</f>
        <v>2.3055690689943732E-14</v>
      </c>
      <c r="BF171" s="13">
        <f t="shared" si="167"/>
        <v>4.10868481342271E-13</v>
      </c>
      <c r="BG171" s="20">
        <f t="shared" si="168"/>
        <v>7.5575126628944061E-13</v>
      </c>
      <c r="BH171" s="59">
        <f t="shared" si="116"/>
        <v>293.33333333333405</v>
      </c>
      <c r="BI171" s="59">
        <f ca="1">AVERAGE(OFFSET($BH$3,0,0,'Données projet'!$E$11+1,1))-AVERAGE(OFFSET($H$3,0,0,'Données projet'!$E$11+1,1))</f>
        <v>252.20412072815043</v>
      </c>
      <c r="BJ171" s="59">
        <f t="shared" si="146"/>
        <v>208.19930959443013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15.313364007960498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15.313364007960498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33.060455999999917</v>
      </c>
      <c r="D172" s="11">
        <f t="shared" si="140"/>
        <v>10.139425660073689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73.364009556054839</v>
      </c>
      <c r="H172" s="67">
        <f t="shared" si="110"/>
        <v>331.90646055796157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2.8421709430404007E-13</v>
      </c>
      <c r="O172" s="13">
        <f>N172*VLOOKUP('Données projet'!$B$9,Paramètres!$A$1:$I$89,3,0)*VLOOKUP('Données projet'!$B$9,Paramètres!$A$1:$I$89,5,0)</f>
        <v>1.3301360013429075E-13</v>
      </c>
      <c r="P172" s="13">
        <f t="shared" si="141"/>
        <v>1.9329766731057041E-12</v>
      </c>
      <c r="Q172" s="20">
        <f t="shared" si="162"/>
        <v>3.5982663925596575E-12</v>
      </c>
      <c r="R172" s="59">
        <f t="shared" si="109"/>
        <v>293.3333333333369</v>
      </c>
      <c r="S172" s="59">
        <f ca="1">AVERAGE(OFFSET($R$3,0,0,'Données projet'!$E$9+1,1))-AVERAGE(OFFSET($H$3,0,0,'Données projet'!$E$9+1,1))</f>
        <v>270.18797004581819</v>
      </c>
      <c r="T172" s="59">
        <f t="shared" si="142"/>
        <v>246.88276293504617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14.291836156487449</v>
      </c>
      <c r="AA172" s="21">
        <f>EXP(-LN(2)/25)*AA171+(1-EXP(-LN(2)/25))/(LN(2)/25)*Calculateur!V172*Calculateur!X172*VLOOKUP('Données projet'!$B$9,Paramètres!$A$1:$I$89,3,0)*0.475*44/12</f>
        <v>19.760568309805237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34.052404466292685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-4.6111381379887462E-13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374.01259415112554</v>
      </c>
      <c r="AO172" s="59">
        <f t="shared" si="144"/>
        <v>244.5696433180579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41.94204168001783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41.94204168001783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2.8421709430404007E-14</v>
      </c>
      <c r="BE172" s="13">
        <f>BD172*VLOOKUP('Données projet'!$B$11,Paramètres!$A$1:$I$89,3,0)*VLOOKUP('Données projet'!$B$11,Paramètres!$A$1:$I$89,5,0)</f>
        <v>2.3055690689943732E-14</v>
      </c>
      <c r="BF172" s="13">
        <f t="shared" si="167"/>
        <v>4.10868481342271E-13</v>
      </c>
      <c r="BG172" s="20">
        <f t="shared" si="168"/>
        <v>7.5575126628944061E-13</v>
      </c>
      <c r="BH172" s="59">
        <f t="shared" si="116"/>
        <v>293.33333333333405</v>
      </c>
      <c r="BI172" s="59">
        <f ca="1">AVERAGE(OFFSET($BH$3,0,0,'Données projet'!$E$11+1,1))-AVERAGE(OFFSET($H$3,0,0,'Données projet'!$E$11+1,1))</f>
        <v>252.20412072815043</v>
      </c>
      <c r="BJ172" s="59">
        <f t="shared" si="146"/>
        <v>208.19930959443013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15.013078279994167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15.013078279994167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33.256079999999919</v>
      </c>
      <c r="D173" s="11">
        <f t="shared" si="140"/>
        <v>10.192420440721538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73.786225309856789</v>
      </c>
      <c r="H173" s="67">
        <f t="shared" si="110"/>
        <v>332.33947160092322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2.8421709430404007E-13</v>
      </c>
      <c r="O173" s="13">
        <f>N173*VLOOKUP('Données projet'!$B$9,Paramètres!$A$1:$I$89,3,0)*VLOOKUP('Données projet'!$B$9,Paramètres!$A$1:$I$89,5,0)</f>
        <v>1.3301360013429075E-13</v>
      </c>
      <c r="P173" s="13">
        <f t="shared" si="141"/>
        <v>1.9329766731057041E-12</v>
      </c>
      <c r="Q173" s="20">
        <f t="shared" si="162"/>
        <v>3.5982663925596575E-12</v>
      </c>
      <c r="R173" s="59">
        <f t="shared" si="109"/>
        <v>293.3333333333369</v>
      </c>
      <c r="S173" s="59">
        <f ca="1">AVERAGE(OFFSET($R$3,0,0,'Données projet'!$E$9+1,1))-AVERAGE(OFFSET($H$3,0,0,'Données projet'!$E$9+1,1))</f>
        <v>270.18797004581819</v>
      </c>
      <c r="T173" s="59">
        <f t="shared" si="142"/>
        <v>246.88276293504617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14.011581966618037</v>
      </c>
      <c r="AA173" s="21">
        <f>EXP(-LN(2)/25)*AA172+(1-EXP(-LN(2)/25))/(LN(2)/25)*Calculateur!V173*Calculateur!X173*VLOOKUP('Données projet'!$B$9,Paramètres!$A$1:$I$89,3,0)*0.475*44/12</f>
        <v>19.220214530210487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33.231796496828522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-4.6111381379887462E-13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374.01259415112554</v>
      </c>
      <c r="AO173" s="59">
        <f t="shared" si="144"/>
        <v>244.5696433180579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41.11958382479208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41.11958382479208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2.8421709430404007E-14</v>
      </c>
      <c r="BE173" s="13">
        <f>BD173*VLOOKUP('Données projet'!$B$11,Paramètres!$A$1:$I$89,3,0)*VLOOKUP('Données projet'!$B$11,Paramètres!$A$1:$I$89,5,0)</f>
        <v>2.3055690689943732E-14</v>
      </c>
      <c r="BF173" s="13">
        <f t="shared" si="167"/>
        <v>4.10868481342271E-13</v>
      </c>
      <c r="BG173" s="20">
        <f t="shared" si="168"/>
        <v>7.5575126628944061E-13</v>
      </c>
      <c r="BH173" s="59">
        <f t="shared" si="116"/>
        <v>293.33333333333405</v>
      </c>
      <c r="BI173" s="59">
        <f ca="1">AVERAGE(OFFSET($BH$3,0,0,'Données projet'!$E$11+1,1))-AVERAGE(OFFSET($H$3,0,0,'Données projet'!$E$11+1,1))</f>
        <v>252.20412072815043</v>
      </c>
      <c r="BJ173" s="59">
        <f t="shared" si="146"/>
        <v>208.19930959443013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14.718680971997046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14.718680971997046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33.451703999999921</v>
      </c>
      <c r="D174" s="11">
        <f t="shared" si="140"/>
        <v>10.245378947729785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74.208379462109392</v>
      </c>
      <c r="H174" s="67">
        <f t="shared" si="110"/>
        <v>332.77241946729589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2.8421709430404007E-13</v>
      </c>
      <c r="O174" s="13">
        <f>N174*VLOOKUP('Données projet'!$B$9,Paramètres!$A$1:$I$89,3,0)*VLOOKUP('Données projet'!$B$9,Paramètres!$A$1:$I$89,5,0)</f>
        <v>1.3301360013429075E-13</v>
      </c>
      <c r="P174" s="13">
        <f t="shared" si="141"/>
        <v>1.9329766731057041E-12</v>
      </c>
      <c r="Q174" s="20">
        <f t="shared" si="162"/>
        <v>3.5982663925596575E-12</v>
      </c>
      <c r="R174" s="59">
        <f t="shared" si="109"/>
        <v>293.3333333333369</v>
      </c>
      <c r="S174" s="59">
        <f ca="1">AVERAGE(OFFSET($R$3,0,0,'Données projet'!$E$9+1,1))-AVERAGE(OFFSET($H$3,0,0,'Données projet'!$E$9+1,1))</f>
        <v>270.18797004581819</v>
      </c>
      <c r="T174" s="59">
        <f t="shared" si="142"/>
        <v>246.88276293504617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13.736823390473788</v>
      </c>
      <c r="AA174" s="21">
        <f>EXP(-LN(2)/25)*AA173+(1-EXP(-LN(2)/25))/(LN(2)/25)*Calculateur!V174*Calculateur!X174*VLOOKUP('Données projet'!$B$9,Paramètres!$A$1:$I$89,3,0)*0.475*44/12</f>
        <v>18.694636753134727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32.431460143608518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-4.6111381379887462E-13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374.01259415112554</v>
      </c>
      <c r="AO174" s="59">
        <f t="shared" si="144"/>
        <v>244.5696433180579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40.313253866457551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40.313253866457551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2.8421709430404007E-14</v>
      </c>
      <c r="BE174" s="13">
        <f>BD174*VLOOKUP('Données projet'!$B$11,Paramètres!$A$1:$I$89,3,0)*VLOOKUP('Données projet'!$B$11,Paramètres!$A$1:$I$89,5,0)</f>
        <v>2.3055690689943732E-14</v>
      </c>
      <c r="BF174" s="13">
        <f t="shared" si="167"/>
        <v>4.10868481342271E-13</v>
      </c>
      <c r="BG174" s="20">
        <f t="shared" si="168"/>
        <v>7.5575126628944061E-13</v>
      </c>
      <c r="BH174" s="59">
        <f t="shared" si="116"/>
        <v>293.33333333333405</v>
      </c>
      <c r="BI174" s="59">
        <f ca="1">AVERAGE(OFFSET($BH$3,0,0,'Données projet'!$E$11+1,1))-AVERAGE(OFFSET($H$3,0,0,'Données projet'!$E$11+1,1))</f>
        <v>252.20412072815043</v>
      </c>
      <c r="BJ174" s="59">
        <f t="shared" si="146"/>
        <v>208.19930959443013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14.430056615645121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14.430056615645121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33.647327999999924</v>
      </c>
      <c r="D175" s="11">
        <f t="shared" si="140"/>
        <v>10.298301417838623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74.630472414855646</v>
      </c>
      <c r="H175" s="67">
        <f t="shared" si="110"/>
        <v>333.20530456940213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2.8421709430404007E-13</v>
      </c>
      <c r="O175" s="13">
        <f>N175*VLOOKUP('Données projet'!$B$9,Paramètres!$A$1:$I$89,3,0)*VLOOKUP('Données projet'!$B$9,Paramètres!$A$1:$I$89,5,0)</f>
        <v>1.3301360013429075E-13</v>
      </c>
      <c r="P175" s="13">
        <f t="shared" si="141"/>
        <v>1.9329766731057041E-12</v>
      </c>
      <c r="Q175" s="20">
        <f t="shared" si="162"/>
        <v>3.5982663925596575E-12</v>
      </c>
      <c r="R175" s="59">
        <f t="shared" si="109"/>
        <v>293.3333333333369</v>
      </c>
      <c r="S175" s="59">
        <f ca="1">AVERAGE(OFFSET($R$3,0,0,'Données projet'!$E$9+1,1))-AVERAGE(OFFSET($H$3,0,0,'Données projet'!$E$9+1,1))</f>
        <v>270.18797004581819</v>
      </c>
      <c r="T175" s="59">
        <f t="shared" si="142"/>
        <v>246.88276293504617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13.467452662421543</v>
      </c>
      <c r="AA175" s="21">
        <f>EXP(-LN(2)/25)*AA174+(1-EXP(-LN(2)/25))/(LN(2)/25)*Calculateur!V175*Calculateur!X175*VLOOKUP('Données projet'!$B$9,Paramètres!$A$1:$I$89,3,0)*0.475*44/12</f>
        <v>18.183430928012037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31.65088359043358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-4.6111381379887462E-13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374.01259415112554</v>
      </c>
      <c r="AO175" s="59">
        <f t="shared" si="144"/>
        <v>244.5696433180579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39.52273554679325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39.52273554679325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2.8421709430404007E-14</v>
      </c>
      <c r="BE175" s="13">
        <f>BD175*VLOOKUP('Données projet'!$B$11,Paramètres!$A$1:$I$89,3,0)*VLOOKUP('Données projet'!$B$11,Paramètres!$A$1:$I$89,5,0)</f>
        <v>2.3055690689943732E-14</v>
      </c>
      <c r="BF175" s="13">
        <f t="shared" si="167"/>
        <v>4.10868481342271E-13</v>
      </c>
      <c r="BG175" s="20">
        <f t="shared" si="168"/>
        <v>7.5575126628944061E-13</v>
      </c>
      <c r="BH175" s="59">
        <f t="shared" si="116"/>
        <v>293.33333333333405</v>
      </c>
      <c r="BI175" s="59">
        <f ca="1">AVERAGE(OFFSET($BH$3,0,0,'Données projet'!$E$11+1,1))-AVERAGE(OFFSET($H$3,0,0,'Données projet'!$E$11+1,1))</f>
        <v>252.20412072815043</v>
      </c>
      <c r="BJ175" s="59">
        <f t="shared" si="146"/>
        <v>208.19930959443013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14.147092006877783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14.147092006877783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33.842951999999926</v>
      </c>
      <c r="D176" s="11">
        <f t="shared" si="140"/>
        <v>10.351188084876181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75.052504565193118</v>
      </c>
      <c r="H176" s="67">
        <f t="shared" si="110"/>
        <v>333.63812731449258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2.8421709430404007E-13</v>
      </c>
      <c r="O176" s="13">
        <f>N176*VLOOKUP('Données projet'!$B$9,Paramètres!$A$1:$I$89,3,0)*VLOOKUP('Données projet'!$B$9,Paramètres!$A$1:$I$89,5,0)</f>
        <v>1.3301360013429075E-13</v>
      </c>
      <c r="P176" s="13">
        <f t="shared" si="141"/>
        <v>1.9329766731057041E-12</v>
      </c>
      <c r="Q176" s="20">
        <f t="shared" si="162"/>
        <v>3.5982663925596575E-12</v>
      </c>
      <c r="R176" s="59">
        <f t="shared" si="109"/>
        <v>293.3333333333369</v>
      </c>
      <c r="S176" s="59">
        <f ca="1">AVERAGE(OFFSET($R$3,0,0,'Données projet'!$E$9+1,1))-AVERAGE(OFFSET($H$3,0,0,'Données projet'!$E$9+1,1))</f>
        <v>270.18797004581819</v>
      </c>
      <c r="T176" s="59">
        <f t="shared" si="142"/>
        <v>246.88276293504617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13.203364130046483</v>
      </c>
      <c r="AA176" s="21">
        <f>EXP(-LN(2)/25)*AA175+(1-EXP(-LN(2)/25))/(LN(2)/25)*Calculateur!V176*Calculateur!X176*VLOOKUP('Données projet'!$B$9,Paramètres!$A$1:$I$89,3,0)*0.475*44/12</f>
        <v>17.686204053060475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30.88956818310696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-4.6111381379887462E-13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374.01259415112554</v>
      </c>
      <c r="AO176" s="59">
        <f t="shared" si="144"/>
        <v>244.5696433180579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38.747718809208997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38.747718809208997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2.8421709430404007E-14</v>
      </c>
      <c r="BE176" s="13">
        <f>BD176*VLOOKUP('Données projet'!$B$11,Paramètres!$A$1:$I$89,3,0)*VLOOKUP('Données projet'!$B$11,Paramètres!$A$1:$I$89,5,0)</f>
        <v>2.3055690689943732E-14</v>
      </c>
      <c r="BF176" s="13">
        <f t="shared" si="167"/>
        <v>4.10868481342271E-13</v>
      </c>
      <c r="BG176" s="20">
        <f t="shared" si="168"/>
        <v>7.5575126628944061E-13</v>
      </c>
      <c r="BH176" s="59">
        <f t="shared" si="116"/>
        <v>293.33333333333405</v>
      </c>
      <c r="BI176" s="59">
        <f ca="1">AVERAGE(OFFSET($BH$3,0,0,'Données projet'!$E$11+1,1))-AVERAGE(OFFSET($H$3,0,0,'Données projet'!$E$11+1,1))</f>
        <v>252.20412072815043</v>
      </c>
      <c r="BJ176" s="59">
        <f t="shared" si="146"/>
        <v>208.19930959443013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13.869676161497003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13.869676161497003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34.038575999999928</v>
      </c>
      <c r="D177" s="11">
        <f t="shared" si="140"/>
        <v>10.404039179810972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75.474476305363083</v>
      </c>
      <c r="H177" s="67">
        <f t="shared" si="110"/>
        <v>334.07088810483731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2.8421709430404007E-13</v>
      </c>
      <c r="O177" s="13">
        <f>N177*VLOOKUP('Données projet'!$B$9,Paramètres!$A$1:$I$89,3,0)*VLOOKUP('Données projet'!$B$9,Paramètres!$A$1:$I$89,5,0)</f>
        <v>1.3301360013429075E-13</v>
      </c>
      <c r="P177" s="13">
        <f t="shared" si="141"/>
        <v>1.9329766731057041E-12</v>
      </c>
      <c r="Q177" s="20">
        <f t="shared" si="162"/>
        <v>3.5982663925596575E-12</v>
      </c>
      <c r="R177" s="59">
        <f t="shared" si="109"/>
        <v>293.3333333333369</v>
      </c>
      <c r="S177" s="59">
        <f ca="1">AVERAGE(OFFSET($R$3,0,0,'Données projet'!$E$9+1,1))-AVERAGE(OFFSET($H$3,0,0,'Données projet'!$E$9+1,1))</f>
        <v>270.18797004581819</v>
      </c>
      <c r="T177" s="59">
        <f t="shared" si="142"/>
        <v>246.88276293504617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12.944454212713197</v>
      </c>
      <c r="AA177" s="21">
        <f>EXP(-LN(2)/25)*AA176+(1-EXP(-LN(2)/25))/(LN(2)/25)*Calculateur!V177*Calculateur!X177*VLOOKUP('Données projet'!$B$9,Paramètres!$A$1:$I$89,3,0)*0.475*44/12</f>
        <v>17.202573873152488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30.147028085865685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-4.6111381379887462E-13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374.01259415112554</v>
      </c>
      <c r="AO177" s="59">
        <f t="shared" si="144"/>
        <v>244.5696433180579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37.987899677135239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37.987899677135239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2.8421709430404007E-14</v>
      </c>
      <c r="BE177" s="13">
        <f>BD177*VLOOKUP('Données projet'!$B$11,Paramètres!$A$1:$I$89,3,0)*VLOOKUP('Données projet'!$B$11,Paramètres!$A$1:$I$89,5,0)</f>
        <v>2.3055690689943732E-14</v>
      </c>
      <c r="BF177" s="13">
        <f t="shared" si="167"/>
        <v>4.10868481342271E-13</v>
      </c>
      <c r="BG177" s="20">
        <f t="shared" si="168"/>
        <v>7.5575126628944061E-13</v>
      </c>
      <c r="BH177" s="59">
        <f t="shared" si="116"/>
        <v>293.33333333333405</v>
      </c>
      <c r="BI177" s="59">
        <f ca="1">AVERAGE(OFFSET($BH$3,0,0,'Données projet'!$E$11+1,1))-AVERAGE(OFFSET($H$3,0,0,'Données projet'!$E$11+1,1))</f>
        <v>252.20412072815043</v>
      </c>
      <c r="BJ177" s="59">
        <f t="shared" si="146"/>
        <v>208.19930959443013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13.597700271637182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13.597700271637182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34.23419999999993</v>
      </c>
      <c r="D178" s="11">
        <f t="shared" si="140"/>
        <v>10.456854930803074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75.896388022837399</v>
      </c>
      <c r="H178" s="67">
        <f t="shared" si="110"/>
        <v>334.50358733781525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2.8421709430404007E-13</v>
      </c>
      <c r="O178" s="13">
        <f>N178*VLOOKUP('Données projet'!$B$9,Paramètres!$A$1:$I$89,3,0)*VLOOKUP('Données projet'!$B$9,Paramètres!$A$1:$I$89,5,0)</f>
        <v>1.3301360013429075E-13</v>
      </c>
      <c r="P178" s="13">
        <f t="shared" si="141"/>
        <v>1.9329766731057041E-12</v>
      </c>
      <c r="Q178" s="20">
        <f t="shared" si="162"/>
        <v>3.5982663925596575E-12</v>
      </c>
      <c r="R178" s="59">
        <f t="shared" si="109"/>
        <v>293.3333333333369</v>
      </c>
      <c r="S178" s="59">
        <f ca="1">AVERAGE(OFFSET($R$3,0,0,'Données projet'!$E$9+1,1))-AVERAGE(OFFSET($H$3,0,0,'Données projet'!$E$9+1,1))</f>
        <v>270.18797004581819</v>
      </c>
      <c r="T178" s="59">
        <f t="shared" si="142"/>
        <v>246.88276293504617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12.69062136093936</v>
      </c>
      <c r="AA178" s="21">
        <f>EXP(-LN(2)/25)*AA177+(1-EXP(-LN(2)/25))/(LN(2)/25)*Calculateur!V178*Calculateur!X178*VLOOKUP('Données projet'!$B$9,Paramètres!$A$1:$I$89,3,0)*0.475*44/12</f>
        <v>16.73216858594709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29.42278994688645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-4.6111381379887462E-13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374.01259415112554</v>
      </c>
      <c r="AO178" s="59">
        <f t="shared" si="144"/>
        <v>244.5696433180579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37.242980134797541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37.242980134797541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2.8421709430404007E-14</v>
      </c>
      <c r="BE178" s="13">
        <f>BD178*VLOOKUP('Données projet'!$B$11,Paramètres!$A$1:$I$89,3,0)*VLOOKUP('Données projet'!$B$11,Paramètres!$A$1:$I$89,5,0)</f>
        <v>2.3055690689943732E-14</v>
      </c>
      <c r="BF178" s="13">
        <f t="shared" si="167"/>
        <v>4.10868481342271E-13</v>
      </c>
      <c r="BG178" s="20">
        <f t="shared" si="168"/>
        <v>7.5575126628944061E-13</v>
      </c>
      <c r="BH178" s="59">
        <f t="shared" si="116"/>
        <v>293.33333333333405</v>
      </c>
      <c r="BI178" s="59">
        <f ca="1">AVERAGE(OFFSET($BH$3,0,0,'Données projet'!$E$11+1,1))-AVERAGE(OFFSET($H$3,0,0,'Données projet'!$E$11+1,1))</f>
        <v>252.20412072815043</v>
      </c>
      <c r="BJ178" s="59">
        <f t="shared" si="146"/>
        <v>208.19930959443013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13.3310576630886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13.3310576630886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34.429823999999932</v>
      </c>
      <c r="D179" s="11">
        <f t="shared" si="140"/>
        <v>10.509635563254129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76.318240100403401</v>
      </c>
      <c r="H179" s="67">
        <f t="shared" si="110"/>
        <v>334.93622540600086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2.8421709430404007E-13</v>
      </c>
      <c r="O179" s="13">
        <f>N179*VLOOKUP('Données projet'!$B$9,Paramètres!$A$1:$I$89,3,0)*VLOOKUP('Données projet'!$B$9,Paramètres!$A$1:$I$89,5,0)</f>
        <v>1.3301360013429075E-13</v>
      </c>
      <c r="P179" s="13">
        <f t="shared" si="141"/>
        <v>1.9329766731057041E-12</v>
      </c>
      <c r="Q179" s="20">
        <f t="shared" si="162"/>
        <v>3.5982663925596575E-12</v>
      </c>
      <c r="R179" s="59">
        <f t="shared" si="109"/>
        <v>293.3333333333369</v>
      </c>
      <c r="S179" s="59">
        <f ca="1">AVERAGE(OFFSET($R$3,0,0,'Données projet'!$E$9+1,1))-AVERAGE(OFFSET($H$3,0,0,'Données projet'!$E$9+1,1))</f>
        <v>270.18797004581819</v>
      </c>
      <c r="T179" s="59">
        <f t="shared" si="142"/>
        <v>246.88276293504617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12.441766016566058</v>
      </c>
      <c r="AA179" s="21">
        <f>EXP(-LN(2)/25)*AA178+(1-EXP(-LN(2)/25))/(LN(2)/25)*Calculateur!V179*Calculateur!X179*VLOOKUP('Données projet'!$B$9,Paramètres!$A$1:$I$89,3,0)*0.475*44/12</f>
        <v>16.274626556057861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28.716392572623917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-4.6111381379887462E-13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374.01259415112554</v>
      </c>
      <c r="AO179" s="59">
        <f t="shared" si="144"/>
        <v>244.5696433180579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36.51266801032903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36.51266801032903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2.8421709430404007E-14</v>
      </c>
      <c r="BE179" s="13">
        <f>BD179*VLOOKUP('Données projet'!$B$11,Paramètres!$A$1:$I$89,3,0)*VLOOKUP('Données projet'!$B$11,Paramètres!$A$1:$I$89,5,0)</f>
        <v>2.3055690689943732E-14</v>
      </c>
      <c r="BF179" s="13">
        <f t="shared" si="167"/>
        <v>4.10868481342271E-13</v>
      </c>
      <c r="BG179" s="20">
        <f t="shared" si="168"/>
        <v>7.5575126628944061E-13</v>
      </c>
      <c r="BH179" s="59">
        <f t="shared" si="116"/>
        <v>293.33333333333405</v>
      </c>
      <c r="BI179" s="59">
        <f ca="1">AVERAGE(OFFSET($BH$3,0,0,'Données projet'!$E$11+1,1))-AVERAGE(OFFSET($H$3,0,0,'Données projet'!$E$11+1,1))</f>
        <v>252.20412072815043</v>
      </c>
      <c r="BJ179" s="59">
        <f t="shared" si="146"/>
        <v>208.19930959443013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13.069643753457724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13.069643753457724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34.625447999999935</v>
      </c>
      <c r="D180" s="11">
        <f t="shared" si="140"/>
        <v>10.562381299856186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76.740032916246889</v>
      </c>
      <c r="H180" s="67">
        <f t="shared" si="110"/>
        <v>335.36880269724941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2.8421709430404007E-13</v>
      </c>
      <c r="O180" s="13">
        <f>N180*VLOOKUP('Données projet'!$B$9,Paramètres!$A$1:$I$89,3,0)*VLOOKUP('Données projet'!$B$9,Paramètres!$A$1:$I$89,5,0)</f>
        <v>1.3301360013429075E-13</v>
      </c>
      <c r="P180" s="13">
        <f t="shared" si="141"/>
        <v>1.9329766731057041E-12</v>
      </c>
      <c r="Q180" s="20">
        <f t="shared" si="162"/>
        <v>3.5982663925596575E-12</v>
      </c>
      <c r="R180" s="59">
        <f t="shared" si="109"/>
        <v>293.3333333333369</v>
      </c>
      <c r="S180" s="59">
        <f ca="1">AVERAGE(OFFSET($R$3,0,0,'Données projet'!$E$9+1,1))-AVERAGE(OFFSET($H$3,0,0,'Données projet'!$E$9+1,1))</f>
        <v>270.18797004581819</v>
      </c>
      <c r="T180" s="59">
        <f t="shared" si="142"/>
        <v>246.88276293504617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12.197790573709144</v>
      </c>
      <c r="AA180" s="21">
        <f>EXP(-LN(2)/25)*AA179+(1-EXP(-LN(2)/25))/(LN(2)/25)*Calculateur!V180*Calculateur!X180*VLOOKUP('Données projet'!$B$9,Paramètres!$A$1:$I$89,3,0)*0.475*44/12</f>
        <v>15.829596037037044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28.027386610746188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-4.6111381379887462E-13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374.01259415112554</v>
      </c>
      <c r="AO180" s="59">
        <f t="shared" si="144"/>
        <v>244.5696433180579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35.79667686117493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35.79667686117493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2.8421709430404007E-14</v>
      </c>
      <c r="BE180" s="13">
        <f>BD180*VLOOKUP('Données projet'!$B$11,Paramètres!$A$1:$I$89,3,0)*VLOOKUP('Données projet'!$B$11,Paramètres!$A$1:$I$89,5,0)</f>
        <v>2.3055690689943732E-14</v>
      </c>
      <c r="BF180" s="13">
        <f t="shared" si="167"/>
        <v>4.10868481342271E-13</v>
      </c>
      <c r="BG180" s="20">
        <f t="shared" si="168"/>
        <v>7.5575126628944061E-13</v>
      </c>
      <c r="BH180" s="59">
        <f t="shared" si="116"/>
        <v>293.33333333333405</v>
      </c>
      <c r="BI180" s="59">
        <f ca="1">AVERAGE(OFFSET($BH$3,0,0,'Données projet'!$E$11+1,1))-AVERAGE(OFFSET($H$3,0,0,'Données projet'!$E$11+1,1))</f>
        <v>252.20412072815043</v>
      </c>
      <c r="BJ180" s="59">
        <f t="shared" si="146"/>
        <v>208.19930959443013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12.813356011147969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12.813356011147969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34.821071999999937</v>
      </c>
      <c r="D181" s="11">
        <f t="shared" si="140"/>
        <v>10.615092360639375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77.161766844033082</v>
      </c>
      <c r="H181" s="67">
        <f t="shared" si="110"/>
        <v>335.80131959478013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2.8421709430404007E-13</v>
      </c>
      <c r="O181" s="13">
        <f>N181*VLOOKUP('Données projet'!$B$9,Paramètres!$A$1:$I$89,3,0)*VLOOKUP('Données projet'!$B$9,Paramètres!$A$1:$I$89,5,0)</f>
        <v>1.3301360013429075E-13</v>
      </c>
      <c r="P181" s="13">
        <f t="shared" si="141"/>
        <v>1.9329766731057041E-12</v>
      </c>
      <c r="Q181" s="20">
        <f t="shared" si="162"/>
        <v>3.5982663925596575E-12</v>
      </c>
      <c r="R181" s="59">
        <f t="shared" si="109"/>
        <v>293.3333333333369</v>
      </c>
      <c r="S181" s="59">
        <f ca="1">AVERAGE(OFFSET($R$3,0,0,'Données projet'!$E$9+1,1))-AVERAGE(OFFSET($H$3,0,0,'Données projet'!$E$9+1,1))</f>
        <v>270.18797004581819</v>
      </c>
      <c r="T181" s="59">
        <f t="shared" si="142"/>
        <v>246.88276293504617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11.958599340476326</v>
      </c>
      <c r="AA181" s="21">
        <f>EXP(-LN(2)/25)*AA180+(1-EXP(-LN(2)/25))/(LN(2)/25)*Calculateur!V181*Calculateur!X181*VLOOKUP('Données projet'!$B$9,Paramètres!$A$1:$I$89,3,0)*0.475*44/12</f>
        <v>15.39673490096199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27.355334241438314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-4.6111381379887462E-13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374.01259415112554</v>
      </c>
      <c r="AO181" s="59">
        <f t="shared" si="144"/>
        <v>244.5696433180579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35.094725861744266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35.094725861744266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2.8421709430404007E-14</v>
      </c>
      <c r="BE181" s="13">
        <f>BD181*VLOOKUP('Données projet'!$B$11,Paramètres!$A$1:$I$89,3,0)*VLOOKUP('Données projet'!$B$11,Paramètres!$A$1:$I$89,5,0)</f>
        <v>2.3055690689943732E-14</v>
      </c>
      <c r="BF181" s="13">
        <f t="shared" si="167"/>
        <v>4.10868481342271E-13</v>
      </c>
      <c r="BG181" s="20">
        <f t="shared" si="168"/>
        <v>7.5575126628944061E-13</v>
      </c>
      <c r="BH181" s="59">
        <f t="shared" si="116"/>
        <v>293.33333333333405</v>
      </c>
      <c r="BI181" s="59">
        <f ca="1">AVERAGE(OFFSET($BH$3,0,0,'Données projet'!$E$11+1,1))-AVERAGE(OFFSET($H$3,0,0,'Données projet'!$E$11+1,1))</f>
        <v>252.20412072815043</v>
      </c>
      <c r="BJ181" s="59">
        <f t="shared" si="146"/>
        <v>208.19930959443013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12.562093915144819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12.562093915144819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35.016695999999939</v>
      </c>
      <c r="D182" s="11">
        <f t="shared" si="140"/>
        <v>10.667768963018522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77.583442252985733</v>
      </c>
      <c r="H182" s="67">
        <f t="shared" si="110"/>
        <v>336.23377647725715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2.8421709430404007E-13</v>
      </c>
      <c r="O182" s="13">
        <f>N182*VLOOKUP('Données projet'!$B$9,Paramètres!$A$1:$I$89,3,0)*VLOOKUP('Données projet'!$B$9,Paramètres!$A$1:$I$89,5,0)</f>
        <v>1.3301360013429075E-13</v>
      </c>
      <c r="P182" s="13">
        <f t="shared" si="141"/>
        <v>1.9329766731057041E-12</v>
      </c>
      <c r="Q182" s="20">
        <f t="shared" si="162"/>
        <v>3.5982663925596575E-12</v>
      </c>
      <c r="R182" s="59">
        <f t="shared" si="109"/>
        <v>293.3333333333369</v>
      </c>
      <c r="S182" s="59">
        <f ca="1">AVERAGE(OFFSET($R$3,0,0,'Données projet'!$E$9+1,1))-AVERAGE(OFFSET($H$3,0,0,'Données projet'!$E$9+1,1))</f>
        <v>270.18797004581819</v>
      </c>
      <c r="T182" s="59">
        <f t="shared" si="142"/>
        <v>246.88276293504617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11.724098501434957</v>
      </c>
      <c r="AA182" s="21">
        <f>EXP(-LN(2)/25)*AA181+(1-EXP(-LN(2)/25))/(LN(2)/25)*Calculateur!V182*Calculateur!X182*VLOOKUP('Données projet'!$B$9,Paramètres!$A$1:$I$89,3,0)*0.475*44/12</f>
        <v>14.975710375416085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26.699808876851044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-4.6111381379887462E-13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374.01259415112554</v>
      </c>
      <c r="AO182" s="59">
        <f t="shared" si="144"/>
        <v>244.5696433180579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34.406539693264605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34.406539693264605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2.8421709430404007E-14</v>
      </c>
      <c r="BE182" s="13">
        <f>BD182*VLOOKUP('Données projet'!$B$11,Paramètres!$A$1:$I$89,3,0)*VLOOKUP('Données projet'!$B$11,Paramètres!$A$1:$I$89,5,0)</f>
        <v>2.3055690689943732E-14</v>
      </c>
      <c r="BF182" s="13">
        <f t="shared" si="167"/>
        <v>4.10868481342271E-13</v>
      </c>
      <c r="BG182" s="20">
        <f t="shared" si="168"/>
        <v>7.5575126628944061E-13</v>
      </c>
      <c r="BH182" s="59">
        <f t="shared" si="116"/>
        <v>293.33333333333405</v>
      </c>
      <c r="BI182" s="59">
        <f ca="1">AVERAGE(OFFSET($BH$3,0,0,'Données projet'!$E$11+1,1))-AVERAGE(OFFSET($H$3,0,0,'Données projet'!$E$11+1,1))</f>
        <v>252.20412072815043</v>
      </c>
      <c r="BJ182" s="59">
        <f t="shared" si="146"/>
        <v>208.19930959443013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12.315758915589546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12.315758915589546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35.212319999999941</v>
      </c>
      <c r="D183" s="11">
        <f t="shared" si="140"/>
        <v>10.720411321838643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78.005059507964475</v>
      </c>
      <c r="H183" s="67">
        <f t="shared" si="110"/>
        <v>336.66617371886889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2.8421709430404007E-13</v>
      </c>
      <c r="O183" s="13">
        <f>N183*VLOOKUP('Données projet'!$B$9,Paramètres!$A$1:$I$89,3,0)*VLOOKUP('Données projet'!$B$9,Paramètres!$A$1:$I$89,5,0)</f>
        <v>1.3301360013429075E-13</v>
      </c>
      <c r="P183" s="13">
        <f t="shared" si="141"/>
        <v>1.9329766731057041E-12</v>
      </c>
      <c r="Q183" s="20">
        <f t="shared" si="162"/>
        <v>3.5982663925596575E-12</v>
      </c>
      <c r="R183" s="59">
        <f t="shared" si="109"/>
        <v>293.3333333333369</v>
      </c>
      <c r="S183" s="59">
        <f ca="1">AVERAGE(OFFSET($R$3,0,0,'Données projet'!$E$9+1,1))-AVERAGE(OFFSET($H$3,0,0,'Données projet'!$E$9+1,1))</f>
        <v>270.18797004581819</v>
      </c>
      <c r="T183" s="59">
        <f t="shared" si="142"/>
        <v>246.88276293504617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11.494196080815801</v>
      </c>
      <c r="AA183" s="21">
        <f>EXP(-LN(2)/25)*AA182+(1-EXP(-LN(2)/25))/(LN(2)/25)*Calculateur!V183*Calculateur!X183*VLOOKUP('Données projet'!$B$9,Paramètres!$A$1:$I$89,3,0)*0.475*44/12</f>
        <v>14.566198787661952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26.060394868477751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-4.6111381379887462E-13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374.01259415112554</v>
      </c>
      <c r="AO183" s="59">
        <f t="shared" si="144"/>
        <v>244.5696433180579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33.731848435796714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33.731848435796714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2.8421709430404007E-14</v>
      </c>
      <c r="BE183" s="13">
        <f>BD183*VLOOKUP('Données projet'!$B$11,Paramètres!$A$1:$I$89,3,0)*VLOOKUP('Données projet'!$B$11,Paramètres!$A$1:$I$89,5,0)</f>
        <v>2.3055690689943732E-14</v>
      </c>
      <c r="BF183" s="13">
        <f t="shared" si="167"/>
        <v>4.10868481342271E-13</v>
      </c>
      <c r="BG183" s="20">
        <f t="shared" si="168"/>
        <v>7.5575126628944061E-13</v>
      </c>
      <c r="BH183" s="59">
        <f t="shared" si="116"/>
        <v>293.33333333333405</v>
      </c>
      <c r="BI183" s="59">
        <f ca="1">AVERAGE(OFFSET($BH$3,0,0,'Données projet'!$E$11+1,1))-AVERAGE(OFFSET($H$3,0,0,'Données projet'!$E$11+1,1))</f>
        <v>252.20412072815043</v>
      </c>
      <c r="BJ183" s="59">
        <f t="shared" si="146"/>
        <v>208.19930959443013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12.074254395126038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12.074254395126038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35.407943999999944</v>
      </c>
      <c r="D184" s="11">
        <f t="shared" si="140"/>
        <v>10.773019649419439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78.426618969540286</v>
      </c>
      <c r="H184" s="67">
        <f t="shared" si="110"/>
        <v>337.09851168940543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2.8421709430404007E-13</v>
      </c>
      <c r="O184" s="13">
        <f>N184*VLOOKUP('Données projet'!$B$9,Paramètres!$A$1:$I$89,3,0)*VLOOKUP('Données projet'!$B$9,Paramètres!$A$1:$I$89,5,0)</f>
        <v>1.3301360013429075E-13</v>
      </c>
      <c r="P184" s="13">
        <f t="shared" si="141"/>
        <v>1.9329766731057041E-12</v>
      </c>
      <c r="Q184" s="20">
        <f t="shared" si="162"/>
        <v>3.5982663925596575E-12</v>
      </c>
      <c r="R184" s="59">
        <f t="shared" si="109"/>
        <v>293.3333333333369</v>
      </c>
      <c r="S184" s="59">
        <f ca="1">AVERAGE(OFFSET($R$3,0,0,'Données projet'!$E$9+1,1))-AVERAGE(OFFSET($H$3,0,0,'Données projet'!$E$9+1,1))</f>
        <v>270.18797004581819</v>
      </c>
      <c r="T184" s="59">
        <f t="shared" si="142"/>
        <v>246.88276293504617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11.268801906438357</v>
      </c>
      <c r="AA184" s="21">
        <f>EXP(-LN(2)/25)*AA183+(1-EXP(-LN(2)/25))/(LN(2)/25)*Calculateur!V184*Calculateur!X184*VLOOKUP('Données projet'!$B$9,Paramètres!$A$1:$I$89,3,0)*0.475*44/12</f>
        <v>14.167885315810233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25.43668722224859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-4.6111381379887462E-13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374.01259415112554</v>
      </c>
      <c r="AO184" s="59">
        <f t="shared" si="144"/>
        <v>244.5696433180579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33.070387462366732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33.070387462366732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2.8421709430404007E-14</v>
      </c>
      <c r="BE184" s="13">
        <f>BD184*VLOOKUP('Données projet'!$B$11,Paramètres!$A$1:$I$89,3,0)*VLOOKUP('Données projet'!$B$11,Paramètres!$A$1:$I$89,5,0)</f>
        <v>2.3055690689943732E-14</v>
      </c>
      <c r="BF184" s="13">
        <f t="shared" si="167"/>
        <v>4.10868481342271E-13</v>
      </c>
      <c r="BG184" s="20">
        <f t="shared" si="168"/>
        <v>7.5575126628944061E-13</v>
      </c>
      <c r="BH184" s="59">
        <f t="shared" si="116"/>
        <v>293.33333333333405</v>
      </c>
      <c r="BI184" s="59">
        <f ca="1">AVERAGE(OFFSET($BH$3,0,0,'Données projet'!$E$11+1,1))-AVERAGE(OFFSET($H$3,0,0,'Données projet'!$E$11+1,1))</f>
        <v>252.20412072815043</v>
      </c>
      <c r="BJ184" s="59">
        <f t="shared" si="146"/>
        <v>208.19930959443013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11.837485631005608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11.837485631005608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35.603567999999946</v>
      </c>
      <c r="D185" s="11">
        <f t="shared" si="140"/>
        <v>10.825594155598735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78.848120994069347</v>
      </c>
      <c r="H185" s="67">
        <f t="shared" si="110"/>
        <v>337.53079075433436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2.8421709430404007E-13</v>
      </c>
      <c r="O185" s="13">
        <f>N185*VLOOKUP('Données projet'!$B$9,Paramètres!$A$1:$I$89,3,0)*VLOOKUP('Données projet'!$B$9,Paramètres!$A$1:$I$89,5,0)</f>
        <v>1.3301360013429075E-13</v>
      </c>
      <c r="P185" s="13">
        <f t="shared" si="141"/>
        <v>1.9329766731057041E-12</v>
      </c>
      <c r="Q185" s="20">
        <f t="shared" si="162"/>
        <v>3.5982663925596575E-12</v>
      </c>
      <c r="R185" s="59">
        <f t="shared" si="109"/>
        <v>293.3333333333369</v>
      </c>
      <c r="S185" s="59">
        <f ca="1">AVERAGE(OFFSET($R$3,0,0,'Données projet'!$E$9+1,1))-AVERAGE(OFFSET($H$3,0,0,'Données projet'!$E$9+1,1))</f>
        <v>270.18797004581819</v>
      </c>
      <c r="T185" s="59">
        <f t="shared" si="142"/>
        <v>246.88276293504617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11.047827574343582</v>
      </c>
      <c r="AA185" s="21">
        <f>EXP(-LN(2)/25)*AA184+(1-EXP(-LN(2)/25))/(LN(2)/25)*Calculateur!V185*Calculateur!X185*VLOOKUP('Données projet'!$B$9,Paramètres!$A$1:$I$89,3,0)*0.475*44/12</f>
        <v>13.780463746792694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24.828291321136277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-4.6111381379887462E-13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374.01259415112554</v>
      </c>
      <c r="AO185" s="59">
        <f t="shared" si="144"/>
        <v>244.5696433180579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32.421897335174357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32.421897335174357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2.8421709430404007E-14</v>
      </c>
      <c r="BE185" s="13">
        <f>BD185*VLOOKUP('Données projet'!$B$11,Paramètres!$A$1:$I$89,3,0)*VLOOKUP('Données projet'!$B$11,Paramètres!$A$1:$I$89,5,0)</f>
        <v>2.3055690689943732E-14</v>
      </c>
      <c r="BF185" s="13">
        <f t="shared" si="167"/>
        <v>4.10868481342271E-13</v>
      </c>
      <c r="BG185" s="20">
        <f t="shared" si="168"/>
        <v>7.5575126628944061E-13</v>
      </c>
      <c r="BH185" s="59">
        <f t="shared" si="116"/>
        <v>293.33333333333405</v>
      </c>
      <c r="BI185" s="59">
        <f ca="1">AVERAGE(OFFSET($BH$3,0,0,'Données projet'!$E$11+1,1))-AVERAGE(OFFSET($H$3,0,0,'Données projet'!$E$11+1,1))</f>
        <v>252.20412072815043</v>
      </c>
      <c r="BJ185" s="59">
        <f t="shared" si="146"/>
        <v>208.19930959443013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11.605359757934892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11.605359757934892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35.799191999999948</v>
      </c>
      <c r="D186" s="11">
        <f t="shared" si="140"/>
        <v>10.878135047775014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79.269565933765207</v>
      </c>
      <c r="H186" s="67">
        <f t="shared" si="110"/>
        <v>337.96301127487476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2.8421709430404007E-13</v>
      </c>
      <c r="O186" s="13">
        <f>N186*VLOOKUP('Données projet'!$B$9,Paramètres!$A$1:$I$89,3,0)*VLOOKUP('Données projet'!$B$9,Paramètres!$A$1:$I$89,5,0)</f>
        <v>1.3301360013429075E-13</v>
      </c>
      <c r="P186" s="13">
        <f t="shared" si="141"/>
        <v>1.9329766731057041E-12</v>
      </c>
      <c r="Q186" s="20">
        <f t="shared" si="162"/>
        <v>3.5982663925596575E-12</v>
      </c>
      <c r="R186" s="59">
        <f t="shared" si="109"/>
        <v>293.3333333333369</v>
      </c>
      <c r="S186" s="59">
        <f ca="1">AVERAGE(OFFSET($R$3,0,0,'Données projet'!$E$9+1,1))-AVERAGE(OFFSET($H$3,0,0,'Données projet'!$E$9+1,1))</f>
        <v>270.18797004581819</v>
      </c>
      <c r="T186" s="59">
        <f t="shared" si="142"/>
        <v>246.88276293504617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10.831186414120152</v>
      </c>
      <c r="AA186" s="21">
        <f>EXP(-LN(2)/25)*AA185+(1-EXP(-LN(2)/25))/(LN(2)/25)*Calculateur!V186*Calculateur!X186*VLOOKUP('Données projet'!$B$9,Paramètres!$A$1:$I$89,3,0)*0.475*44/12</f>
        <v>13.403636240953556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24.234822655073707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-4.6111381379887462E-13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374.01259415112554</v>
      </c>
      <c r="AO186" s="59">
        <f t="shared" si="144"/>
        <v>244.5696433180579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31.786123703836303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31.786123703836303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2.8421709430404007E-14</v>
      </c>
      <c r="BE186" s="13">
        <f>BD186*VLOOKUP('Données projet'!$B$11,Paramètres!$A$1:$I$89,3,0)*VLOOKUP('Données projet'!$B$11,Paramètres!$A$1:$I$89,5,0)</f>
        <v>2.3055690689943732E-14</v>
      </c>
      <c r="BF186" s="13">
        <f t="shared" si="167"/>
        <v>4.10868481342271E-13</v>
      </c>
      <c r="BG186" s="20">
        <f t="shared" si="168"/>
        <v>7.5575126628944061E-13</v>
      </c>
      <c r="BH186" s="59">
        <f t="shared" si="116"/>
        <v>293.33333333333405</v>
      </c>
      <c r="BI186" s="59">
        <f ca="1">AVERAGE(OFFSET($BH$3,0,0,'Données projet'!$E$11+1,1))-AVERAGE(OFFSET($H$3,0,0,'Données projet'!$E$11+1,1))</f>
        <v>252.20412072815043</v>
      </c>
      <c r="BJ186" s="59">
        <f t="shared" si="146"/>
        <v>208.19930959443013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11.37778573165229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11.37778573165229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35.99481599999995</v>
      </c>
      <c r="D187" s="11">
        <f t="shared" si="140"/>
        <v>10.930642530948903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79.690954136769278</v>
      </c>
      <c r="H187" s="67">
        <f t="shared" si="110"/>
        <v>338.39517360806929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2.8421709430404007E-13</v>
      </c>
      <c r="O187" s="13">
        <f>N187*VLOOKUP('Données projet'!$B$9,Paramètres!$A$1:$I$89,3,0)*VLOOKUP('Données projet'!$B$9,Paramètres!$A$1:$I$89,5,0)</f>
        <v>1.3301360013429075E-13</v>
      </c>
      <c r="P187" s="13">
        <f t="shared" si="141"/>
        <v>1.9329766731057041E-12</v>
      </c>
      <c r="Q187" s="20">
        <f t="shared" si="162"/>
        <v>3.5982663925596575E-12</v>
      </c>
      <c r="R187" s="59">
        <f t="shared" si="109"/>
        <v>293.3333333333369</v>
      </c>
      <c r="S187" s="59">
        <f ca="1">AVERAGE(OFFSET($R$3,0,0,'Données projet'!$E$9+1,1))-AVERAGE(OFFSET($H$3,0,0,'Données projet'!$E$9+1,1))</f>
        <v>270.18797004581819</v>
      </c>
      <c r="T187" s="59">
        <f t="shared" si="142"/>
        <v>246.88276293504617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10.618793454910644</v>
      </c>
      <c r="AA187" s="21">
        <f>EXP(-LN(2)/25)*AA186+(1-EXP(-LN(2)/25))/(LN(2)/25)*Calculateur!V187*Calculateur!X187*VLOOKUP('Données projet'!$B$9,Paramètres!$A$1:$I$89,3,0)*0.475*44/12</f>
        <v>13.037113103078086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23.655906557988729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-4.6111381379887462E-13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374.01259415112554</v>
      </c>
      <c r="AO187" s="59">
        <f t="shared" si="144"/>
        <v>244.5696433180579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31.162817205625164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31.162817205625164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2.8421709430404007E-14</v>
      </c>
      <c r="BE187" s="13">
        <f>BD187*VLOOKUP('Données projet'!$B$11,Paramètres!$A$1:$I$89,3,0)*VLOOKUP('Données projet'!$B$11,Paramètres!$A$1:$I$89,5,0)</f>
        <v>2.3055690689943732E-14</v>
      </c>
      <c r="BF187" s="13">
        <f t="shared" si="167"/>
        <v>4.10868481342271E-13</v>
      </c>
      <c r="BG187" s="20">
        <f t="shared" si="168"/>
        <v>7.5575126628944061E-13</v>
      </c>
      <c r="BH187" s="59">
        <f t="shared" si="116"/>
        <v>293.33333333333405</v>
      </c>
      <c r="BI187" s="59">
        <f ca="1">AVERAGE(OFFSET($BH$3,0,0,'Données projet'!$E$11+1,1))-AVERAGE(OFFSET($H$3,0,0,'Données projet'!$E$11+1,1))</f>
        <v>252.20412072815043</v>
      </c>
      <c r="BJ187" s="59">
        <f t="shared" si="146"/>
        <v>208.19930959443013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11.15467429321864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11.15467429321864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36.190439999999953</v>
      </c>
      <c r="D188" s="11">
        <f t="shared" si="140"/>
        <v>10.983116807763791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80.112285947219846</v>
      </c>
      <c r="H188" s="67">
        <f t="shared" si="110"/>
        <v>338.8272781068552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2.8421709430404007E-13</v>
      </c>
      <c r="O188" s="13">
        <f>N188*VLOOKUP('Données projet'!$B$9,Paramètres!$A$1:$I$89,3,0)*VLOOKUP('Données projet'!$B$9,Paramètres!$A$1:$I$89,5,0)</f>
        <v>1.3301360013429075E-13</v>
      </c>
      <c r="P188" s="13">
        <f t="shared" si="141"/>
        <v>1.9329766731057041E-12</v>
      </c>
      <c r="Q188" s="20">
        <f t="shared" si="162"/>
        <v>3.5982663925596575E-12</v>
      </c>
      <c r="R188" s="59">
        <f t="shared" si="109"/>
        <v>293.3333333333369</v>
      </c>
      <c r="S188" s="59">
        <f ca="1">AVERAGE(OFFSET($R$3,0,0,'Données projet'!$E$9+1,1))-AVERAGE(OFFSET($H$3,0,0,'Données projet'!$E$9+1,1))</f>
        <v>270.18797004581819</v>
      </c>
      <c r="T188" s="59">
        <f t="shared" si="142"/>
        <v>246.88276293504617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10.410565392084321</v>
      </c>
      <c r="AA188" s="21">
        <f>EXP(-LN(2)/25)*AA187+(1-EXP(-LN(2)/25))/(LN(2)/25)*Calculateur!V188*Calculateur!X188*VLOOKUP('Données projet'!$B$9,Paramètres!$A$1:$I$89,3,0)*0.475*44/12</f>
        <v>12.680612559682434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23.091177951766753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-4.6111381379887462E-13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374.01259415112554</v>
      </c>
      <c r="AO188" s="59">
        <f t="shared" si="144"/>
        <v>244.5696433180579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30.551733367664522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30.551733367664522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2.8421709430404007E-14</v>
      </c>
      <c r="BE188" s="13">
        <f>BD188*VLOOKUP('Données projet'!$B$11,Paramètres!$A$1:$I$89,3,0)*VLOOKUP('Données projet'!$B$11,Paramètres!$A$1:$I$89,5,0)</f>
        <v>2.3055690689943732E-14</v>
      </c>
      <c r="BF188" s="13">
        <f t="shared" si="167"/>
        <v>4.10868481342271E-13</v>
      </c>
      <c r="BG188" s="20">
        <f t="shared" si="168"/>
        <v>7.5575126628944061E-13</v>
      </c>
      <c r="BH188" s="59">
        <f t="shared" si="116"/>
        <v>293.33333333333405</v>
      </c>
      <c r="BI188" s="59">
        <f ca="1">AVERAGE(OFFSET($BH$3,0,0,'Données projet'!$E$11+1,1))-AVERAGE(OFFSET($H$3,0,0,'Données projet'!$E$11+1,1))</f>
        <v>252.20412072815043</v>
      </c>
      <c r="BJ188" s="59">
        <f t="shared" si="146"/>
        <v>208.19930959443013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10.935937934008134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10.935937934008134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36.386063999999955</v>
      </c>
      <c r="D189" s="11">
        <f t="shared" si="140"/>
        <v>11.035558078545513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80.533561705319329</v>
      </c>
      <c r="H189" s="67">
        <f t="shared" si="110"/>
        <v>339.25932512013338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2.8421709430404007E-13</v>
      </c>
      <c r="O189" s="13">
        <f>N189*VLOOKUP('Données projet'!$B$9,Paramètres!$A$1:$I$89,3,0)*VLOOKUP('Données projet'!$B$9,Paramètres!$A$1:$I$89,5,0)</f>
        <v>1.3301360013429075E-13</v>
      </c>
      <c r="P189" s="13">
        <f t="shared" si="141"/>
        <v>1.9329766731057041E-12</v>
      </c>
      <c r="Q189" s="20">
        <f t="shared" si="162"/>
        <v>3.5982663925596575E-12</v>
      </c>
      <c r="R189" s="59">
        <f t="shared" si="109"/>
        <v>293.3333333333369</v>
      </c>
      <c r="S189" s="59">
        <f ca="1">AVERAGE(OFFSET($R$3,0,0,'Données projet'!$E$9+1,1))-AVERAGE(OFFSET($H$3,0,0,'Données projet'!$E$9+1,1))</f>
        <v>270.18797004581819</v>
      </c>
      <c r="T189" s="59">
        <f t="shared" si="142"/>
        <v>246.88276293504617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10.206420554563444</v>
      </c>
      <c r="AA189" s="21">
        <f>EXP(-LN(2)/25)*AA188+(1-EXP(-LN(2)/25))/(LN(2)/25)*Calculateur!V189*Calculateur!X189*VLOOKUP('Données projet'!$B$9,Paramètres!$A$1:$I$89,3,0)*0.475*44/12</f>
        <v>12.333860542393484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22.540281096956928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-4.6111381379887462E-13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374.01259415112554</v>
      </c>
      <c r="AO189" s="59">
        <f t="shared" si="144"/>
        <v>244.5696433180579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29.952632511041948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29.952632511041948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2.8421709430404007E-14</v>
      </c>
      <c r="BE189" s="13">
        <f>BD189*VLOOKUP('Données projet'!$B$11,Paramètres!$A$1:$I$89,3,0)*VLOOKUP('Données projet'!$B$11,Paramètres!$A$1:$I$89,5,0)</f>
        <v>2.3055690689943732E-14</v>
      </c>
      <c r="BF189" s="13">
        <f t="shared" si="167"/>
        <v>4.10868481342271E-13</v>
      </c>
      <c r="BG189" s="20">
        <f t="shared" si="168"/>
        <v>7.5575126628944061E-13</v>
      </c>
      <c r="BH189" s="59">
        <f t="shared" si="116"/>
        <v>293.33333333333405</v>
      </c>
      <c r="BI189" s="59">
        <f ca="1">AVERAGE(OFFSET($BH$3,0,0,'Données projet'!$E$11+1,1))-AVERAGE(OFFSET($H$3,0,0,'Données projet'!$E$11+1,1))</f>
        <v>252.20412072815043</v>
      </c>
      <c r="BJ189" s="59">
        <f t="shared" si="146"/>
        <v>208.19930959443013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10.721490861385741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10.721490861385741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36.581687999999957</v>
      </c>
      <c r="D190" s="11">
        <f t="shared" si="140"/>
        <v>11.087966541341199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80.954781747400432</v>
      </c>
      <c r="H190" s="67">
        <f t="shared" si="110"/>
        <v>339.69131499283588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2.8421709430404007E-13</v>
      </c>
      <c r="O190" s="13">
        <f>N190*VLOOKUP('Données projet'!$B$9,Paramètres!$A$1:$I$89,3,0)*VLOOKUP('Données projet'!$B$9,Paramètres!$A$1:$I$89,5,0)</f>
        <v>1.3301360013429075E-13</v>
      </c>
      <c r="P190" s="13">
        <f t="shared" si="141"/>
        <v>1.9329766731057041E-12</v>
      </c>
      <c r="Q190" s="20">
        <f t="shared" si="162"/>
        <v>3.5982663925596575E-12</v>
      </c>
      <c r="R190" s="59">
        <f t="shared" si="109"/>
        <v>293.3333333333369</v>
      </c>
      <c r="S190" s="59">
        <f ca="1">AVERAGE(OFFSET($R$3,0,0,'Données projet'!$E$9+1,1))-AVERAGE(OFFSET($H$3,0,0,'Données projet'!$E$9+1,1))</f>
        <v>270.18797004581819</v>
      </c>
      <c r="T190" s="59">
        <f t="shared" si="142"/>
        <v>246.88276293504617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10.006278872790295</v>
      </c>
      <c r="AA190" s="21">
        <f>EXP(-LN(2)/25)*AA189+(1-EXP(-LN(2)/25))/(LN(2)/25)*Calculateur!V190*Calculateur!X190*VLOOKUP('Données projet'!$B$9,Paramètres!$A$1:$I$89,3,0)*0.475*44/12</f>
        <v>11.996590477252198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22.002869350042495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-4.6111381379887462E-13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374.01259415112554</v>
      </c>
      <c r="AO190" s="59">
        <f t="shared" si="144"/>
        <v>244.5696433180579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29.365279656802304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29.365279656802304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2.8421709430404007E-14</v>
      </c>
      <c r="BE190" s="13">
        <f>BD190*VLOOKUP('Données projet'!$B$11,Paramètres!$A$1:$I$89,3,0)*VLOOKUP('Données projet'!$B$11,Paramètres!$A$1:$I$89,5,0)</f>
        <v>2.3055690689943732E-14</v>
      </c>
      <c r="BF190" s="13">
        <f t="shared" si="167"/>
        <v>4.10868481342271E-13</v>
      </c>
      <c r="BG190" s="20">
        <f t="shared" si="168"/>
        <v>7.5575126628944061E-13</v>
      </c>
      <c r="BH190" s="59">
        <f t="shared" si="116"/>
        <v>293.33333333333405</v>
      </c>
      <c r="BI190" s="59">
        <f ca="1">AVERAGE(OFFSET($BH$3,0,0,'Données projet'!$E$11+1,1))-AVERAGE(OFFSET($H$3,0,0,'Données projet'!$E$11+1,1))</f>
        <v>252.20412072815043</v>
      </c>
      <c r="BJ190" s="59">
        <f t="shared" si="146"/>
        <v>208.19930959443013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10.511248965057673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10.511248965057673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36.777311999999959</v>
      </c>
      <c r="D191" s="11">
        <f t="shared" si="140"/>
        <v>11.140342391957194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81.375946405990405</v>
      </c>
      <c r="H191" s="67">
        <f t="shared" si="110"/>
        <v>340.12324806599207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2.8421709430404007E-13</v>
      </c>
      <c r="O191" s="13">
        <f>N191*VLOOKUP('Données projet'!$B$9,Paramètres!$A$1:$I$89,3,0)*VLOOKUP('Données projet'!$B$9,Paramètres!$A$1:$I$89,5,0)</f>
        <v>1.3301360013429075E-13</v>
      </c>
      <c r="P191" s="13">
        <f t="shared" si="141"/>
        <v>1.9329766731057041E-12</v>
      </c>
      <c r="Q191" s="20">
        <f t="shared" si="162"/>
        <v>3.5982663925596575E-12</v>
      </c>
      <c r="R191" s="59">
        <f t="shared" si="109"/>
        <v>293.3333333333369</v>
      </c>
      <c r="S191" s="59">
        <f ca="1">AVERAGE(OFFSET($R$3,0,0,'Données projet'!$E$9+1,1))-AVERAGE(OFFSET($H$3,0,0,'Données projet'!$E$9+1,1))</f>
        <v>270.18797004581819</v>
      </c>
      <c r="T191" s="59">
        <f t="shared" si="142"/>
        <v>246.88276293504617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9.8100618473223467</v>
      </c>
      <c r="AA191" s="21">
        <f>EXP(-LN(2)/25)*AA190+(1-EXP(-LN(2)/25))/(LN(2)/25)*Calculateur!V191*Calculateur!X191*VLOOKUP('Données projet'!$B$9,Paramètres!$A$1:$I$89,3,0)*0.475*44/12</f>
        <v>11.668543079778463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21.478604927100811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-4.6111381379887462E-13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374.01259415112554</v>
      </c>
      <c r="AO191" s="59">
        <f t="shared" si="144"/>
        <v>244.5696433180579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28.789444433784432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28.789444433784432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2.8421709430404007E-14</v>
      </c>
      <c r="BE191" s="13">
        <f>BD191*VLOOKUP('Données projet'!$B$11,Paramètres!$A$1:$I$89,3,0)*VLOOKUP('Données projet'!$B$11,Paramètres!$A$1:$I$89,5,0)</f>
        <v>2.3055690689943732E-14</v>
      </c>
      <c r="BF191" s="13">
        <f t="shared" si="167"/>
        <v>4.10868481342271E-13</v>
      </c>
      <c r="BG191" s="20">
        <f t="shared" si="168"/>
        <v>7.5575126628944061E-13</v>
      </c>
      <c r="BH191" s="59">
        <f t="shared" si="116"/>
        <v>293.33333333333405</v>
      </c>
      <c r="BI191" s="59">
        <f ca="1">AVERAGE(OFFSET($BH$3,0,0,'Données projet'!$E$11+1,1))-AVERAGE(OFFSET($H$3,0,0,'Données projet'!$E$11+1,1))</f>
        <v>252.20412072815043</v>
      </c>
      <c r="BJ191" s="59">
        <f t="shared" si="146"/>
        <v>208.19930959443013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10.305129784081705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10.305129784081705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36.972935999999962</v>
      </c>
      <c r="D192" s="11">
        <f t="shared" si="140"/>
        <v>11.192685823996225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81.797056009874254</v>
      </c>
      <c r="H192" s="67">
        <f t="shared" si="110"/>
        <v>340.55512467679341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2.8421709430404007E-13</v>
      </c>
      <c r="O192" s="13">
        <f>N192*VLOOKUP('Données projet'!$B$9,Paramètres!$A$1:$I$89,3,0)*VLOOKUP('Données projet'!$B$9,Paramètres!$A$1:$I$89,5,0)</f>
        <v>1.3301360013429075E-13</v>
      </c>
      <c r="P192" s="13">
        <f t="shared" si="141"/>
        <v>1.9329766731057041E-12</v>
      </c>
      <c r="Q192" s="20">
        <f t="shared" si="162"/>
        <v>3.5982663925596575E-12</v>
      </c>
      <c r="R192" s="59">
        <f t="shared" si="109"/>
        <v>293.3333333333369</v>
      </c>
      <c r="S192" s="59">
        <f ca="1">AVERAGE(OFFSET($R$3,0,0,'Données projet'!$E$9+1,1))-AVERAGE(OFFSET($H$3,0,0,'Données projet'!$E$9+1,1))</f>
        <v>270.18797004581819</v>
      </c>
      <c r="T192" s="59">
        <f t="shared" si="142"/>
        <v>246.88276293504617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9.6176925180432562</v>
      </c>
      <c r="AA192" s="21">
        <f>EXP(-LN(2)/25)*AA191+(1-EXP(-LN(2)/25))/(LN(2)/25)*Calculateur!V192*Calculateur!X192*VLOOKUP('Données projet'!$B$9,Paramètres!$A$1:$I$89,3,0)*0.475*44/12</f>
        <v>11.349466155639909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20.967158673683166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-4.6111381379887462E-13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374.01259415112554</v>
      </c>
      <c r="AO192" s="59">
        <f t="shared" si="144"/>
        <v>244.5696433180579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28.224900988265134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28.224900988265134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2.8421709430404007E-14</v>
      </c>
      <c r="BE192" s="13">
        <f>BD192*VLOOKUP('Données projet'!$B$11,Paramètres!$A$1:$I$89,3,0)*VLOOKUP('Données projet'!$B$11,Paramètres!$A$1:$I$89,5,0)</f>
        <v>2.3055690689943732E-14</v>
      </c>
      <c r="BF192" s="13">
        <f t="shared" si="167"/>
        <v>4.10868481342271E-13</v>
      </c>
      <c r="BG192" s="20">
        <f t="shared" si="168"/>
        <v>7.5575126628944061E-13</v>
      </c>
      <c r="BH192" s="59">
        <f t="shared" si="116"/>
        <v>293.33333333333405</v>
      </c>
      <c r="BI192" s="59">
        <f ca="1">AVERAGE(OFFSET($BH$3,0,0,'Données projet'!$E$11+1,1))-AVERAGE(OFFSET($H$3,0,0,'Données projet'!$E$11+1,1))</f>
        <v>252.20412072815043</v>
      </c>
      <c r="BJ192" s="59">
        <f t="shared" si="146"/>
        <v>208.19930959443013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10.103052474524389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10.103052474524389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37.168559999999964</v>
      </c>
      <c r="D193" s="11">
        <f t="shared" si="140"/>
        <v>11.244997028893726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82.218110884156317</v>
      </c>
      <c r="H193" s="67">
        <f t="shared" si="110"/>
        <v>340.98694515865651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2.8421709430404007E-13</v>
      </c>
      <c r="O193" s="13">
        <f>N193*VLOOKUP('Données projet'!$B$9,Paramètres!$A$1:$I$89,3,0)*VLOOKUP('Données projet'!$B$9,Paramètres!$A$1:$I$89,5,0)</f>
        <v>1.3301360013429075E-13</v>
      </c>
      <c r="P193" s="13">
        <f t="shared" si="141"/>
        <v>1.9329766731057041E-12</v>
      </c>
      <c r="Q193" s="20">
        <f t="shared" si="162"/>
        <v>3.5982663925596575E-12</v>
      </c>
      <c r="R193" s="59">
        <f t="shared" si="109"/>
        <v>293.3333333333369</v>
      </c>
      <c r="S193" s="59">
        <f ca="1">AVERAGE(OFFSET($R$3,0,0,'Données projet'!$E$9+1,1))-AVERAGE(OFFSET($H$3,0,0,'Données projet'!$E$9+1,1))</f>
        <v>270.18797004581819</v>
      </c>
      <c r="T193" s="59">
        <f t="shared" si="142"/>
        <v>246.88276293504617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9.4290954339776238</v>
      </c>
      <c r="AA193" s="21">
        <f>EXP(-LN(2)/25)*AA192+(1-EXP(-LN(2)/25))/(LN(2)/25)*Calculateur!V193*Calculateur!X193*VLOOKUP('Données projet'!$B$9,Paramètres!$A$1:$I$89,3,0)*0.475*44/12</f>
        <v>11.03911440677145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20.468209840749076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-4.6111381379887462E-13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374.01259415112554</v>
      </c>
      <c r="AO193" s="59">
        <f t="shared" si="144"/>
        <v>244.5696433180579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27.671427895374968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27.671427895374968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2.8421709430404007E-14</v>
      </c>
      <c r="BE193" s="13">
        <f>BD193*VLOOKUP('Données projet'!$B$11,Paramètres!$A$1:$I$89,3,0)*VLOOKUP('Données projet'!$B$11,Paramètres!$A$1:$I$89,5,0)</f>
        <v>2.3055690689943732E-14</v>
      </c>
      <c r="BF193" s="13">
        <f t="shared" si="167"/>
        <v>4.10868481342271E-13</v>
      </c>
      <c r="BG193" s="20">
        <f t="shared" si="168"/>
        <v>7.5575126628944061E-13</v>
      </c>
      <c r="BH193" s="59">
        <f t="shared" si="116"/>
        <v>293.33333333333405</v>
      </c>
      <c r="BI193" s="59">
        <f ca="1">AVERAGE(OFFSET($BH$3,0,0,'Données projet'!$E$11+1,1))-AVERAGE(OFFSET($H$3,0,0,'Données projet'!$E$11+1,1))</f>
        <v>252.20412072815043</v>
      </c>
      <c r="BJ193" s="59">
        <f t="shared" si="146"/>
        <v>208.19930959443013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9.9049377777525045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9.9049377777525045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37.364183999999966</v>
      </c>
      <c r="D194" s="11">
        <f t="shared" si="140"/>
        <v>11.297276195953348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82.639111350320718</v>
      </c>
      <c r="H194" s="67">
        <f t="shared" si="110"/>
        <v>341.41870984128536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2.8421709430404007E-13</v>
      </c>
      <c r="O194" s="13">
        <f>N194*VLOOKUP('Données projet'!$B$9,Paramètres!$A$1:$I$89,3,0)*VLOOKUP('Données projet'!$B$9,Paramètres!$A$1:$I$89,5,0)</f>
        <v>1.3301360013429075E-13</v>
      </c>
      <c r="P194" s="13">
        <f t="shared" si="141"/>
        <v>1.9329766731057041E-12</v>
      </c>
      <c r="Q194" s="20">
        <f t="shared" si="162"/>
        <v>3.5982663925596575E-12</v>
      </c>
      <c r="R194" s="59">
        <f t="shared" si="109"/>
        <v>293.3333333333369</v>
      </c>
      <c r="S194" s="59">
        <f ca="1">AVERAGE(OFFSET($R$3,0,0,'Données projet'!$E$9+1,1))-AVERAGE(OFFSET($H$3,0,0,'Données projet'!$E$9+1,1))</f>
        <v>270.18797004581819</v>
      </c>
      <c r="T194" s="59">
        <f t="shared" si="142"/>
        <v>246.88276293504617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9.2441966236976558</v>
      </c>
      <c r="AA194" s="21">
        <f>EXP(-LN(2)/25)*AA193+(1-EXP(-LN(2)/25))/(LN(2)/25)*Calculateur!V194*Calculateur!X194*VLOOKUP('Données projet'!$B$9,Paramètres!$A$1:$I$89,3,0)*0.475*44/12</f>
        <v>10.737249242796489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19.981445866494145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-4.6111381379887462E-13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374.01259415112554</v>
      </c>
      <c r="AO194" s="59">
        <f t="shared" si="144"/>
        <v>244.5696433180579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27.128808072251125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27.128808072251125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2.8421709430404007E-14</v>
      </c>
      <c r="BE194" s="13">
        <f>BD194*VLOOKUP('Données projet'!$B$11,Paramètres!$A$1:$I$89,3,0)*VLOOKUP('Données projet'!$B$11,Paramètres!$A$1:$I$89,5,0)</f>
        <v>2.3055690689943732E-14</v>
      </c>
      <c r="BF194" s="13">
        <f t="shared" si="167"/>
        <v>4.10868481342271E-13</v>
      </c>
      <c r="BG194" s="20">
        <f t="shared" si="168"/>
        <v>7.5575126628944061E-13</v>
      </c>
      <c r="BH194" s="59">
        <f t="shared" si="116"/>
        <v>293.33333333333405</v>
      </c>
      <c r="BI194" s="59">
        <f ca="1">AVERAGE(OFFSET($BH$3,0,0,'Données projet'!$E$11+1,1))-AVERAGE(OFFSET($H$3,0,0,'Données projet'!$E$11+1,1))</f>
        <v>252.20412072815043</v>
      </c>
      <c r="BJ194" s="59">
        <f t="shared" si="146"/>
        <v>208.19930959443013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9.7107079893462824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9.7107079893462824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37.559807999999968</v>
      </c>
      <c r="D195" s="11">
        <f t="shared" si="140"/>
        <v>11.349523512381756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83.060057726290367</v>
      </c>
      <c r="H195" s="67">
        <f t="shared" si="110"/>
        <v>341.85041905073155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2.8421709430404007E-13</v>
      </c>
      <c r="O195" s="13">
        <f>N195*VLOOKUP('Données projet'!$B$9,Paramètres!$A$1:$I$89,3,0)*VLOOKUP('Données projet'!$B$9,Paramètres!$A$1:$I$89,5,0)</f>
        <v>1.3301360013429075E-13</v>
      </c>
      <c r="P195" s="13">
        <f t="shared" si="141"/>
        <v>1.9329766731057041E-12</v>
      </c>
      <c r="Q195" s="20">
        <f t="shared" si="162"/>
        <v>3.5982663925596575E-12</v>
      </c>
      <c r="R195" s="59">
        <f t="shared" ref="R195:R203" si="191">Q195+(I195+J195)*44/12</f>
        <v>293.3333333333369</v>
      </c>
      <c r="S195" s="59">
        <f ca="1">AVERAGE(OFFSET($R$3,0,0,'Données projet'!$E$9+1,1))-AVERAGE(OFFSET($H$3,0,0,'Données projet'!$E$9+1,1))</f>
        <v>270.18797004581819</v>
      </c>
      <c r="T195" s="59">
        <f t="shared" si="142"/>
        <v>246.88276293504617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9.0629235663101397</v>
      </c>
      <c r="AA195" s="21">
        <f>EXP(-LN(2)/25)*AA194+(1-EXP(-LN(2)/25))/(LN(2)/25)*Calculateur!V195*Calculateur!X195*VLOOKUP('Données projet'!$B$9,Paramètres!$A$1:$I$89,3,0)*0.475*44/12</f>
        <v>10.443638597604821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19.50656216391496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-4.6111381379887462E-13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374.01259415112554</v>
      </c>
      <c r="AO195" s="59">
        <f t="shared" si="144"/>
        <v>244.5696433180579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26.596828692893329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26.596828692893329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2.8421709430404007E-14</v>
      </c>
      <c r="BE195" s="13">
        <f>BD195*VLOOKUP('Données projet'!$B$11,Paramètres!$A$1:$I$89,3,0)*VLOOKUP('Données projet'!$B$11,Paramètres!$A$1:$I$89,5,0)</f>
        <v>2.3055690689943732E-14</v>
      </c>
      <c r="BF195" s="13">
        <f t="shared" si="167"/>
        <v>4.10868481342271E-13</v>
      </c>
      <c r="BG195" s="20">
        <f t="shared" si="168"/>
        <v>7.5575126628944061E-13</v>
      </c>
      <c r="BH195" s="59">
        <f t="shared" si="116"/>
        <v>293.33333333333405</v>
      </c>
      <c r="BI195" s="59">
        <f ca="1">AVERAGE(OFFSET($BH$3,0,0,'Données projet'!$E$11+1,1))-AVERAGE(OFFSET($H$3,0,0,'Données projet'!$E$11+1,1))</f>
        <v>252.20412072815043</v>
      </c>
      <c r="BJ195" s="59">
        <f t="shared" si="146"/>
        <v>208.19930959443013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9.520286928622232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9.520286928622232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37.755431999999971</v>
      </c>
      <c r="D196" s="11">
        <f t="shared" si="140"/>
        <v>11.401739163322652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83.480950326484731</v>
      </c>
      <c r="H196" s="67">
        <f t="shared" ref="H196:H203" si="192">(B196+E196+F196)*44/12+(C196+D196)*0.475*44/12</f>
        <v>342.28207310945356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2.8421709430404007E-13</v>
      </c>
      <c r="O196" s="13">
        <f>N196*VLOOKUP('Données projet'!$B$9,Paramètres!$A$1:$I$89,3,0)*VLOOKUP('Données projet'!$B$9,Paramètres!$A$1:$I$89,5,0)</f>
        <v>1.3301360013429075E-13</v>
      </c>
      <c r="P196" s="13">
        <f t="shared" si="141"/>
        <v>1.9329766731057041E-12</v>
      </c>
      <c r="Q196" s="20">
        <f t="shared" si="162"/>
        <v>3.5982663925596575E-12</v>
      </c>
      <c r="R196" s="59">
        <f t="shared" si="191"/>
        <v>293.3333333333369</v>
      </c>
      <c r="S196" s="59">
        <f ca="1">AVERAGE(OFFSET($R$3,0,0,'Données projet'!$E$9+1,1))-AVERAGE(OFFSET($H$3,0,0,'Données projet'!$E$9+1,1))</f>
        <v>270.18797004581819</v>
      </c>
      <c r="T196" s="59">
        <f t="shared" si="142"/>
        <v>246.88276293504617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8.8852051630123441</v>
      </c>
      <c r="AA196" s="21">
        <f>EXP(-LN(2)/25)*AA195+(1-EXP(-LN(2)/25))/(LN(2)/25)*Calculateur!V196*Calculateur!X196*VLOOKUP('Données projet'!$B$9,Paramètres!$A$1:$I$89,3,0)*0.475*44/12</f>
        <v>10.158056750946232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19.043261913958574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-4.6111381379887462E-13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374.01259415112554</v>
      </c>
      <c r="AO196" s="59">
        <f t="shared" si="144"/>
        <v>244.5696433180579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26.07528110468936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26.07528110468936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2.8421709430404007E-14</v>
      </c>
      <c r="BE196" s="13">
        <f>BD196*VLOOKUP('Données projet'!$B$11,Paramètres!$A$1:$I$89,3,0)*VLOOKUP('Données projet'!$B$11,Paramètres!$A$1:$I$89,5,0)</f>
        <v>2.3055690689943732E-14</v>
      </c>
      <c r="BF196" s="13">
        <f t="shared" si="167"/>
        <v>4.10868481342271E-13</v>
      </c>
      <c r="BG196" s="20">
        <f t="shared" si="168"/>
        <v>7.5575126628944061E-13</v>
      </c>
      <c r="BH196" s="59">
        <f t="shared" ref="BH196:BH203" si="194">BG196+(AY196+AZ196)*44/12</f>
        <v>293.33333333333405</v>
      </c>
      <c r="BI196" s="59">
        <f ca="1">AVERAGE(OFFSET($BH$3,0,0,'Données projet'!$E$11+1,1))-AVERAGE(OFFSET($H$3,0,0,'Données projet'!$E$11+1,1))</f>
        <v>252.20412072815043</v>
      </c>
      <c r="BJ196" s="59">
        <f t="shared" si="146"/>
        <v>208.19930959443013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9.3335999087536017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9.3335999087536017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37.951055999999973</v>
      </c>
      <c r="D197" s="11">
        <f t="shared" ref="D197:D203" si="202">IFERROR(EXP(-1.0587+0.8836*LN(C197)+0.284),0)</f>
        <v>11.453923331890079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83.901789461876433</v>
      </c>
      <c r="H197" s="67">
        <f t="shared" si="192"/>
        <v>342.71367233637517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2.8421709430404007E-13</v>
      </c>
      <c r="O197" s="13">
        <f>N197*VLOOKUP('Données projet'!$B$9,Paramètres!$A$1:$I$89,3,0)*VLOOKUP('Données projet'!$B$9,Paramètres!$A$1:$I$89,5,0)</f>
        <v>1.3301360013429075E-13</v>
      </c>
      <c r="P197" s="13">
        <f t="shared" ref="P197:P203" si="203">EXP(-1.0587+0.8836*LN(O197)+0.284)</f>
        <v>1.9329766731057041E-12</v>
      </c>
      <c r="Q197" s="20">
        <f t="shared" si="162"/>
        <v>3.5982663925596575E-12</v>
      </c>
      <c r="R197" s="59">
        <f t="shared" si="191"/>
        <v>293.3333333333369</v>
      </c>
      <c r="S197" s="59">
        <f ca="1">AVERAGE(OFFSET($R$3,0,0,'Données projet'!$E$9+1,1))-AVERAGE(OFFSET($H$3,0,0,'Données projet'!$E$9+1,1))</f>
        <v>270.18797004581819</v>
      </c>
      <c r="T197" s="59">
        <f t="shared" ref="T197:T203" si="204">$T$3</f>
        <v>246.88276293504617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8.7109717092056957</v>
      </c>
      <c r="AA197" s="21">
        <f>EXP(-LN(2)/25)*AA196+(1-EXP(-LN(2)/25))/(LN(2)/25)*Calculateur!V197*Calculateur!X197*VLOOKUP('Données projet'!$B$9,Paramètres!$A$1:$I$89,3,0)*0.475*44/12</f>
        <v>9.8802841549026184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18.591255864108312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-4.6111381379887462E-13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374.01259415112554</v>
      </c>
      <c r="AO197" s="59">
        <f t="shared" ref="AO197:AO203" si="205">$AO$3</f>
        <v>244.5696433180579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25.56396074657745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25.56396074657745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2.8421709430404007E-14</v>
      </c>
      <c r="BE197" s="13">
        <f>BD197*VLOOKUP('Données projet'!$B$11,Paramètres!$A$1:$I$89,3,0)*VLOOKUP('Données projet'!$B$11,Paramètres!$A$1:$I$89,5,0)</f>
        <v>2.3055690689943732E-14</v>
      </c>
      <c r="BF197" s="13">
        <f t="shared" si="167"/>
        <v>4.10868481342271E-13</v>
      </c>
      <c r="BG197" s="20">
        <f t="shared" si="168"/>
        <v>7.5575126628944061E-13</v>
      </c>
      <c r="BH197" s="59">
        <f t="shared" si="194"/>
        <v>293.33333333333405</v>
      </c>
      <c r="BI197" s="59">
        <f ca="1">AVERAGE(OFFSET($BH$3,0,0,'Données projet'!$E$11+1,1))-AVERAGE(OFFSET($H$3,0,0,'Données projet'!$E$11+1,1))</f>
        <v>252.20412072815043</v>
      </c>
      <c r="BJ197" s="59">
        <f t="shared" ref="BJ197:BJ203" si="206">$BJ$3</f>
        <v>208.19930959443013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9.1505737074767577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9.1505737074767577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38.146679999999975</v>
      </c>
      <c r="D198" s="11">
        <f t="shared" si="202"/>
        <v>11.506076199200997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84.322575440046577</v>
      </c>
      <c r="H198" s="67">
        <f t="shared" si="192"/>
        <v>343.1452170469417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2.8421709430404007E-13</v>
      </c>
      <c r="O198" s="13">
        <f>N198*VLOOKUP('Données projet'!$B$9,Paramètres!$A$1:$I$89,3,0)*VLOOKUP('Données projet'!$B$9,Paramètres!$A$1:$I$89,5,0)</f>
        <v>1.3301360013429075E-13</v>
      </c>
      <c r="P198" s="13">
        <f t="shared" si="203"/>
        <v>1.9329766731057041E-12</v>
      </c>
      <c r="Q198" s="20">
        <f t="shared" si="162"/>
        <v>3.5982663925596575E-12</v>
      </c>
      <c r="R198" s="59">
        <f t="shared" si="191"/>
        <v>293.3333333333369</v>
      </c>
      <c r="S198" s="59">
        <f ca="1">AVERAGE(OFFSET($R$3,0,0,'Données projet'!$E$9+1,1))-AVERAGE(OFFSET($H$3,0,0,'Données projet'!$E$9+1,1))</f>
        <v>270.18797004581819</v>
      </c>
      <c r="T198" s="59">
        <f t="shared" si="204"/>
        <v>246.88276293504617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8.5401548671562821</v>
      </c>
      <c r="AA198" s="21">
        <f>EXP(-LN(2)/25)*AA197+(1-EXP(-LN(2)/25))/(LN(2)/25)*Calculateur!V198*Calculateur!X198*VLOOKUP('Données projet'!$B$9,Paramètres!$A$1:$I$89,3,0)*0.475*44/12</f>
        <v>9.6101072651052437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18.150262132261524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-4.6111381379887462E-13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374.01259415112554</v>
      </c>
      <c r="AO198" s="59">
        <f t="shared" si="205"/>
        <v>244.5696433180579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25.062667068813493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25.062667068813493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2.8421709430404007E-14</v>
      </c>
      <c r="BE198" s="13">
        <f>BD198*VLOOKUP('Données projet'!$B$11,Paramètres!$A$1:$I$89,3,0)*VLOOKUP('Données projet'!$B$11,Paramètres!$A$1:$I$89,5,0)</f>
        <v>2.3055690689943732E-14</v>
      </c>
      <c r="BF198" s="13">
        <f t="shared" si="167"/>
        <v>4.10868481342271E-13</v>
      </c>
      <c r="BG198" s="20">
        <f t="shared" si="168"/>
        <v>7.5575126628944061E-13</v>
      </c>
      <c r="BH198" s="59">
        <f t="shared" si="194"/>
        <v>293.33333333333405</v>
      </c>
      <c r="BI198" s="59">
        <f ca="1">AVERAGE(OFFSET($BH$3,0,0,'Données projet'!$E$11+1,1))-AVERAGE(OFFSET($H$3,0,0,'Données projet'!$E$11+1,1))</f>
        <v>252.20412072815043</v>
      </c>
      <c r="BJ198" s="59">
        <f t="shared" si="206"/>
        <v>208.19930959443013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8.9711365383719919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8.9711365383719919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38.342303999999977</v>
      </c>
      <c r="D199" s="11">
        <f t="shared" si="202"/>
        <v>11.558197944407217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84.743308565238877</v>
      </c>
      <c r="H199" s="67">
        <f t="shared" si="192"/>
        <v>343.57670755317588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2.8421709430404007E-13</v>
      </c>
      <c r="O199" s="13">
        <f>N199*VLOOKUP('Données projet'!$B$9,Paramètres!$A$1:$I$89,3,0)*VLOOKUP('Données projet'!$B$9,Paramètres!$A$1:$I$89,5,0)</f>
        <v>1.3301360013429075E-13</v>
      </c>
      <c r="P199" s="13">
        <f t="shared" si="203"/>
        <v>1.9329766731057041E-12</v>
      </c>
      <c r="Q199" s="20">
        <f t="shared" si="162"/>
        <v>3.5982663925596575E-12</v>
      </c>
      <c r="R199" s="59">
        <f t="shared" si="191"/>
        <v>293.3333333333369</v>
      </c>
      <c r="S199" s="59">
        <f ca="1">AVERAGE(OFFSET($R$3,0,0,'Données projet'!$E$9+1,1))-AVERAGE(OFFSET($H$3,0,0,'Données projet'!$E$9+1,1))</f>
        <v>270.18797004581819</v>
      </c>
      <c r="T199" s="59">
        <f t="shared" si="204"/>
        <v>246.88276293504617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8.3726876391914722</v>
      </c>
      <c r="AA199" s="21">
        <f>EXP(-LN(2)/25)*AA198+(1-EXP(-LN(2)/25))/(LN(2)/25)*Calculateur!V199*Calculateur!X199*VLOOKUP('Données projet'!$B$9,Paramètres!$A$1:$I$89,3,0)*0.475*44/12</f>
        <v>9.3473183765673635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17.720006015758834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-4.6111381379887462E-13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374.01259415112554</v>
      </c>
      <c r="AO199" s="59">
        <f t="shared" si="205"/>
        <v>244.5696433180579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24.571203454311533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24.571203454311533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2.8421709430404007E-14</v>
      </c>
      <c r="BE199" s="13">
        <f>BD199*VLOOKUP('Données projet'!$B$11,Paramètres!$A$1:$I$89,3,0)*VLOOKUP('Données projet'!$B$11,Paramètres!$A$1:$I$89,5,0)</f>
        <v>2.3055690689943732E-14</v>
      </c>
      <c r="BF199" s="13">
        <f t="shared" si="167"/>
        <v>4.10868481342271E-13</v>
      </c>
      <c r="BG199" s="20">
        <f t="shared" si="168"/>
        <v>7.5575126628944061E-13</v>
      </c>
      <c r="BH199" s="59">
        <f t="shared" si="194"/>
        <v>293.33333333333405</v>
      </c>
      <c r="BI199" s="59">
        <f ca="1">AVERAGE(OFFSET($BH$3,0,0,'Données projet'!$E$11+1,1))-AVERAGE(OFFSET($H$3,0,0,'Données projet'!$E$11+1,1))</f>
        <v>252.20412072815043</v>
      </c>
      <c r="BJ199" s="59">
        <f t="shared" si="206"/>
        <v>208.19930959443013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8.7952180227075054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8.7952180227075054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38.53792799999998</v>
      </c>
      <c r="D200" s="11">
        <f t="shared" si="202"/>
        <v>11.610288744726613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85.163989138412887</v>
      </c>
      <c r="H200" s="67">
        <f t="shared" si="192"/>
        <v>344.00814416373214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2.8421709430404007E-13</v>
      </c>
      <c r="O200" s="13">
        <f>N200*VLOOKUP('Données projet'!$B$9,Paramètres!$A$1:$I$89,3,0)*VLOOKUP('Données projet'!$B$9,Paramètres!$A$1:$I$89,5,0)</f>
        <v>1.3301360013429075E-13</v>
      </c>
      <c r="P200" s="13">
        <f t="shared" si="203"/>
        <v>1.9329766731057041E-12</v>
      </c>
      <c r="Q200" s="20">
        <f t="shared" si="162"/>
        <v>3.5982663925596575E-12</v>
      </c>
      <c r="R200" s="59">
        <f t="shared" si="191"/>
        <v>293.3333333333369</v>
      </c>
      <c r="S200" s="59">
        <f ca="1">AVERAGE(OFFSET($R$3,0,0,'Données projet'!$E$9+1,1))-AVERAGE(OFFSET($H$3,0,0,'Données projet'!$E$9+1,1))</f>
        <v>270.18797004581819</v>
      </c>
      <c r="T200" s="59">
        <f t="shared" si="204"/>
        <v>246.88276293504617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8.2085043414221293</v>
      </c>
      <c r="AA200" s="21">
        <f>EXP(-LN(2)/25)*AA199+(1-EXP(-LN(2)/25))/(LN(2)/25)*Calculateur!V200*Calculateur!X200*VLOOKUP('Données projet'!$B$9,Paramètres!$A$1:$I$89,3,0)*0.475*44/12</f>
        <v>9.0917154640060183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17.300219805428149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-4.6111381379887462E-13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374.01259415112554</v>
      </c>
      <c r="AO200" s="59">
        <f t="shared" si="205"/>
        <v>244.5696433180579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24.089377141526754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24.089377141526754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2.8421709430404007E-14</v>
      </c>
      <c r="BE200" s="13">
        <f>BD200*VLOOKUP('Données projet'!$B$11,Paramètres!$A$1:$I$89,3,0)*VLOOKUP('Données projet'!$B$11,Paramètres!$A$1:$I$89,5,0)</f>
        <v>2.3055690689943732E-14</v>
      </c>
      <c r="BF200" s="13">
        <f t="shared" si="167"/>
        <v>4.10868481342271E-13</v>
      </c>
      <c r="BG200" s="20">
        <f t="shared" si="168"/>
        <v>7.5575126628944061E-13</v>
      </c>
      <c r="BH200" s="59">
        <f t="shared" si="194"/>
        <v>293.33333333333405</v>
      </c>
      <c r="BI200" s="59">
        <f ca="1">AVERAGE(OFFSET($BH$3,0,0,'Données projet'!$E$11+1,1))-AVERAGE(OFFSET($H$3,0,0,'Données projet'!$E$11+1,1))</f>
        <v>252.20412072815043</v>
      </c>
      <c r="BJ200" s="59">
        <f t="shared" si="206"/>
        <v>208.19930959443013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8.6227491618354986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8.6227491618354986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38.733551999999982</v>
      </c>
      <c r="D201" s="11">
        <f t="shared" si="202"/>
        <v>11.662348775473729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85.584617457295693</v>
      </c>
      <c r="H201" s="67">
        <f t="shared" si="192"/>
        <v>344.43952718395008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2.8421709430404007E-13</v>
      </c>
      <c r="O201" s="13">
        <f>N201*VLOOKUP('Données projet'!$B$9,Paramètres!$A$1:$I$89,3,0)*VLOOKUP('Données projet'!$B$9,Paramètres!$A$1:$I$89,5,0)</f>
        <v>1.3301360013429075E-13</v>
      </c>
      <c r="P201" s="13">
        <f t="shared" si="203"/>
        <v>1.9329766731057041E-12</v>
      </c>
      <c r="Q201" s="20">
        <f t="shared" si="162"/>
        <v>3.5982663925596575E-12</v>
      </c>
      <c r="R201" s="59">
        <f t="shared" si="191"/>
        <v>293.3333333333369</v>
      </c>
      <c r="S201" s="59">
        <f ca="1">AVERAGE(OFFSET($R$3,0,0,'Données projet'!$E$9+1,1))-AVERAGE(OFFSET($H$3,0,0,'Données projet'!$E$9+1,1))</f>
        <v>270.18797004581819</v>
      </c>
      <c r="T201" s="59">
        <f t="shared" si="204"/>
        <v>246.88276293504617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8.0475405779801203</v>
      </c>
      <c r="AA201" s="21">
        <f>EXP(-LN(2)/25)*AA200+(1-EXP(-LN(2)/25))/(LN(2)/25)*Calculateur!V201*Calculateur!X201*VLOOKUP('Données projet'!$B$9,Paramètres!$A$1:$I$89,3,0)*0.475*44/12</f>
        <v>8.8431020265302376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16.890642604510358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-4.6111381379887462E-13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374.01259415112554</v>
      </c>
      <c r="AO201" s="59">
        <f t="shared" si="205"/>
        <v>244.5696433180579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23.616999148850649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23.616999148850649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2.8421709430404007E-14</v>
      </c>
      <c r="BE201" s="13">
        <f>BD201*VLOOKUP('Données projet'!$B$11,Paramètres!$A$1:$I$89,3,0)*VLOOKUP('Données projet'!$B$11,Paramètres!$A$1:$I$89,5,0)</f>
        <v>2.3055690689943732E-14</v>
      </c>
      <c r="BF201" s="13">
        <f t="shared" si="167"/>
        <v>4.10868481342271E-13</v>
      </c>
      <c r="BG201" s="20">
        <f t="shared" si="168"/>
        <v>7.5575126628944061E-13</v>
      </c>
      <c r="BH201" s="59">
        <f t="shared" si="194"/>
        <v>293.33333333333405</v>
      </c>
      <c r="BI201" s="59">
        <f ca="1">AVERAGE(OFFSET($BH$3,0,0,'Données projet'!$E$11+1,1))-AVERAGE(OFFSET($H$3,0,0,'Données projet'!$E$11+1,1))</f>
        <v>252.20412072815043</v>
      </c>
      <c r="BJ201" s="59">
        <f t="shared" si="206"/>
        <v>208.19930959443013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8.4536623101295749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8.4536623101295749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38.929175999999984</v>
      </c>
      <c r="D202" s="11">
        <f t="shared" si="202"/>
        <v>11.714378210089722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86.005193816433049</v>
      </c>
      <c r="H202" s="67">
        <f t="shared" si="192"/>
        <v>344.87085691590624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2.8421709430404007E-13</v>
      </c>
      <c r="O202" s="13">
        <f>N202*VLOOKUP('Données projet'!$B$9,Paramètres!$A$1:$I$89,3,0)*VLOOKUP('Données projet'!$B$9,Paramètres!$A$1:$I$89,5,0)</f>
        <v>1.3301360013429075E-13</v>
      </c>
      <c r="P202" s="13">
        <f t="shared" si="203"/>
        <v>1.9329766731057041E-12</v>
      </c>
      <c r="Q202" s="20">
        <f t="shared" si="162"/>
        <v>3.5982663925596575E-12</v>
      </c>
      <c r="R202" s="59">
        <f t="shared" si="191"/>
        <v>293.3333333333369</v>
      </c>
      <c r="S202" s="59">
        <f ca="1">AVERAGE(OFFSET($R$3,0,0,'Données projet'!$E$9+1,1))-AVERAGE(OFFSET($H$3,0,0,'Données projet'!$E$9+1,1))</f>
        <v>270.18797004581819</v>
      </c>
      <c r="T202" s="59">
        <f t="shared" si="204"/>
        <v>246.88276293504617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7.8897332157610069</v>
      </c>
      <c r="AA202" s="21">
        <f>EXP(-LN(2)/25)*AA201+(1-EXP(-LN(2)/25))/(LN(2)/25)*Calculateur!V202*Calculateur!X202*VLOOKUP('Données projet'!$B$9,Paramètres!$A$1:$I$89,3,0)*0.475*44/12</f>
        <v>8.6012869365762441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16.491020152337249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-4.6111381379887462E-13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374.01259415112554</v>
      </c>
      <c r="AO202" s="59">
        <f t="shared" si="205"/>
        <v>244.5696433180579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23.153884200488797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23.153884200488797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2.8421709430404007E-14</v>
      </c>
      <c r="BE202" s="13">
        <f>BD202*VLOOKUP('Données projet'!$B$11,Paramètres!$A$1:$I$89,3,0)*VLOOKUP('Données projet'!$B$11,Paramètres!$A$1:$I$89,5,0)</f>
        <v>2.3055690689943732E-14</v>
      </c>
      <c r="BF202" s="13">
        <f t="shared" si="167"/>
        <v>4.10868481342271E-13</v>
      </c>
      <c r="BG202" s="20">
        <f t="shared" si="168"/>
        <v>7.5575126628944061E-13</v>
      </c>
      <c r="BH202" s="59">
        <f t="shared" si="194"/>
        <v>293.33333333333405</v>
      </c>
      <c r="BI202" s="59">
        <f ca="1">AVERAGE(OFFSET($BH$3,0,0,'Données projet'!$E$11+1,1))-AVERAGE(OFFSET($H$3,0,0,'Données projet'!$E$11+1,1))</f>
        <v>252.20412072815043</v>
      </c>
      <c r="BJ202" s="59">
        <f t="shared" si="206"/>
        <v>208.19930959443013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8.2878911484528075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8.2878911484528075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39.124799999999986</v>
      </c>
      <c r="D203" s="11">
        <f t="shared" si="202"/>
        <v>11.76637722017168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86.425718507238912</v>
      </c>
      <c r="H203" s="67">
        <f t="shared" si="192"/>
        <v>345.30213365846566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2.8421709430404007E-13</v>
      </c>
      <c r="O203" s="13">
        <f>N203*VLOOKUP('Données projet'!$B$9,Paramètres!$A$1:$I$89,3,0)*VLOOKUP('Données projet'!$B$9,Paramètres!$A$1:$I$89,5,0)</f>
        <v>1.3301360013429075E-13</v>
      </c>
      <c r="P203" s="13">
        <f t="shared" si="203"/>
        <v>1.9329766731057041E-12</v>
      </c>
      <c r="Q203" s="20">
        <f t="shared" si="162"/>
        <v>3.5982663925596575E-12</v>
      </c>
      <c r="R203" s="59">
        <f t="shared" si="191"/>
        <v>293.3333333333369</v>
      </c>
      <c r="S203" s="59">
        <f ca="1">AVERAGE(OFFSET($R$3,0,0,'Données projet'!$E$9+1,1))-AVERAGE(OFFSET($H$3,0,0,'Données projet'!$E$9+1,1))</f>
        <v>270.18797004581819</v>
      </c>
      <c r="T203" s="59">
        <f t="shared" si="204"/>
        <v>246.88276293504617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7.7350203596620242</v>
      </c>
      <c r="AA203" s="21">
        <f>EXP(-LN(2)/25)*AA202+(1-EXP(-LN(2)/25))/(LN(2)/25)*Calculateur!V203*Calculateur!X203*VLOOKUP('Données projet'!$B$9,Paramètres!$A$1:$I$89,3,0)*0.475*44/12</f>
        <v>8.3660842929735448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16.10110465263557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-4.6111381379887462E-13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374.01259415112554</v>
      </c>
      <c r="AO203" s="59">
        <f t="shared" si="205"/>
        <v>244.5696433180579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22.699850653792094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22.699850653792094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2.8421709430404007E-14</v>
      </c>
      <c r="BE203" s="13">
        <f>BD203*VLOOKUP('Données projet'!$B$11,Paramètres!$A$1:$I$89,3,0)*VLOOKUP('Données projet'!$B$11,Paramètres!$A$1:$I$89,5,0)</f>
        <v>2.3055690689943732E-14</v>
      </c>
      <c r="BF203" s="13">
        <f t="shared" si="167"/>
        <v>4.10868481342271E-13</v>
      </c>
      <c r="BG203" s="20">
        <f t="shared" si="168"/>
        <v>7.5575126628944061E-13</v>
      </c>
      <c r="BH203" s="59">
        <f t="shared" si="194"/>
        <v>293.33333333333405</v>
      </c>
      <c r="BI203" s="59">
        <f ca="1">AVERAGE(OFFSET($BH$3,0,0,'Données projet'!$E$11+1,1))-AVERAGE(OFFSET($H$3,0,0,'Données projet'!$E$11+1,1))</f>
        <v>252.20412072815043</v>
      </c>
      <c r="BJ203" s="59">
        <f t="shared" si="206"/>
        <v>208.19930959443013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8.1253706581460978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8.1253706581460978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1.1963772029987372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1.2516796742016716</v>
      </c>
      <c r="BA205" s="82">
        <f>EXP(LN('Données projet'!B88)/'Données projet'!A88)</f>
        <v>1.282970348825361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9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9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9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26" sqref="I2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68" t="s">
        <v>271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70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0.70350000000000013</v>
      </c>
      <c r="C6" s="147">
        <f ca="1">IF(OR('Données projet'!B9="",'Données projet'!C9="",'Données projet'!C9=0%),0,Calculateur!S3)</f>
        <v>270.18797004581819</v>
      </c>
      <c r="D6" s="147">
        <f>IF(OR('Données projet'!B9="",'Données projet'!C9="",'Données projet'!C9=0%),0,Calculateur!T3)</f>
        <v>246.88276293504617</v>
      </c>
      <c r="E6" s="147">
        <f ca="1">MIN(C6,D6)</f>
        <v>246.88276293504617</v>
      </c>
      <c r="F6" s="147">
        <f ca="1">E6*B6</f>
        <v>173.68202372480502</v>
      </c>
      <c r="G6" s="147">
        <f ca="1">F6*(100%-'Données projet'!$C$24)*(100%-'Données projet'!$C$25)*(100%-'Données projet'!$C$26)*(100%-'Données projet'!$C$27)</f>
        <v>156.31382135232451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156.31382135232451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0.17850000000000002</v>
      </c>
      <c r="C7" s="147">
        <f ca="1">IF(OR('Données projet'!B10="",'Données projet'!C10="",'Données projet'!C10=0%),0,Calculateur!AN3)</f>
        <v>374.01259415112554</v>
      </c>
      <c r="D7" s="147">
        <f>IF(OR('Données projet'!B10="",'Données projet'!C10="",'Données projet'!C10=0%),0,Calculateur!AO3)</f>
        <v>244.5696433180579</v>
      </c>
      <c r="E7" s="147">
        <f t="shared" ref="E7:E15" ca="1" si="0">MIN(C7,D7)</f>
        <v>244.5696433180579</v>
      </c>
      <c r="F7" s="147">
        <f t="shared" ref="F7:F15" ca="1" si="1">E7*B7</f>
        <v>43.655681332273339</v>
      </c>
      <c r="G7" s="147">
        <f ca="1">F7*(100%-'Données projet'!$C$24)*(100%-'Données projet'!$C$25)*(100%-'Données projet'!$C$26)*(100%-'Données projet'!$C$27)</f>
        <v>39.290113199046004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1.9188750000000001</v>
      </c>
      <c r="K7" s="151">
        <f>J7*(100%-'Données projet'!$C$24)*(100%-'Données projet'!$C$25)*(100%-'Données projet'!$C$26)*(100%-'Données projet'!$C$27)</f>
        <v>1.7269875000000001</v>
      </c>
      <c r="L7" s="152">
        <f t="shared" ref="L7:L15" ca="1" si="2">G7+I7+K7</f>
        <v>41.017100699046004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Bouleau verruqueux</v>
      </c>
      <c r="B8" s="154">
        <f>'Données projet'!D11</f>
        <v>0.16800000000000001</v>
      </c>
      <c r="C8" s="147">
        <f ca="1">IF(OR('Données projet'!B11="",'Données projet'!C11="",'Données projet'!C11=0%),0,Calculateur!BI3)</f>
        <v>252.20412072815043</v>
      </c>
      <c r="D8" s="147">
        <f>IF(OR('Données projet'!B11="",'Données projet'!C11="",'Données projet'!C11=0%),0,Calculateur!BJ3)</f>
        <v>208.19930959443013</v>
      </c>
      <c r="E8" s="147">
        <f t="shared" ca="1" si="0"/>
        <v>208.19930959443013</v>
      </c>
      <c r="F8" s="147">
        <f t="shared" ca="1" si="1"/>
        <v>34.977484011864263</v>
      </c>
      <c r="G8" s="147">
        <f ca="1">F8*(100%-'Données projet'!$C$24)*(100%-'Données projet'!$C$25)*(100%-'Données projet'!$C$26)*(100%-'Données projet'!$C$27)</f>
        <v>31.479735610677839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1.512</v>
      </c>
      <c r="K8" s="151">
        <f>J8*(100%-'Données projet'!$C$24)*(100%-'Données projet'!$C$25)*(100%-'Données projet'!$C$26)*(100%-'Données projet'!$C$27)</f>
        <v>1.3608</v>
      </c>
      <c r="L8" s="152">
        <f t="shared" ca="1" si="2"/>
        <v>32.84053561067784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252.31518906894263</v>
      </c>
      <c r="G16" s="166">
        <f t="shared" ca="1" si="3"/>
        <v>227.08367016204835</v>
      </c>
      <c r="H16" s="167">
        <f t="shared" si="3"/>
        <v>0</v>
      </c>
      <c r="I16" s="167">
        <f t="shared" si="3"/>
        <v>0</v>
      </c>
      <c r="J16" s="168">
        <f t="shared" si="3"/>
        <v>3.4308750000000003</v>
      </c>
      <c r="K16" s="168">
        <f t="shared" si="3"/>
        <v>3.0877875000000001</v>
      </c>
      <c r="L16" s="169">
        <f t="shared" ca="1" si="3"/>
        <v>230.17145766204837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65" t="s">
        <v>246</v>
      </c>
      <c r="G17" s="266"/>
      <c r="H17" s="266"/>
      <c r="I17" s="266"/>
      <c r="J17" s="266"/>
      <c r="K17" s="266"/>
      <c r="L17" s="26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67"/>
      <c r="G18" s="267"/>
      <c r="H18" s="267"/>
      <c r="I18" s="267"/>
      <c r="J18" s="267"/>
      <c r="K18" s="267"/>
      <c r="L18" s="267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68" t="s">
        <v>272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7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2" t="s">
        <v>315</v>
      </c>
      <c r="I4" s="272"/>
      <c r="K4" s="308" t="s">
        <v>253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0" t="s">
        <v>310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-4861.0422374196032</v>
      </c>
      <c r="U10" s="178">
        <f>'Données projet'!D9</f>
        <v>0.70350000000000013</v>
      </c>
      <c r="V10" s="177">
        <f>U10*T10</f>
        <v>-3419.7432140246915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-5167.3796884881576</v>
      </c>
      <c r="U11" s="178">
        <f>'Données projet'!D10</f>
        <v>0.17850000000000002</v>
      </c>
      <c r="V11" s="177">
        <f t="shared" ref="V11" si="0">U11*T11</f>
        <v>-922.37727439513628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-4242.9196216810797</v>
      </c>
      <c r="U12" s="178">
        <f>'Données projet'!D11</f>
        <v>0.16800000000000001</v>
      </c>
      <c r="V12" s="177">
        <f t="shared" ref="V12:V19" si="1">U12*T12</f>
        <v>-712.81049644242148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1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1"/>
      <c r="H16" s="190"/>
      <c r="I16" s="191"/>
      <c r="J16" s="202"/>
      <c r="K16" s="208"/>
      <c r="L16" s="308" t="s">
        <v>254</v>
      </c>
      <c r="M16" s="309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1.4*1600+1030</f>
        <v>3270</v>
      </c>
      <c r="F17" s="230"/>
      <c r="G17" s="311"/>
      <c r="I17" s="195"/>
      <c r="J17" s="202"/>
      <c r="K17" s="208"/>
      <c r="L17" s="274" t="s">
        <v>289</v>
      </c>
      <c r="M17" s="276"/>
      <c r="N17" s="175">
        <f>VLOOKUP(N16,Calculateur!$A$2:$H$153,3,0)/VLOOKUP('Scénario référence'!$G$15,Paramètres!A1:I89,3,0)/VLOOKUP('Scénario référence'!$G$15,Paramètres!A1:I89,5,0)</f>
        <v>6.5999999999999961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311"/>
      <c r="J18" s="202"/>
      <c r="K18" s="208"/>
      <c r="L18" s="274" t="s">
        <v>255</v>
      </c>
      <c r="M18" s="276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1320.5</v>
      </c>
      <c r="F19" s="230"/>
      <c r="G19" s="311"/>
      <c r="H19" s="212" t="s">
        <v>178</v>
      </c>
      <c r="I19" s="212" t="s">
        <v>287</v>
      </c>
      <c r="J19" s="93"/>
      <c r="K19" s="173"/>
      <c r="L19" s="308" t="s">
        <v>288</v>
      </c>
      <c r="M19" s="309"/>
      <c r="N19" s="179">
        <f>N17*N18</f>
        <v>32.999999999999979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311"/>
      <c r="H20" s="190">
        <v>1</v>
      </c>
      <c r="I20" s="191">
        <f>(400/SUM(U10:U19)+20)+(200/SUM(U10:U19)+10)</f>
        <v>601.42857142857144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200/SUM(U10:U19)+10</f>
        <v>200.47619047619048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30</v>
      </c>
      <c r="B23" s="181">
        <f>'Données projet'!D36</f>
        <v>0</v>
      </c>
      <c r="C23" s="193">
        <v>5</v>
      </c>
      <c r="D23" s="182">
        <f>B23*C23</f>
        <v>0</v>
      </c>
      <c r="E23" s="193"/>
      <c r="F23" s="230"/>
      <c r="H23" s="190">
        <v>4</v>
      </c>
      <c r="I23" s="191"/>
      <c r="K23" s="208"/>
      <c r="L23" s="310" t="s">
        <v>260</v>
      </c>
      <c r="M23" s="310"/>
      <c r="N23" s="310"/>
      <c r="O23" s="23"/>
      <c r="P23" s="23"/>
      <c r="Q23" s="234"/>
      <c r="R23" s="23"/>
      <c r="S23" s="36" t="s">
        <v>264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-6527.7342273127324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36</v>
      </c>
      <c r="B24" s="181">
        <f>'Données projet'!D37</f>
        <v>0</v>
      </c>
      <c r="C24" s="193">
        <v>5</v>
      </c>
      <c r="D24" s="182">
        <f t="shared" ref="D24:D42" si="2">B24*C24</f>
        <v>0</v>
      </c>
      <c r="E24" s="193"/>
      <c r="F24" s="233"/>
      <c r="H24" s="190">
        <v>5</v>
      </c>
      <c r="I24" s="2">
        <f>8%*(SUM(E17:E22)*U10+SUM(E$48:E53)*U11+SUM(E79:E84)*U12+SUM(E110:E115)*U13+SUM(E141:E146)*U14+SUM(E172:E177)*U15+SUM(E203:E208)*U16+SUM(E234:E239)*U17+SUM(E265:E270)*U18+SUM(E296:E301)*U19)/SUM(U10:U19)</f>
        <v>459.53760000000005</v>
      </c>
      <c r="K24" s="208"/>
      <c r="O24" s="23"/>
      <c r="P24" s="23"/>
      <c r="Q24" s="234"/>
      <c r="R24" s="23"/>
      <c r="S24" s="36" t="s">
        <v>261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2.0353411182098826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42</v>
      </c>
      <c r="B25" s="181">
        <f>'Données projet'!D38</f>
        <v>179.84615384615384</v>
      </c>
      <c r="C25" s="193">
        <v>10.5</v>
      </c>
      <c r="D25" s="182">
        <f t="shared" si="2"/>
        <v>1888.3846153846152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7">
        <f ca="1">T23-T24</f>
        <v>-6529.7695684309419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46</v>
      </c>
      <c r="B26" s="181">
        <f>'Données projet'!D39</f>
        <v>0</v>
      </c>
      <c r="C26" s="193">
        <v>10.5</v>
      </c>
      <c r="D26" s="182">
        <f t="shared" si="2"/>
        <v>0</v>
      </c>
      <c r="E26" s="193"/>
      <c r="F26" s="233"/>
      <c r="G26" s="229"/>
      <c r="H26" s="190">
        <v>7</v>
      </c>
      <c r="I26" s="191">
        <v>20</v>
      </c>
      <c r="K26" s="208"/>
      <c r="L26" s="294" t="s">
        <v>258</v>
      </c>
      <c r="M26" s="295"/>
      <c r="N26" s="295"/>
      <c r="O26" s="295"/>
      <c r="P26" s="296"/>
      <c r="Q26" s="234"/>
      <c r="R26" s="23"/>
      <c r="S26" s="186" t="s">
        <v>265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49</v>
      </c>
      <c r="B27" s="181">
        <f>'Données projet'!D40</f>
        <v>94.476923076923072</v>
      </c>
      <c r="C27" s="193">
        <v>10.5</v>
      </c>
      <c r="D27" s="182">
        <f t="shared" si="2"/>
        <v>992.0076923076922</v>
      </c>
      <c r="E27" s="193"/>
      <c r="F27" s="233"/>
      <c r="G27" s="229"/>
      <c r="H27" s="190">
        <v>8</v>
      </c>
      <c r="I27" s="191">
        <v>20</v>
      </c>
      <c r="K27" s="208"/>
      <c r="L27" s="297"/>
      <c r="M27" s="298"/>
      <c r="N27" s="298"/>
      <c r="O27" s="298"/>
      <c r="P27" s="299"/>
      <c r="Q27" s="234"/>
      <c r="R27" s="23"/>
      <c r="S27" s="303" t="s">
        <v>267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53</v>
      </c>
      <c r="B28" s="181">
        <f>'Données projet'!D41</f>
        <v>0</v>
      </c>
      <c r="C28" s="193">
        <v>16</v>
      </c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56</v>
      </c>
      <c r="B29" s="181">
        <f>'Données projet'!D42</f>
        <v>72.769230769230745</v>
      </c>
      <c r="C29" s="193">
        <v>16</v>
      </c>
      <c r="D29" s="182">
        <f t="shared" si="2"/>
        <v>1164.3076923076919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60</v>
      </c>
      <c r="B30" s="181">
        <f>'Données projet'!D43</f>
        <v>0</v>
      </c>
      <c r="C30" s="193">
        <v>16</v>
      </c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6031.4310000000005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63</v>
      </c>
      <c r="B31" s="181">
        <f>'Données projet'!D44</f>
        <v>71.123076923076923</v>
      </c>
      <c r="C31" s="193">
        <v>16</v>
      </c>
      <c r="D31" s="182">
        <f t="shared" si="2"/>
        <v>1137.9692307692308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842.00000000000011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67</v>
      </c>
      <c r="B32" s="181">
        <f>'Données projet'!D45</f>
        <v>0</v>
      </c>
      <c r="C32" s="193">
        <v>16</v>
      </c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71</v>
      </c>
      <c r="B33" s="181">
        <f>'Données projet'!D46</f>
        <v>80.399999999999977</v>
      </c>
      <c r="C33" s="193">
        <v>16</v>
      </c>
      <c r="D33" s="182">
        <f t="shared" si="2"/>
        <v>1286.3999999999996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8373.4310000000005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75</v>
      </c>
      <c r="B34" s="181">
        <f>'Données projet'!D47</f>
        <v>0</v>
      </c>
      <c r="C34" s="193">
        <v>16</v>
      </c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79</v>
      </c>
      <c r="B35" s="181">
        <f>'Données projet'!D48</f>
        <v>77.33846153846153</v>
      </c>
      <c r="C35" s="193">
        <v>16</v>
      </c>
      <c r="D35" s="182">
        <f t="shared" si="2"/>
        <v>1237.4153846153845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83</v>
      </c>
      <c r="B36" s="181">
        <f>'Données projet'!D49</f>
        <v>0</v>
      </c>
      <c r="C36" s="193">
        <v>16</v>
      </c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87</v>
      </c>
      <c r="B37" s="181">
        <f>'Données projet'!D50</f>
        <v>77.330769230769235</v>
      </c>
      <c r="C37" s="193">
        <v>16</v>
      </c>
      <c r="D37" s="182">
        <f t="shared" si="2"/>
        <v>1237.2923076923078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91</v>
      </c>
      <c r="B38" s="181">
        <f>'Données projet'!D51</f>
        <v>0</v>
      </c>
      <c r="C38" s="193">
        <v>16</v>
      </c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95</v>
      </c>
      <c r="B39" s="181">
        <f>'Données projet'!D52</f>
        <v>234.42307692307693</v>
      </c>
      <c r="C39" s="193">
        <v>16</v>
      </c>
      <c r="D39" s="182">
        <f t="shared" si="2"/>
        <v>3750.7692307692309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100</v>
      </c>
      <c r="B40" s="181">
        <f>'Données projet'!D53</f>
        <v>0</v>
      </c>
      <c r="C40" s="193">
        <v>16</v>
      </c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105</v>
      </c>
      <c r="B41" s="181">
        <f>'Données projet'!D54</f>
        <v>309.71538461538461</v>
      </c>
      <c r="C41" s="193">
        <v>16</v>
      </c>
      <c r="D41" s="182">
        <f t="shared" si="2"/>
        <v>4955.4461538461537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1.45*1600+1030</f>
        <v>3350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1332.5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15</v>
      </c>
      <c r="B54" s="181">
        <f>'Données projet'!D62</f>
        <v>0</v>
      </c>
      <c r="C54" s="191">
        <v>5</v>
      </c>
      <c r="D54" s="179">
        <f>B54*C54</f>
        <v>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11</v>
      </c>
      <c r="C55" s="191">
        <v>5</v>
      </c>
      <c r="D55" s="179">
        <f t="shared" ref="D55:D73" si="4">B55*C55</f>
        <v>55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25</v>
      </c>
      <c r="B56" s="181">
        <f>'Données projet'!D64</f>
        <v>15</v>
      </c>
      <c r="C56" s="191">
        <v>5</v>
      </c>
      <c r="D56" s="179">
        <f t="shared" si="4"/>
        <v>75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17</v>
      </c>
      <c r="C57" s="191">
        <v>5</v>
      </c>
      <c r="D57" s="179">
        <f t="shared" si="4"/>
        <v>85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35</v>
      </c>
      <c r="B58" s="181">
        <f>'Données projet'!D66</f>
        <v>19</v>
      </c>
      <c r="C58" s="191">
        <v>5</v>
      </c>
      <c r="D58" s="179">
        <f t="shared" si="4"/>
        <v>95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20</v>
      </c>
      <c r="C59" s="191">
        <v>18.5</v>
      </c>
      <c r="D59" s="179">
        <f t="shared" si="4"/>
        <v>370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45</v>
      </c>
      <c r="B60" s="181">
        <f>'Données projet'!D68</f>
        <v>21</v>
      </c>
      <c r="C60" s="191">
        <v>18.5</v>
      </c>
      <c r="D60" s="179">
        <f t="shared" si="4"/>
        <v>388.5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50</v>
      </c>
      <c r="B61" s="181">
        <f>'Données projet'!D69</f>
        <v>22</v>
      </c>
      <c r="C61" s="191">
        <v>18.5</v>
      </c>
      <c r="D61" s="179">
        <f t="shared" si="4"/>
        <v>407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55</v>
      </c>
      <c r="B62" s="181">
        <f>'Données projet'!D70</f>
        <v>22</v>
      </c>
      <c r="C62" s="191">
        <v>32</v>
      </c>
      <c r="D62" s="179">
        <f t="shared" si="4"/>
        <v>704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60</v>
      </c>
      <c r="B63" s="181">
        <f>'Données projet'!D71</f>
        <v>22</v>
      </c>
      <c r="C63" s="191">
        <v>32</v>
      </c>
      <c r="D63" s="179">
        <f t="shared" si="4"/>
        <v>704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65</v>
      </c>
      <c r="B64" s="181">
        <f>'Données projet'!D72</f>
        <v>22</v>
      </c>
      <c r="C64" s="191">
        <v>32</v>
      </c>
      <c r="D64" s="179">
        <f t="shared" si="4"/>
        <v>704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70</v>
      </c>
      <c r="B65" s="181">
        <f>'Données projet'!D73</f>
        <v>22</v>
      </c>
      <c r="C65" s="191">
        <v>32</v>
      </c>
      <c r="D65" s="179">
        <f t="shared" si="4"/>
        <v>704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75</v>
      </c>
      <c r="B66" s="181">
        <f>'Données projet'!D74</f>
        <v>22</v>
      </c>
      <c r="C66" s="191">
        <v>32</v>
      </c>
      <c r="D66" s="179">
        <f t="shared" si="4"/>
        <v>704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80</v>
      </c>
      <c r="B67" s="181">
        <f>'Données projet'!D75</f>
        <v>21</v>
      </c>
      <c r="C67" s="191">
        <v>32</v>
      </c>
      <c r="D67" s="179">
        <f t="shared" si="4"/>
        <v>672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85</v>
      </c>
      <c r="B68" s="181">
        <f>'Données projet'!D76</f>
        <v>20</v>
      </c>
      <c r="C68" s="191">
        <v>32</v>
      </c>
      <c r="D68" s="179">
        <f t="shared" si="4"/>
        <v>640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90</v>
      </c>
      <c r="B69" s="181">
        <f>'Données projet'!D77</f>
        <v>20</v>
      </c>
      <c r="C69" s="191">
        <v>32</v>
      </c>
      <c r="D69" s="179">
        <f t="shared" si="4"/>
        <v>640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100</v>
      </c>
      <c r="B70" s="181">
        <f>'Données projet'!D78</f>
        <v>18</v>
      </c>
      <c r="C70" s="191">
        <v>32</v>
      </c>
      <c r="D70" s="179">
        <f t="shared" si="4"/>
        <v>576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110</v>
      </c>
      <c r="B71" s="181">
        <f>'Données projet'!D79</f>
        <v>17</v>
      </c>
      <c r="C71" s="191">
        <v>32</v>
      </c>
      <c r="D71" s="179">
        <f t="shared" si="4"/>
        <v>544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120</v>
      </c>
      <c r="B72" s="181">
        <f>'Données projet'!D80</f>
        <v>290</v>
      </c>
      <c r="C72" s="191">
        <v>32</v>
      </c>
      <c r="D72" s="179">
        <f t="shared" si="4"/>
        <v>9280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120</v>
      </c>
      <c r="B73" s="181">
        <f>'Données projet'!D81</f>
        <v>290</v>
      </c>
      <c r="C73" s="191">
        <v>32</v>
      </c>
      <c r="D73" s="179">
        <f t="shared" si="4"/>
        <v>9280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0.85*1600+1030</f>
        <v>2390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1188.5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15</v>
      </c>
      <c r="B85" s="181">
        <f>'Données projet'!D88</f>
        <v>0</v>
      </c>
      <c r="C85" s="191">
        <v>5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15</v>
      </c>
      <c r="C86" s="191">
        <v>5</v>
      </c>
      <c r="D86" s="179">
        <f t="shared" ref="D86:D104" si="6">B86*C86</f>
        <v>75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10</v>
      </c>
      <c r="C87" s="191">
        <v>5</v>
      </c>
      <c r="D87" s="179">
        <f t="shared" si="6"/>
        <v>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30</v>
      </c>
      <c r="B88" s="181">
        <f>'Données projet'!D91</f>
        <v>11</v>
      </c>
      <c r="C88" s="191">
        <v>5</v>
      </c>
      <c r="D88" s="179">
        <f t="shared" si="6"/>
        <v>55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35</v>
      </c>
      <c r="B89" s="181">
        <f>'Données projet'!D92</f>
        <v>12</v>
      </c>
      <c r="C89" s="191">
        <v>5</v>
      </c>
      <c r="D89" s="179">
        <f t="shared" si="6"/>
        <v>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13</v>
      </c>
      <c r="C90" s="191">
        <v>5</v>
      </c>
      <c r="D90" s="179">
        <f t="shared" si="6"/>
        <v>65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45</v>
      </c>
      <c r="B91" s="181">
        <f>'Données projet'!D94</f>
        <v>14</v>
      </c>
      <c r="C91" s="191">
        <v>18.5</v>
      </c>
      <c r="D91" s="179">
        <f t="shared" si="6"/>
        <v>259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50</v>
      </c>
      <c r="B92" s="181">
        <f>'Données projet'!D95</f>
        <v>14</v>
      </c>
      <c r="C92" s="191">
        <v>18.5</v>
      </c>
      <c r="D92" s="179">
        <f t="shared" si="6"/>
        <v>259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55</v>
      </c>
      <c r="B93" s="181">
        <f>'Données projet'!D96</f>
        <v>14</v>
      </c>
      <c r="C93" s="191">
        <v>18.5</v>
      </c>
      <c r="D93" s="179">
        <f t="shared" si="6"/>
        <v>259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60</v>
      </c>
      <c r="B94" s="181">
        <f>'Données projet'!D97</f>
        <v>14</v>
      </c>
      <c r="C94" s="191">
        <v>18.5</v>
      </c>
      <c r="D94" s="179">
        <f t="shared" si="6"/>
        <v>259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65</v>
      </c>
      <c r="B95" s="181">
        <f>'Données projet'!D98</f>
        <v>14</v>
      </c>
      <c r="C95" s="191">
        <v>32</v>
      </c>
      <c r="D95" s="179">
        <f t="shared" si="6"/>
        <v>448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70</v>
      </c>
      <c r="B96" s="181">
        <f>'Données projet'!D99</f>
        <v>14</v>
      </c>
      <c r="C96" s="191">
        <v>32</v>
      </c>
      <c r="D96" s="179">
        <f t="shared" si="6"/>
        <v>448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75</v>
      </c>
      <c r="B97" s="181">
        <f>'Données projet'!D100</f>
        <v>14</v>
      </c>
      <c r="C97" s="191">
        <v>32</v>
      </c>
      <c r="D97" s="179">
        <f t="shared" si="6"/>
        <v>448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80</v>
      </c>
      <c r="B98" s="181">
        <f>'Données projet'!D101</f>
        <v>13</v>
      </c>
      <c r="C98" s="191">
        <v>32</v>
      </c>
      <c r="D98" s="179">
        <f t="shared" si="6"/>
        <v>416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85</v>
      </c>
      <c r="B99" s="181">
        <f>'Données projet'!D102</f>
        <v>13</v>
      </c>
      <c r="C99" s="191">
        <v>32</v>
      </c>
      <c r="D99" s="179">
        <f t="shared" si="6"/>
        <v>416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90</v>
      </c>
      <c r="B100" s="181">
        <f>'Données projet'!D103</f>
        <v>246</v>
      </c>
      <c r="C100" s="191">
        <v>32</v>
      </c>
      <c r="D100" s="179">
        <f t="shared" si="6"/>
        <v>7872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str">
        <f>IF(O123+1&lt;=MIN('Données projet'!$E$9:$E$18),O123+1,"STOP")</f>
        <v>STOP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2026-03-06T15:16:08Z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