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Hanes France\89 - Champlost\Dossier labellisation\"/>
    </mc:Choice>
  </mc:AlternateContent>
  <bookViews>
    <workbookView xWindow="0" yWindow="0" windowWidth="14280" windowHeight="6735"/>
  </bookViews>
  <sheets>
    <sheet name="Feuil1" sheetId="1" r:id="rId1"/>
  </sheets>
  <externalReferences>
    <externalReference r:id="rId2"/>
    <externalReference r:id="rId3"/>
    <externalReference r:id="rId4"/>
    <externalReference r:id="rId5"/>
    <externalReference r:id="rId6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1" l="1"/>
  <c r="M26" i="1" l="1"/>
  <c r="M27" i="1"/>
  <c r="M25" i="1"/>
  <c r="M24" i="1"/>
  <c r="M23" i="1"/>
  <c r="M28" i="1" l="1"/>
  <c r="N24" i="1" s="1"/>
  <c r="K32" i="1"/>
  <c r="J32" i="1"/>
  <c r="I32" i="1"/>
  <c r="J31" i="1"/>
  <c r="I31" i="1"/>
  <c r="H16" i="1"/>
  <c r="G16" i="1"/>
  <c r="E16" i="1"/>
  <c r="C16" i="1"/>
  <c r="H12" i="1"/>
  <c r="G12" i="1"/>
  <c r="E12" i="1"/>
  <c r="C12" i="1"/>
  <c r="H17" i="1"/>
  <c r="G17" i="1"/>
  <c r="E17" i="1"/>
  <c r="C17" i="1"/>
  <c r="I17" i="1" s="1"/>
  <c r="H13" i="1"/>
  <c r="G13" i="1"/>
  <c r="E13" i="1"/>
  <c r="C13" i="1"/>
  <c r="H9" i="1"/>
  <c r="G9" i="1"/>
  <c r="E9" i="1"/>
  <c r="C9" i="1"/>
  <c r="H5" i="1"/>
  <c r="G5" i="1"/>
  <c r="E5" i="1"/>
  <c r="C5" i="1"/>
  <c r="I5" i="1" s="1"/>
  <c r="I9" i="1" l="1"/>
  <c r="I16" i="1"/>
  <c r="N16" i="1" s="1"/>
  <c r="I12" i="1"/>
  <c r="N12" i="1" s="1"/>
  <c r="I13" i="1"/>
  <c r="N13" i="1" s="1"/>
  <c r="N26" i="1"/>
  <c r="N25" i="1"/>
  <c r="N27" i="1"/>
  <c r="N23" i="1"/>
  <c r="N17" i="1"/>
  <c r="N9" i="1"/>
  <c r="N5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H14" i="1"/>
  <c r="G14" i="1"/>
  <c r="E14" i="1"/>
  <c r="C14" i="1"/>
  <c r="I14" i="1" s="1"/>
  <c r="N14" i="1" s="1"/>
  <c r="H18" i="1"/>
  <c r="G18" i="1"/>
  <c r="E18" i="1"/>
  <c r="C18" i="1"/>
  <c r="H15" i="1"/>
  <c r="G15" i="1"/>
  <c r="E15" i="1"/>
  <c r="C15" i="1"/>
  <c r="H11" i="1"/>
  <c r="G11" i="1"/>
  <c r="E11" i="1"/>
  <c r="C11" i="1"/>
  <c r="I18" i="1" l="1"/>
  <c r="N18" i="1" s="1"/>
  <c r="I15" i="1"/>
  <c r="N15" i="1" s="1"/>
  <c r="I11" i="1"/>
  <c r="N11" i="1" s="1"/>
  <c r="H6" i="1"/>
  <c r="G6" i="1"/>
  <c r="E6" i="1"/>
  <c r="C6" i="1"/>
  <c r="H10" i="1"/>
  <c r="G10" i="1"/>
  <c r="E10" i="1"/>
  <c r="C10" i="1"/>
  <c r="I10" i="1" l="1"/>
  <c r="N10" i="1" s="1"/>
  <c r="I6" i="1"/>
  <c r="N6" i="1" s="1"/>
  <c r="H8" i="1"/>
  <c r="G8" i="1"/>
  <c r="E8" i="1"/>
  <c r="C8" i="1"/>
  <c r="I8" i="1" s="1"/>
  <c r="N8" i="1" s="1"/>
  <c r="H7" i="1" l="1"/>
  <c r="G7" i="1"/>
  <c r="E7" i="1"/>
  <c r="C7" i="1"/>
  <c r="H4" i="1"/>
  <c r="G4" i="1"/>
  <c r="E4" i="1"/>
  <c r="C4" i="1"/>
  <c r="I7" i="1" l="1"/>
  <c r="N7" i="1" s="1"/>
  <c r="H3" i="1"/>
  <c r="C24" i="1" s="1"/>
  <c r="G3" i="1"/>
  <c r="C22" i="1" s="1"/>
  <c r="E3" i="1"/>
  <c r="C3" i="1"/>
  <c r="C20" i="1" l="1"/>
  <c r="C21" i="1" s="1"/>
  <c r="C23" i="1" l="1"/>
  <c r="I4" i="1" l="1"/>
  <c r="N4" i="1" s="1"/>
  <c r="C25" i="1" l="1"/>
  <c r="I3" i="1" l="1"/>
  <c r="N3" i="1" s="1"/>
  <c r="N19" i="1" s="1"/>
  <c r="N20" i="1" s="1"/>
  <c r="C26" i="1" l="1"/>
</calcChain>
</file>

<file path=xl/sharedStrings.xml><?xml version="1.0" encoding="utf-8"?>
<sst xmlns="http://schemas.openxmlformats.org/spreadsheetml/2006/main" count="46" uniqueCount="35">
  <si>
    <t>REA forêt</t>
  </si>
  <si>
    <t>REA produits</t>
  </si>
  <si>
    <t>REI substitution</t>
  </si>
  <si>
    <t>REE</t>
  </si>
  <si>
    <t>Sol</t>
  </si>
  <si>
    <t>Litière</t>
  </si>
  <si>
    <t>Bois mort</t>
  </si>
  <si>
    <t>REE (tCO₂)</t>
  </si>
  <si>
    <r>
      <t>REA forêt (tCO</t>
    </r>
    <r>
      <rPr>
        <b/>
        <sz val="11"/>
        <color theme="1"/>
        <rFont val="Calibri"/>
        <family val="2"/>
      </rPr>
      <t>₂/ha</t>
    </r>
    <r>
      <rPr>
        <b/>
        <sz val="11"/>
        <color theme="1"/>
        <rFont val="Calibri"/>
        <family val="2"/>
        <scheme val="minor"/>
      </rPr>
      <t>)</t>
    </r>
  </si>
  <si>
    <t>REA produits 
(tCO₂/ha)</t>
  </si>
  <si>
    <t>REI substitution
(tCO₂/ha)</t>
  </si>
  <si>
    <t>REE (tCO₂/ha)</t>
  </si>
  <si>
    <t>Rabais non calcul 
VAN economique</t>
  </si>
  <si>
    <t>Rabais risque 
non permanence</t>
  </si>
  <si>
    <t>Surface (ha)</t>
  </si>
  <si>
    <t>TOTAL</t>
  </si>
  <si>
    <t>Biomasse</t>
  </si>
  <si>
    <t>REA forêts générables</t>
  </si>
  <si>
    <t>REA produits générables</t>
  </si>
  <si>
    <t>REI substitution générables</t>
  </si>
  <si>
    <t>DOU</t>
  </si>
  <si>
    <t>CHS</t>
  </si>
  <si>
    <t>CHAT</t>
  </si>
  <si>
    <t>ALT</t>
  </si>
  <si>
    <t>CHP</t>
  </si>
  <si>
    <t>Proportion 
essence</t>
  </si>
  <si>
    <t>Modalité 1</t>
  </si>
  <si>
    <t>Modalité 2</t>
  </si>
  <si>
    <t>Modalité 3</t>
  </si>
  <si>
    <t>Douglas</t>
  </si>
  <si>
    <t>Chêne sessile</t>
  </si>
  <si>
    <t>Châtaignier</t>
  </si>
  <si>
    <t>Alisier torminal</t>
  </si>
  <si>
    <t>Modalité 4</t>
  </si>
  <si>
    <t>Chêne pubescent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</si>
</sst>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%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" fontId="1" fillId="5" borderId="2" xfId="0" applyNumberFormat="1" applyFont="1" applyFill="1" applyBorder="1" applyAlignment="1">
      <alignment horizontal="center"/>
    </xf>
    <xf numFmtId="1" fontId="0" fillId="3" borderId="1" xfId="0" applyNumberFormat="1" applyFill="1" applyBorder="1" applyAlignment="1">
      <alignment horizontal="center" vertical="center"/>
    </xf>
    <xf numFmtId="2" fontId="1" fillId="5" borderId="1" xfId="0" applyNumberFormat="1" applyFont="1" applyFill="1" applyBorder="1" applyAlignment="1">
      <alignment horizontal="center"/>
    </xf>
    <xf numFmtId="2" fontId="1" fillId="5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/>
    </xf>
    <xf numFmtId="9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1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1" fontId="0" fillId="4" borderId="2" xfId="0" applyNumberFormat="1" applyFill="1" applyBorder="1" applyAlignment="1">
      <alignment horizontal="center" vertical="center"/>
    </xf>
    <xf numFmtId="9" fontId="0" fillId="0" borderId="1" xfId="1" applyFont="1" applyBorder="1" applyAlignment="1">
      <alignment horizontal="center"/>
    </xf>
    <xf numFmtId="2" fontId="0" fillId="0" borderId="0" xfId="0" applyNumberFormat="1" applyAlignment="1">
      <alignment horizontal="center" vertical="center"/>
    </xf>
    <xf numFmtId="0" fontId="1" fillId="0" borderId="0" xfId="0" applyFont="1"/>
    <xf numFmtId="166" fontId="1" fillId="0" borderId="0" xfId="0" applyNumberFormat="1" applyFont="1"/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doug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sessil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26;taignier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alisier%20torm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Document%2011%20-%20Quantification%20ch&#234;ne%20pubesc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5">
          <cell r="W5">
            <v>283.69878178494423</v>
          </cell>
        </row>
        <row r="7">
          <cell r="W7">
            <v>0</v>
          </cell>
        </row>
        <row r="13">
          <cell r="W13">
            <v>52.46</v>
          </cell>
        </row>
        <row r="14">
          <cell r="W14">
            <v>10.268213744055917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83.899998762976224</v>
          </cell>
        </row>
        <row r="7">
          <cell r="W7">
            <v>0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212.53975421547793</v>
          </cell>
        </row>
        <row r="7">
          <cell r="W7">
            <v>0</v>
          </cell>
        </row>
        <row r="13">
          <cell r="W13">
            <v>24.774999999999999</v>
          </cell>
        </row>
        <row r="14">
          <cell r="W1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92.082243088162954</v>
          </cell>
        </row>
        <row r="7">
          <cell r="W7">
            <v>0</v>
          </cell>
        </row>
        <row r="13">
          <cell r="W13">
            <v>0</v>
          </cell>
        </row>
        <row r="14">
          <cell r="W1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antification C"/>
    </sheetNames>
    <sheetDataSet>
      <sheetData sheetId="0">
        <row r="6">
          <cell r="W6">
            <v>98.210715245317772</v>
          </cell>
        </row>
        <row r="7">
          <cell r="W7">
            <v>0</v>
          </cell>
        </row>
        <row r="12">
          <cell r="W12">
            <v>0.25</v>
          </cell>
        </row>
        <row r="14">
          <cell r="W14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topLeftCell="A16" workbookViewId="0">
      <selection activeCell="R18" sqref="R18"/>
    </sheetView>
  </sheetViews>
  <sheetFormatPr baseColWidth="10" defaultRowHeight="15" x14ac:dyDescent="0.25"/>
  <cols>
    <col min="2" max="2" width="25.42578125" bestFit="1" customWidth="1"/>
    <col min="3" max="3" width="9.28515625" bestFit="1" customWidth="1"/>
    <col min="4" max="4" width="4" bestFit="1" customWidth="1"/>
    <col min="5" max="5" width="9" bestFit="1" customWidth="1"/>
    <col min="6" max="6" width="9.42578125" bestFit="1" customWidth="1"/>
    <col min="7" max="7" width="12.28515625" bestFit="1" customWidth="1"/>
    <col min="8" max="8" width="14.85546875" bestFit="1" customWidth="1"/>
    <col min="9" max="9" width="13" bestFit="1" customWidth="1"/>
    <col min="10" max="10" width="16.7109375" bestFit="1" customWidth="1"/>
    <col min="11" max="11" width="16.140625" bestFit="1" customWidth="1"/>
    <col min="14" max="14" width="10" bestFit="1" customWidth="1"/>
  </cols>
  <sheetData>
    <row r="1" spans="1:14" ht="15" customHeight="1" x14ac:dyDescent="0.25">
      <c r="B1" s="1"/>
      <c r="C1" s="40" t="s">
        <v>8</v>
      </c>
      <c r="D1" s="40"/>
      <c r="E1" s="40"/>
      <c r="F1" s="40"/>
      <c r="G1" s="41" t="s">
        <v>9</v>
      </c>
      <c r="H1" s="43" t="s">
        <v>10</v>
      </c>
      <c r="I1" s="38" t="s">
        <v>11</v>
      </c>
      <c r="J1" s="45" t="s">
        <v>12</v>
      </c>
      <c r="K1" s="47" t="s">
        <v>13</v>
      </c>
      <c r="L1" s="38" t="s">
        <v>14</v>
      </c>
      <c r="M1" s="45" t="s">
        <v>25</v>
      </c>
      <c r="N1" s="39" t="s">
        <v>7</v>
      </c>
    </row>
    <row r="2" spans="1:14" x14ac:dyDescent="0.25">
      <c r="B2" s="1"/>
      <c r="C2" s="9" t="s">
        <v>16</v>
      </c>
      <c r="D2" s="9" t="s">
        <v>4</v>
      </c>
      <c r="E2" s="9" t="s">
        <v>5</v>
      </c>
      <c r="F2" s="9" t="s">
        <v>6</v>
      </c>
      <c r="G2" s="42"/>
      <c r="H2" s="44"/>
      <c r="I2" s="38"/>
      <c r="J2" s="46"/>
      <c r="K2" s="47"/>
      <c r="L2" s="38"/>
      <c r="M2" s="48"/>
      <c r="N2" s="39"/>
    </row>
    <row r="3" spans="1:14" x14ac:dyDescent="0.25">
      <c r="A3" s="34" t="s">
        <v>26</v>
      </c>
      <c r="B3" s="20" t="s">
        <v>29</v>
      </c>
      <c r="C3" s="10">
        <f>'[1]Quantification C'!$W$5</f>
        <v>283.69878178494423</v>
      </c>
      <c r="D3" s="11">
        <v>0</v>
      </c>
      <c r="E3" s="10">
        <f>'[1]Quantification C'!$W$7</f>
        <v>0</v>
      </c>
      <c r="F3" s="11">
        <v>0</v>
      </c>
      <c r="G3" s="16">
        <f>'[1]Quantification C'!$W$14</f>
        <v>10.268213744055917</v>
      </c>
      <c r="H3" s="13">
        <f>'[1]Quantification C'!$W$13</f>
        <v>52.46</v>
      </c>
      <c r="I3" s="7">
        <f>SUM(C3:H3)</f>
        <v>346.42699552900012</v>
      </c>
      <c r="J3" s="8">
        <v>0</v>
      </c>
      <c r="K3" s="8">
        <v>0.1</v>
      </c>
      <c r="L3" s="35">
        <v>8.5</v>
      </c>
      <c r="M3" s="21">
        <f>9100/13600</f>
        <v>0.66911764705882348</v>
      </c>
      <c r="N3" s="12">
        <f>I3*(100%-J3)*(100%-K3)*L3*M3</f>
        <v>1773.2731833640692</v>
      </c>
    </row>
    <row r="4" spans="1:14" x14ac:dyDescent="0.25">
      <c r="A4" s="34"/>
      <c r="B4" s="20" t="s">
        <v>30</v>
      </c>
      <c r="C4" s="10">
        <f>'[2]Quantification C'!$W$6</f>
        <v>83.899998762976224</v>
      </c>
      <c r="D4" s="11">
        <v>0</v>
      </c>
      <c r="E4" s="10">
        <f>'[2]Quantification C'!$W$7</f>
        <v>0</v>
      </c>
      <c r="F4" s="11">
        <v>0</v>
      </c>
      <c r="G4" s="16">
        <f>'[2]Quantification C'!$W$14</f>
        <v>0</v>
      </c>
      <c r="H4" s="13">
        <f>'[2]Quantification C'!$W$13</f>
        <v>0</v>
      </c>
      <c r="I4" s="7">
        <f t="shared" ref="I4:I18" si="0">SUM(C4:H4)</f>
        <v>83.899998762976224</v>
      </c>
      <c r="J4" s="8">
        <v>0</v>
      </c>
      <c r="K4" s="8">
        <v>0.1</v>
      </c>
      <c r="L4" s="36"/>
      <c r="M4" s="21">
        <f>3500/13600</f>
        <v>0.25735294117647056</v>
      </c>
      <c r="N4" s="12">
        <f>I4*(100%-J4)*(100%-K4)*L3*M4</f>
        <v>165.17812256460942</v>
      </c>
    </row>
    <row r="5" spans="1:14" x14ac:dyDescent="0.25">
      <c r="A5" s="34"/>
      <c r="B5" s="20" t="s">
        <v>31</v>
      </c>
      <c r="C5" s="10">
        <f>'[3]Quantification C'!$W$6</f>
        <v>212.53975421547793</v>
      </c>
      <c r="D5" s="11">
        <v>0</v>
      </c>
      <c r="E5" s="10">
        <f>'[3]Quantification C'!$W$7</f>
        <v>0</v>
      </c>
      <c r="F5" s="11">
        <v>0</v>
      </c>
      <c r="G5" s="16">
        <f>'[3]Quantification C'!$W$14</f>
        <v>0</v>
      </c>
      <c r="H5" s="13">
        <f>'[3]Quantification C'!$W$13</f>
        <v>24.774999999999999</v>
      </c>
      <c r="I5" s="7">
        <f t="shared" si="0"/>
        <v>237.31475421547793</v>
      </c>
      <c r="J5" s="8">
        <v>0</v>
      </c>
      <c r="K5" s="8">
        <v>0.1</v>
      </c>
      <c r="L5" s="36"/>
      <c r="M5" s="21">
        <f>500/13600</f>
        <v>3.6764705882352942E-2</v>
      </c>
      <c r="N5" s="12">
        <f>I5*(100%-J5)*(100%-K5)*L3*M5</f>
        <v>66.744774623103169</v>
      </c>
    </row>
    <row r="6" spans="1:14" x14ac:dyDescent="0.25">
      <c r="A6" s="34"/>
      <c r="B6" s="19" t="s">
        <v>32</v>
      </c>
      <c r="C6" s="26">
        <f>'[4]Quantification C'!$W$6</f>
        <v>92.082243088162954</v>
      </c>
      <c r="D6" s="27">
        <v>0</v>
      </c>
      <c r="E6" s="26">
        <f>'[4]Quantification C'!$W$7</f>
        <v>0</v>
      </c>
      <c r="F6" s="27">
        <v>0</v>
      </c>
      <c r="G6" s="28">
        <f>'[4]Quantification C'!$W$14</f>
        <v>0</v>
      </c>
      <c r="H6" s="29">
        <f>'[4]Quantification C'!$W$13</f>
        <v>0</v>
      </c>
      <c r="I6" s="7">
        <f t="shared" si="0"/>
        <v>92.082243088162954</v>
      </c>
      <c r="J6" s="23">
        <v>0</v>
      </c>
      <c r="K6" s="23">
        <v>0.1</v>
      </c>
      <c r="L6" s="37"/>
      <c r="M6" s="21">
        <f>500/13600</f>
        <v>3.6764705882352942E-2</v>
      </c>
      <c r="N6" s="12">
        <f>I6*(100%-J6)*(100%-K6)*L3*M6</f>
        <v>25.898130868545831</v>
      </c>
    </row>
    <row r="7" spans="1:14" x14ac:dyDescent="0.25">
      <c r="A7" s="34" t="s">
        <v>27</v>
      </c>
      <c r="B7" s="20" t="s">
        <v>29</v>
      </c>
      <c r="C7" s="10">
        <f>'[1]Quantification C'!$W$5</f>
        <v>283.69878178494423</v>
      </c>
      <c r="D7" s="11">
        <v>0</v>
      </c>
      <c r="E7" s="10">
        <f>'[1]Quantification C'!$W$7</f>
        <v>0</v>
      </c>
      <c r="F7" s="11">
        <v>0</v>
      </c>
      <c r="G7" s="16">
        <f>'[1]Quantification C'!$W$14</f>
        <v>10.268213744055917</v>
      </c>
      <c r="H7" s="13">
        <f>'[1]Quantification C'!$W$13</f>
        <v>52.46</v>
      </c>
      <c r="I7" s="7">
        <f t="shared" si="0"/>
        <v>346.42699552900012</v>
      </c>
      <c r="J7" s="8">
        <v>0</v>
      </c>
      <c r="K7" s="8">
        <v>0.1</v>
      </c>
      <c r="L7" s="35">
        <v>8.5</v>
      </c>
      <c r="M7" s="21">
        <f>9100/13600</f>
        <v>0.66911764705882348</v>
      </c>
      <c r="N7" s="12">
        <f>I7*(100%-J7)*(100%-K7)*L7*M7</f>
        <v>1773.2731833640692</v>
      </c>
    </row>
    <row r="8" spans="1:14" x14ac:dyDescent="0.25">
      <c r="A8" s="34"/>
      <c r="B8" s="20" t="s">
        <v>34</v>
      </c>
      <c r="C8" s="10">
        <f>'[5]Quantification C'!$W$6</f>
        <v>98.210715245317772</v>
      </c>
      <c r="D8" s="11">
        <v>0</v>
      </c>
      <c r="E8" s="10">
        <f>'[5]Quantification C'!$W$7</f>
        <v>0</v>
      </c>
      <c r="F8" s="11">
        <v>0</v>
      </c>
      <c r="G8" s="16">
        <f>'[5]Quantification C'!$W$14</f>
        <v>0</v>
      </c>
      <c r="H8" s="13">
        <f>'[5]Quantification C'!$W$12</f>
        <v>0.25</v>
      </c>
      <c r="I8" s="7">
        <f t="shared" si="0"/>
        <v>98.460715245317772</v>
      </c>
      <c r="J8" s="8">
        <v>0</v>
      </c>
      <c r="K8" s="8">
        <v>0.1</v>
      </c>
      <c r="L8" s="36"/>
      <c r="M8" s="21">
        <f>3500/13600</f>
        <v>0.25735294117647056</v>
      </c>
      <c r="N8" s="12">
        <f>I8*(100%-J8)*(100%-K8)*L7*M8</f>
        <v>193.84453313921935</v>
      </c>
    </row>
    <row r="9" spans="1:14" x14ac:dyDescent="0.25">
      <c r="A9" s="34"/>
      <c r="B9" s="20" t="s">
        <v>31</v>
      </c>
      <c r="C9" s="10">
        <f>'[3]Quantification C'!$W$6</f>
        <v>212.53975421547793</v>
      </c>
      <c r="D9" s="11">
        <v>0</v>
      </c>
      <c r="E9" s="10">
        <f>'[3]Quantification C'!$W$7</f>
        <v>0</v>
      </c>
      <c r="F9" s="11">
        <v>0</v>
      </c>
      <c r="G9" s="16">
        <f>'[3]Quantification C'!$W$14</f>
        <v>0</v>
      </c>
      <c r="H9" s="13">
        <f>'[3]Quantification C'!$W$13</f>
        <v>24.774999999999999</v>
      </c>
      <c r="I9" s="7">
        <f t="shared" si="0"/>
        <v>237.31475421547793</v>
      </c>
      <c r="J9" s="30">
        <v>0</v>
      </c>
      <c r="K9" s="30">
        <v>0.1</v>
      </c>
      <c r="L9" s="36"/>
      <c r="M9" s="21">
        <f>500/13600</f>
        <v>3.6764705882352942E-2</v>
      </c>
      <c r="N9" s="12">
        <f>I9*(100%-J9)*(100%-K9)*L7*M9</f>
        <v>66.744774623103169</v>
      </c>
    </row>
    <row r="10" spans="1:14" x14ac:dyDescent="0.25">
      <c r="A10" s="34"/>
      <c r="B10" s="20" t="s">
        <v>32</v>
      </c>
      <c r="C10" s="10">
        <f>'[4]Quantification C'!$W$6</f>
        <v>92.082243088162954</v>
      </c>
      <c r="D10" s="11">
        <v>0</v>
      </c>
      <c r="E10" s="10">
        <f>'[4]Quantification C'!$W$7</f>
        <v>0</v>
      </c>
      <c r="F10" s="11">
        <v>0</v>
      </c>
      <c r="G10" s="16">
        <f>'[4]Quantification C'!$W$14</f>
        <v>0</v>
      </c>
      <c r="H10" s="13">
        <f>'[4]Quantification C'!$W$13</f>
        <v>0</v>
      </c>
      <c r="I10" s="7">
        <f t="shared" si="0"/>
        <v>92.082243088162954</v>
      </c>
      <c r="J10" s="8">
        <v>0</v>
      </c>
      <c r="K10" s="8">
        <v>0.1</v>
      </c>
      <c r="L10" s="37"/>
      <c r="M10" s="21">
        <f>500/13600</f>
        <v>3.6764705882352942E-2</v>
      </c>
      <c r="N10" s="12">
        <f>I10*(100%-J10)*(100%-K10)*L7*M10</f>
        <v>25.898130868545831</v>
      </c>
    </row>
    <row r="11" spans="1:14" x14ac:dyDescent="0.25">
      <c r="A11" s="34" t="s">
        <v>28</v>
      </c>
      <c r="B11" s="24" t="s">
        <v>29</v>
      </c>
      <c r="C11" s="10">
        <f>'[1]Quantification C'!$W$5</f>
        <v>283.69878178494423</v>
      </c>
      <c r="D11" s="11">
        <v>0</v>
      </c>
      <c r="E11" s="10">
        <f>'[1]Quantification C'!$W$7</f>
        <v>0</v>
      </c>
      <c r="F11" s="11">
        <v>0</v>
      </c>
      <c r="G11" s="16">
        <f>'[1]Quantification C'!$W$14</f>
        <v>10.268213744055917</v>
      </c>
      <c r="H11" s="13">
        <f>'[1]Quantification C'!$W$13</f>
        <v>52.46</v>
      </c>
      <c r="I11" s="7">
        <f t="shared" si="0"/>
        <v>346.42699552900012</v>
      </c>
      <c r="J11" s="8">
        <v>0</v>
      </c>
      <c r="K11" s="8">
        <v>0.1</v>
      </c>
      <c r="L11" s="35">
        <v>2.9</v>
      </c>
      <c r="M11" s="22">
        <f>3100/4640</f>
        <v>0.6681034482758621</v>
      </c>
      <c r="N11" s="12">
        <f>I11*(100%-J11)*(100%-K11)*L11*M11</f>
        <v>604.08207345369397</v>
      </c>
    </row>
    <row r="12" spans="1:14" x14ac:dyDescent="0.25">
      <c r="A12" s="34"/>
      <c r="B12" s="25" t="s">
        <v>30</v>
      </c>
      <c r="C12" s="10">
        <f>'[2]Quantification C'!$W$6</f>
        <v>83.899998762976224</v>
      </c>
      <c r="D12" s="11">
        <v>0</v>
      </c>
      <c r="E12" s="10">
        <f>'[2]Quantification C'!$W$7</f>
        <v>0</v>
      </c>
      <c r="F12" s="11">
        <v>0</v>
      </c>
      <c r="G12" s="16">
        <f>'[2]Quantification C'!$W$14</f>
        <v>0</v>
      </c>
      <c r="H12" s="13">
        <f>'[2]Quantification C'!$W$13</f>
        <v>0</v>
      </c>
      <c r="I12" s="7">
        <f t="shared" si="0"/>
        <v>83.899998762976224</v>
      </c>
      <c r="J12" s="8">
        <v>0</v>
      </c>
      <c r="K12" s="8">
        <v>0.1</v>
      </c>
      <c r="L12" s="36"/>
      <c r="M12" s="22">
        <f>1240/4640</f>
        <v>0.26724137931034481</v>
      </c>
      <c r="N12" s="12">
        <f>I12*(100%-J12)*(100%-K12)*L11*M12</f>
        <v>58.520249137175909</v>
      </c>
    </row>
    <row r="13" spans="1:14" x14ac:dyDescent="0.25">
      <c r="A13" s="34"/>
      <c r="B13" s="24" t="s">
        <v>31</v>
      </c>
      <c r="C13" s="10">
        <f>'[3]Quantification C'!$W$6</f>
        <v>212.53975421547793</v>
      </c>
      <c r="D13" s="11">
        <v>0</v>
      </c>
      <c r="E13" s="10">
        <f>'[3]Quantification C'!$W$7</f>
        <v>0</v>
      </c>
      <c r="F13" s="11">
        <v>0</v>
      </c>
      <c r="G13" s="16">
        <f>'[3]Quantification C'!$W$14</f>
        <v>0</v>
      </c>
      <c r="H13" s="13">
        <f>'[3]Quantification C'!$W$13</f>
        <v>24.774999999999999</v>
      </c>
      <c r="I13" s="7">
        <f t="shared" si="0"/>
        <v>237.31475421547793</v>
      </c>
      <c r="J13" s="8">
        <v>0</v>
      </c>
      <c r="K13" s="8">
        <v>0.1</v>
      </c>
      <c r="L13" s="36"/>
      <c r="M13" s="22">
        <f>150/4640</f>
        <v>3.2327586206896554E-2</v>
      </c>
      <c r="N13" s="12">
        <f>I13*(100%-J13)*(100%-K13)*L11*M13</f>
        <v>20.023432386930953</v>
      </c>
    </row>
    <row r="14" spans="1:14" x14ac:dyDescent="0.25">
      <c r="A14" s="34"/>
      <c r="B14" s="24" t="s">
        <v>32</v>
      </c>
      <c r="C14" s="26">
        <f>'[4]Quantification C'!$W$6</f>
        <v>92.082243088162954</v>
      </c>
      <c r="D14" s="27">
        <v>0</v>
      </c>
      <c r="E14" s="26">
        <f>'[4]Quantification C'!$W$7</f>
        <v>0</v>
      </c>
      <c r="F14" s="27">
        <v>0</v>
      </c>
      <c r="G14" s="28">
        <f>'[4]Quantification C'!$W$14</f>
        <v>0</v>
      </c>
      <c r="H14" s="29">
        <f>'[4]Quantification C'!$W$13</f>
        <v>0</v>
      </c>
      <c r="I14" s="7">
        <f t="shared" si="0"/>
        <v>92.082243088162954</v>
      </c>
      <c r="J14" s="8">
        <v>0</v>
      </c>
      <c r="K14" s="8">
        <v>0.1</v>
      </c>
      <c r="L14" s="37"/>
      <c r="M14" s="22">
        <f>150/4640</f>
        <v>3.2327586206896554E-2</v>
      </c>
      <c r="N14" s="12">
        <f>I14*(100%-J14)*(100%-K14)*L11*M14</f>
        <v>7.7694392605637494</v>
      </c>
    </row>
    <row r="15" spans="1:14" x14ac:dyDescent="0.25">
      <c r="A15" s="34" t="s">
        <v>33</v>
      </c>
      <c r="B15" s="24" t="s">
        <v>29</v>
      </c>
      <c r="C15" s="10">
        <f>'[1]Quantification C'!$W$5</f>
        <v>283.69878178494423</v>
      </c>
      <c r="D15" s="11">
        <v>0</v>
      </c>
      <c r="E15" s="10">
        <f>'[1]Quantification C'!$W$7</f>
        <v>0</v>
      </c>
      <c r="F15" s="11">
        <v>0</v>
      </c>
      <c r="G15" s="16">
        <f>'[1]Quantification C'!$W$14</f>
        <v>10.268213744055917</v>
      </c>
      <c r="H15" s="13">
        <f>'[1]Quantification C'!$W$13</f>
        <v>52.46</v>
      </c>
      <c r="I15" s="7">
        <f t="shared" si="0"/>
        <v>346.42699552900012</v>
      </c>
      <c r="J15" s="8">
        <v>0</v>
      </c>
      <c r="K15" s="8">
        <v>0.1</v>
      </c>
      <c r="L15" s="35">
        <v>2.9</v>
      </c>
      <c r="M15" s="22">
        <f>3100/4640</f>
        <v>0.6681034482758621</v>
      </c>
      <c r="N15" s="12">
        <f>I15*(100%-J15)*(100%-K15)*L15*M15</f>
        <v>604.08207345369397</v>
      </c>
    </row>
    <row r="16" spans="1:14" x14ac:dyDescent="0.25">
      <c r="A16" s="34"/>
      <c r="B16" s="25" t="s">
        <v>34</v>
      </c>
      <c r="C16" s="10">
        <f>'[5]Quantification C'!$W$6</f>
        <v>98.210715245317772</v>
      </c>
      <c r="D16" s="11">
        <v>0</v>
      </c>
      <c r="E16" s="10">
        <f>'[5]Quantification C'!$W$7</f>
        <v>0</v>
      </c>
      <c r="F16" s="11">
        <v>0</v>
      </c>
      <c r="G16" s="16">
        <f>'[5]Quantification C'!$W$14</f>
        <v>0</v>
      </c>
      <c r="H16" s="13">
        <f>'[5]Quantification C'!$W$12</f>
        <v>0.25</v>
      </c>
      <c r="I16" s="7">
        <f t="shared" si="0"/>
        <v>98.460715245317772</v>
      </c>
      <c r="J16" s="8">
        <v>0</v>
      </c>
      <c r="K16" s="8">
        <v>0.1</v>
      </c>
      <c r="L16" s="36"/>
      <c r="M16" s="22">
        <f>1240/4640</f>
        <v>0.26724137931034481</v>
      </c>
      <c r="N16" s="12">
        <f>I16*(100%-J16)*(100%-K16)*L15*M16</f>
        <v>68.676348883609137</v>
      </c>
    </row>
    <row r="17" spans="1:14" x14ac:dyDescent="0.25">
      <c r="A17" s="34"/>
      <c r="B17" s="24" t="s">
        <v>31</v>
      </c>
      <c r="C17" s="10">
        <f>'[3]Quantification C'!$W$6</f>
        <v>212.53975421547793</v>
      </c>
      <c r="D17" s="11">
        <v>0</v>
      </c>
      <c r="E17" s="10">
        <f>'[3]Quantification C'!$W$7</f>
        <v>0</v>
      </c>
      <c r="F17" s="11">
        <v>0</v>
      </c>
      <c r="G17" s="16">
        <f>'[3]Quantification C'!$W$14</f>
        <v>0</v>
      </c>
      <c r="H17" s="13">
        <f>'[3]Quantification C'!$W$13</f>
        <v>24.774999999999999</v>
      </c>
      <c r="I17" s="7">
        <f t="shared" si="0"/>
        <v>237.31475421547793</v>
      </c>
      <c r="J17" s="8">
        <v>0</v>
      </c>
      <c r="K17" s="8">
        <v>0.1</v>
      </c>
      <c r="L17" s="36"/>
      <c r="M17" s="22">
        <f>150/4640</f>
        <v>3.2327586206896554E-2</v>
      </c>
      <c r="N17" s="12">
        <f>I17*(100%-J17)*(100%-K17)*L15*M17</f>
        <v>20.023432386930953</v>
      </c>
    </row>
    <row r="18" spans="1:14" x14ac:dyDescent="0.25">
      <c r="A18" s="34"/>
      <c r="B18" s="24" t="s">
        <v>32</v>
      </c>
      <c r="C18" s="26">
        <f>'[4]Quantification C'!$W$6</f>
        <v>92.082243088162954</v>
      </c>
      <c r="D18" s="27">
        <v>0</v>
      </c>
      <c r="E18" s="26">
        <f>'[4]Quantification C'!$W$7</f>
        <v>0</v>
      </c>
      <c r="F18" s="27">
        <v>0</v>
      </c>
      <c r="G18" s="28">
        <f>'[4]Quantification C'!$W$14</f>
        <v>0</v>
      </c>
      <c r="H18" s="29">
        <f>'[4]Quantification C'!$W$13</f>
        <v>0</v>
      </c>
      <c r="I18" s="7">
        <f t="shared" si="0"/>
        <v>92.082243088162954</v>
      </c>
      <c r="J18" s="8">
        <v>0</v>
      </c>
      <c r="K18" s="8">
        <v>0.1</v>
      </c>
      <c r="L18" s="37"/>
      <c r="M18" s="22">
        <f>150/4640</f>
        <v>3.2327586206896554E-2</v>
      </c>
      <c r="N18" s="12">
        <f t="shared" ref="N18" si="1">I18*(100%-J18)*(100%-K18)*L15*M18</f>
        <v>7.7694392605637494</v>
      </c>
    </row>
    <row r="19" spans="1:14" x14ac:dyDescent="0.25">
      <c r="C19" s="2"/>
      <c r="D19" s="1"/>
      <c r="E19" s="1"/>
      <c r="F19" s="1"/>
      <c r="G19" s="1"/>
      <c r="H19" s="1"/>
      <c r="I19" s="1"/>
      <c r="J19" s="1"/>
      <c r="K19" s="14" t="s">
        <v>15</v>
      </c>
      <c r="L19" s="17">
        <f>SUM(L3:L18)</f>
        <v>22.799999999999997</v>
      </c>
      <c r="M19" s="18"/>
      <c r="N19" s="15">
        <f>SUM(N3:N18)</f>
        <v>5481.801321638427</v>
      </c>
    </row>
    <row r="20" spans="1:14" x14ac:dyDescent="0.25">
      <c r="B20" s="1" t="s">
        <v>0</v>
      </c>
      <c r="C20" s="3">
        <f>SUM(C3:F3)*L3*M3+SUM(C4:F4)*L3*M4+SUM(C5:F5)*L3*M5+SUM(C6:F6)*L3*M6+SUM(C7:F7)*L7*M7+SUM(C8:F8)*L7*M8+SUM(C9:F9)*L7*M9+SUM(C10:F10)*L7*M10+SUM(C11:F11)*L11*M11+SUM(C12:F12)*L11*M12+SUM(C13:F13)*L11*M13+SUM(C14:F14)*L11*M14+SUM(C15:F15)*L15*M15+SUM(C16:F16)*L15*M16+SUM(C17:F17)*L15*M17+SUM(C18:F18)*L15*M18</f>
        <v>5113.4147852791793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31">
        <f>N19/L19</f>
        <v>240.4298825280012</v>
      </c>
    </row>
    <row r="21" spans="1:14" x14ac:dyDescent="0.25">
      <c r="B21" s="1" t="s">
        <v>17</v>
      </c>
      <c r="C21" s="3">
        <f>C20*(100%-J3)*(100%-K3)</f>
        <v>4602.073306751262</v>
      </c>
      <c r="E21" s="1"/>
      <c r="F21" s="1"/>
      <c r="G21" s="1"/>
      <c r="H21" s="1"/>
      <c r="I21" s="1"/>
      <c r="J21" s="1"/>
      <c r="K21" s="1"/>
      <c r="L21" s="1"/>
      <c r="M21" s="1"/>
    </row>
    <row r="22" spans="1:14" x14ac:dyDescent="0.25">
      <c r="B22" s="1" t="s">
        <v>1</v>
      </c>
      <c r="C22" s="3">
        <f>G3*L3*M3+G4*L3*M4+G5*L3*M5+G6*L3*M6+G7*L7*M7+G8*L7*M8+G9*L7*M9+G10*L7*M10+G11*L11*M11+G12*L11*M12+G13*L11*M13+G14*L11*M14+G15*L15*M15+G16*L15*M16+G17*L15*M17+G18*L15*M18</f>
        <v>156.59025959685275</v>
      </c>
      <c r="E22" s="1"/>
      <c r="F22" s="1"/>
      <c r="G22" s="1"/>
      <c r="H22" s="1"/>
      <c r="I22" s="1"/>
      <c r="J22" s="1"/>
      <c r="K22" s="1"/>
      <c r="L22" s="1"/>
      <c r="M22" s="1"/>
    </row>
    <row r="23" spans="1:14" x14ac:dyDescent="0.25">
      <c r="B23" s="1" t="s">
        <v>18</v>
      </c>
      <c r="C23" s="3">
        <f>C22*(100%-J3)*(100%-K3)</f>
        <v>140.93123363716748</v>
      </c>
      <c r="E23" s="1"/>
      <c r="F23" s="1"/>
      <c r="G23" s="1"/>
      <c r="H23" s="1"/>
      <c r="I23" s="1"/>
      <c r="J23" s="1"/>
      <c r="K23" s="1"/>
      <c r="L23" s="1" t="s">
        <v>20</v>
      </c>
      <c r="M23" s="1">
        <f>L3*M3+L7*M7+L11*M11+L15*M15</f>
        <v>15.25</v>
      </c>
      <c r="N23">
        <f>M23/$M$28</f>
        <v>0.66885964912280715</v>
      </c>
    </row>
    <row r="24" spans="1:14" x14ac:dyDescent="0.25">
      <c r="B24" s="1" t="s">
        <v>2</v>
      </c>
      <c r="C24" s="3">
        <f>H3*L3*M3+H4*L3*M4+H5*L3*M5+H6*L3*M6+H7*L7*M7+H8*L7*M8+H9*L7*M9+H10*L7*M10+H11*L11*M11+H12*L11*M12+H13*L11*M13+H14*L11*M14+H15*L15*M15+H16*L15*M16+H17*L15*M17+H18*L15*M18</f>
        <v>820.88531250000005</v>
      </c>
      <c r="E24" s="1"/>
      <c r="F24" s="1"/>
      <c r="G24" s="1"/>
      <c r="H24" s="1"/>
      <c r="I24" s="1"/>
      <c r="J24" s="1"/>
      <c r="K24" s="1"/>
      <c r="L24" s="1" t="s">
        <v>21</v>
      </c>
      <c r="M24" s="1">
        <f>L3*M4+L11*M12</f>
        <v>2.9624999999999999</v>
      </c>
      <c r="N24">
        <f t="shared" ref="N24:N27" si="2">M24/$M$28</f>
        <v>0.12993421052631579</v>
      </c>
    </row>
    <row r="25" spans="1:14" x14ac:dyDescent="0.25">
      <c r="B25" s="1" t="s">
        <v>19</v>
      </c>
      <c r="C25" s="5">
        <f>C24*(100%-J3)*(100%-K3)</f>
        <v>738.79678125000009</v>
      </c>
      <c r="E25" s="1"/>
      <c r="F25" s="1"/>
      <c r="G25" s="1"/>
      <c r="H25" s="1"/>
      <c r="I25" s="1"/>
      <c r="J25" s="1"/>
      <c r="K25" s="1"/>
      <c r="L25" s="1" t="s">
        <v>24</v>
      </c>
      <c r="M25" s="1">
        <f>L7*M8+L15*M16</f>
        <v>2.9624999999999999</v>
      </c>
      <c r="N25">
        <f t="shared" si="2"/>
        <v>0.12993421052631579</v>
      </c>
    </row>
    <row r="26" spans="1:14" x14ac:dyDescent="0.25">
      <c r="B26" s="4" t="s">
        <v>3</v>
      </c>
      <c r="C26" s="6">
        <f>C21+C23+C25</f>
        <v>5481.8013216384297</v>
      </c>
      <c r="F26" s="1"/>
      <c r="L26" s="1" t="s">
        <v>23</v>
      </c>
      <c r="M26" s="19">
        <f>L3*M6+L7*M10+L11*M14+L15*M18</f>
        <v>0.8125</v>
      </c>
      <c r="N26">
        <f t="shared" si="2"/>
        <v>3.5635964912280708E-2</v>
      </c>
    </row>
    <row r="27" spans="1:14" x14ac:dyDescent="0.25">
      <c r="F27" s="1"/>
      <c r="L27" s="1" t="s">
        <v>22</v>
      </c>
      <c r="M27" s="19">
        <f>L3*M5+L7*M9+L11*M13+L15*M17</f>
        <v>0.8125</v>
      </c>
      <c r="N27">
        <f t="shared" si="2"/>
        <v>3.5635964912280708E-2</v>
      </c>
    </row>
    <row r="28" spans="1:14" x14ac:dyDescent="0.25">
      <c r="I28">
        <v>6770.56</v>
      </c>
      <c r="J28">
        <v>19926</v>
      </c>
      <c r="M28">
        <f>SUM(M23:M27)</f>
        <v>22.799999999999997</v>
      </c>
    </row>
    <row r="29" spans="1:14" x14ac:dyDescent="0.25">
      <c r="I29">
        <v>9679.7999999999993</v>
      </c>
      <c r="J29">
        <v>27200</v>
      </c>
    </row>
    <row r="30" spans="1:14" x14ac:dyDescent="0.25">
      <c r="I30">
        <v>9280</v>
      </c>
      <c r="J30">
        <v>28335</v>
      </c>
    </row>
    <row r="31" spans="1:14" x14ac:dyDescent="0.25">
      <c r="I31">
        <f>0.06*SUM(I28:I30)</f>
        <v>1543.8216</v>
      </c>
      <c r="J31">
        <f>0.06*SUM(J28:J30)</f>
        <v>4527.66</v>
      </c>
    </row>
    <row r="32" spans="1:14" x14ac:dyDescent="0.25">
      <c r="I32" s="32">
        <f>SUM(I28:I31)</f>
        <v>27274.1816</v>
      </c>
      <c r="J32" s="32">
        <f>SUM(J28:J31)</f>
        <v>79988.66</v>
      </c>
      <c r="K32" s="33">
        <f>I32+J32</f>
        <v>107262.8416</v>
      </c>
    </row>
  </sheetData>
  <mergeCells count="17">
    <mergeCell ref="A3:A6"/>
    <mergeCell ref="L3:L6"/>
    <mergeCell ref="L1:L2"/>
    <mergeCell ref="A7:A10"/>
    <mergeCell ref="N1:N2"/>
    <mergeCell ref="C1:F1"/>
    <mergeCell ref="G1:G2"/>
    <mergeCell ref="H1:H2"/>
    <mergeCell ref="I1:I2"/>
    <mergeCell ref="J1:J2"/>
    <mergeCell ref="K1:K2"/>
    <mergeCell ref="M1:M2"/>
    <mergeCell ref="A11:A14"/>
    <mergeCell ref="A15:A18"/>
    <mergeCell ref="L11:L14"/>
    <mergeCell ref="L15:L18"/>
    <mergeCell ref="L7:L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</dc:creator>
  <cp:lastModifiedBy>OCCI_OG</cp:lastModifiedBy>
  <dcterms:created xsi:type="dcterms:W3CDTF">2019-09-05T14:57:21Z</dcterms:created>
  <dcterms:modified xsi:type="dcterms:W3CDTF">2020-09-10T11:51:20Z</dcterms:modified>
</cp:coreProperties>
</file>