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u Périgord\Projet Roche_032020\"/>
    </mc:Choice>
  </mc:AlternateContent>
  <workbookProtection workbookAlgorithmName="SHA-512" workbookHashValue="/A23mmch8/XNyqKenk7UpbDu9oJxp4Sr+geiuaSPEUzVWyfoDjbiYt1w5qCYQx4lnthi4KE7lbRt1kqAh5SZUg==" workbookSaltValue="lFmQxbgMCJ9v9R+5miscMA==" workbookSpinCount="100000" lockStructure="1"/>
  <bookViews>
    <workbookView xWindow="0" yWindow="0" windowWidth="19200" windowHeight="7310" activeTab="1"/>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3" l="1"/>
  <c r="B67" i="3" l="1"/>
  <c r="B65" i="3"/>
  <c r="B6" i="1" l="1"/>
  <c r="B5" i="1"/>
  <c r="O25" i="3" l="1"/>
  <c r="N25" i="3"/>
  <c r="E23" i="1"/>
  <c r="D23" i="1"/>
  <c r="C23" i="1"/>
  <c r="F23" i="1"/>
  <c r="G23" i="1"/>
  <c r="H23" i="1"/>
  <c r="I23" i="1"/>
  <c r="J23" i="1"/>
  <c r="K23" i="1"/>
  <c r="L23" i="1"/>
  <c r="C25" i="5" l="1"/>
  <c r="C20" i="5"/>
  <c r="B20" i="5"/>
  <c r="M27" i="3"/>
  <c r="N18" i="3" s="1"/>
  <c r="R19" i="3"/>
  <c r="B46" i="1"/>
  <c r="B45" i="1"/>
  <c r="B22" i="1"/>
  <c r="E22" i="1"/>
  <c r="B23" i="5" l="1"/>
  <c r="B25" i="5" s="1"/>
  <c r="AF38" i="3"/>
  <c r="AF36" i="3"/>
  <c r="AO38" i="3"/>
  <c r="N20" i="5"/>
  <c r="O27" i="3"/>
  <c r="L23" i="5" l="1"/>
  <c r="L20" i="5"/>
  <c r="M21" i="3" l="1"/>
  <c r="M20" i="3"/>
  <c r="M19" i="3"/>
  <c r="M18" i="3"/>
  <c r="M22" i="1"/>
  <c r="M24" i="1" s="1"/>
  <c r="D19" i="3"/>
  <c r="C19" i="3"/>
  <c r="C18" i="3"/>
  <c r="C25" i="3"/>
  <c r="D25" i="3"/>
  <c r="Q21" i="3"/>
  <c r="C22" i="1"/>
  <c r="C24" i="1" s="1"/>
  <c r="D22" i="1"/>
  <c r="F22" i="1"/>
  <c r="F24" i="1" s="1"/>
  <c r="F21" i="1" s="1"/>
  <c r="G22" i="1"/>
  <c r="G24" i="1" s="1"/>
  <c r="H22" i="1"/>
  <c r="H24" i="1" s="1"/>
  <c r="I22" i="1"/>
  <c r="J22" i="1"/>
  <c r="J24" i="1" s="1"/>
  <c r="J21" i="1" s="1"/>
  <c r="K22" i="1"/>
  <c r="K24" i="1" s="1"/>
  <c r="L22" i="1"/>
  <c r="N22" i="1"/>
  <c r="O22" i="1"/>
  <c r="P22" i="1"/>
  <c r="Q22" i="1"/>
  <c r="R22" i="1"/>
  <c r="S22" i="1"/>
  <c r="T22" i="1"/>
  <c r="U22" i="1"/>
  <c r="V22" i="1"/>
  <c r="W22" i="1"/>
  <c r="X22" i="1"/>
  <c r="Y22" i="1"/>
  <c r="Z22" i="1"/>
  <c r="AA22" i="1"/>
  <c r="AB22" i="1"/>
  <c r="AC22" i="1"/>
  <c r="AD22" i="1"/>
  <c r="AE22" i="1"/>
  <c r="AF22" i="1"/>
  <c r="H21" i="1" l="1"/>
  <c r="I24" i="1"/>
  <c r="I21" i="1" s="1"/>
  <c r="D24" i="1"/>
  <c r="D21" i="1" s="1"/>
  <c r="M21" i="1"/>
  <c r="E24" i="1"/>
  <c r="E21" i="1" s="1"/>
  <c r="G21" i="1"/>
  <c r="K21" i="1"/>
  <c r="C21" i="1"/>
  <c r="AO32" i="1" l="1"/>
  <c r="AP32" i="1"/>
  <c r="AG32" i="1"/>
  <c r="AH32" i="1"/>
  <c r="AI32" i="1"/>
  <c r="AJ32" i="1"/>
  <c r="AK32" i="1"/>
  <c r="AL32" i="1"/>
  <c r="AM32" i="1"/>
  <c r="AN32" i="1"/>
  <c r="B32" i="1" l="1"/>
  <c r="B53" i="3" l="1"/>
  <c r="C41" i="3"/>
  <c r="B18" i="3"/>
  <c r="AF32" i="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C25" i="1"/>
  <c r="B25" i="1"/>
  <c r="B36" i="3" l="1"/>
  <c r="C16" i="4" l="1"/>
  <c r="C15" i="4"/>
  <c r="C62" i="3" l="1"/>
  <c r="C23" i="3" l="1"/>
  <c r="C20" i="4" l="1"/>
  <c r="C19" i="4"/>
  <c r="C64" i="3"/>
  <c r="C29" i="3" l="1"/>
  <c r="C47" i="3"/>
  <c r="B15" i="5" l="1"/>
  <c r="C23" i="5" s="1"/>
  <c r="B14" i="5"/>
  <c r="C63" i="3"/>
  <c r="C61" i="3"/>
  <c r="D20" i="5" l="1"/>
  <c r="C26" i="3"/>
  <c r="C44" i="3"/>
  <c r="C20" i="3"/>
  <c r="C38" i="3"/>
  <c r="J23" i="5"/>
  <c r="R23" i="5"/>
  <c r="Z23" i="5"/>
  <c r="AE23" i="5"/>
  <c r="K23" i="5"/>
  <c r="S23" i="5"/>
  <c r="AA23" i="5"/>
  <c r="Q23" i="5"/>
  <c r="D23" i="5"/>
  <c r="T23" i="5"/>
  <c r="AB23" i="5"/>
  <c r="V23" i="5"/>
  <c r="Y23" i="5"/>
  <c r="E23" i="5"/>
  <c r="M23" i="5"/>
  <c r="U23" i="5"/>
  <c r="AC23" i="5"/>
  <c r="F23" i="5"/>
  <c r="N23" i="5"/>
  <c r="AD23" i="5"/>
  <c r="I23" i="5"/>
  <c r="G23" i="5"/>
  <c r="O23" i="5"/>
  <c r="W23" i="5"/>
  <c r="H23" i="5"/>
  <c r="P23" i="5"/>
  <c r="X23" i="5"/>
  <c r="E20" i="5"/>
  <c r="M20" i="5"/>
  <c r="U20" i="5"/>
  <c r="AC20" i="5"/>
  <c r="O20" i="5"/>
  <c r="L25" i="5"/>
  <c r="F20" i="5"/>
  <c r="F25" i="5" s="1"/>
  <c r="V20" i="5"/>
  <c r="V25" i="5" s="1"/>
  <c r="AD20" i="5"/>
  <c r="AD25" i="5" s="1"/>
  <c r="G20" i="5"/>
  <c r="W20" i="5"/>
  <c r="H20" i="5"/>
  <c r="P20" i="5"/>
  <c r="X20" i="5"/>
  <c r="R20" i="5"/>
  <c r="R25" i="5" s="1"/>
  <c r="AE20" i="5"/>
  <c r="AA20" i="5"/>
  <c r="T20" i="5"/>
  <c r="I20" i="5"/>
  <c r="I25" i="5" s="1"/>
  <c r="Q20" i="5"/>
  <c r="Y20" i="5"/>
  <c r="J20" i="5"/>
  <c r="Z20" i="5"/>
  <c r="K20" i="5"/>
  <c r="K25" i="5" s="1"/>
  <c r="S20" i="5"/>
  <c r="S25" i="5" s="1"/>
  <c r="AB20" i="5"/>
  <c r="C21" i="4"/>
  <c r="C17" i="4"/>
  <c r="B5" i="5" l="1"/>
  <c r="M25" i="5"/>
  <c r="Y25" i="5"/>
  <c r="AC25" i="5"/>
  <c r="AB25" i="5"/>
  <c r="P25" i="5"/>
  <c r="H25" i="5"/>
  <c r="T25" i="5"/>
  <c r="G25" i="5"/>
  <c r="U25" i="5"/>
  <c r="AA25" i="5"/>
  <c r="E25" i="5"/>
  <c r="AE25" i="5"/>
  <c r="Z25" i="5"/>
  <c r="N25" i="5"/>
  <c r="D25" i="5"/>
  <c r="J25" i="5"/>
  <c r="X25" i="5"/>
  <c r="Q25" i="5"/>
  <c r="O25" i="5"/>
  <c r="W25" i="5"/>
  <c r="E56" i="3"/>
  <c r="C56" i="3"/>
  <c r="E36" i="1"/>
  <c r="C36" i="1"/>
  <c r="C35" i="1"/>
  <c r="C29" i="1" s="1"/>
  <c r="C31" i="1" s="1"/>
  <c r="B35" i="1"/>
  <c r="B6" i="5" l="1"/>
  <c r="B8" i="4" s="1"/>
  <c r="B9" i="4" s="1"/>
  <c r="AL39" i="3"/>
  <c r="AM42" i="3"/>
  <c r="AM45" i="3"/>
  <c r="AN48" i="3"/>
  <c r="AG24" i="3"/>
  <c r="AG27" i="3"/>
  <c r="AM39" i="3"/>
  <c r="AN42" i="3"/>
  <c r="AN45" i="3"/>
  <c r="AG48" i="3"/>
  <c r="AO48" i="3"/>
  <c r="AJ42" i="3"/>
  <c r="AN39" i="3"/>
  <c r="AG42" i="3"/>
  <c r="AO42" i="3"/>
  <c r="AG45" i="3"/>
  <c r="AO45" i="3"/>
  <c r="AH48" i="3"/>
  <c r="AP48" i="3"/>
  <c r="AQ46" i="3" s="1"/>
  <c r="AG30" i="3"/>
  <c r="AP45" i="3"/>
  <c r="AI48" i="3"/>
  <c r="AK48" i="3"/>
  <c r="AG39" i="3"/>
  <c r="AO39" i="3"/>
  <c r="AH42" i="3"/>
  <c r="AP42" i="3"/>
  <c r="AH45" i="3"/>
  <c r="AQ48" i="3"/>
  <c r="AJ45" i="3"/>
  <c r="AH39" i="3"/>
  <c r="AP39" i="3"/>
  <c r="AI42" i="3"/>
  <c r="AQ42" i="3"/>
  <c r="AI45" i="3"/>
  <c r="AQ45" i="3"/>
  <c r="AJ48" i="3"/>
  <c r="AI39" i="3"/>
  <c r="AQ39" i="3"/>
  <c r="AJ39" i="3"/>
  <c r="AK42" i="3"/>
  <c r="AK45" i="3"/>
  <c r="AL48" i="3"/>
  <c r="AG21" i="3"/>
  <c r="AK39" i="3"/>
  <c r="AL42" i="3"/>
  <c r="AL45" i="3"/>
  <c r="AM48" i="3"/>
  <c r="B48" i="3"/>
  <c r="B45" i="3"/>
  <c r="B42" i="3"/>
  <c r="B39" i="3"/>
  <c r="C42" i="3"/>
  <c r="AK29" i="1"/>
  <c r="AL29" i="1"/>
  <c r="AM29" i="1"/>
  <c r="AN29" i="1"/>
  <c r="B29" i="1"/>
  <c r="AG29" i="1"/>
  <c r="AO29" i="1"/>
  <c r="AO31" i="1" s="1"/>
  <c r="AO28" i="1" s="1"/>
  <c r="AH29" i="1"/>
  <c r="AP29" i="1"/>
  <c r="AP31" i="1" s="1"/>
  <c r="AP28" i="1" s="1"/>
  <c r="AI29" i="1"/>
  <c r="AJ29" i="1"/>
  <c r="B21" i="1"/>
  <c r="AF29" i="1"/>
  <c r="J29" i="1"/>
  <c r="R29" i="1"/>
  <c r="Z29" i="1"/>
  <c r="K29" i="1"/>
  <c r="AA29" i="1"/>
  <c r="L29" i="1"/>
  <c r="AB29" i="1"/>
  <c r="E29" i="1"/>
  <c r="U29" i="1"/>
  <c r="S29" i="1"/>
  <c r="D29" i="1"/>
  <c r="T29" i="1"/>
  <c r="M29" i="1"/>
  <c r="AC29" i="1"/>
  <c r="I29" i="1"/>
  <c r="Y29" i="1"/>
  <c r="F29" i="1"/>
  <c r="N29" i="1"/>
  <c r="V29" i="1"/>
  <c r="AD29" i="1"/>
  <c r="G29" i="1"/>
  <c r="O29" i="1"/>
  <c r="W29" i="1"/>
  <c r="AE29" i="1"/>
  <c r="H29" i="1"/>
  <c r="P29" i="1"/>
  <c r="X29" i="1"/>
  <c r="Q29" i="1"/>
  <c r="L42" i="3"/>
  <c r="E42" i="3"/>
  <c r="AD24" i="3"/>
  <c r="V42" i="3"/>
  <c r="W42" i="3"/>
  <c r="L24" i="3"/>
  <c r="Y24" i="3"/>
  <c r="J42" i="3"/>
  <c r="M24" i="3"/>
  <c r="AE24" i="3"/>
  <c r="J24" i="3"/>
  <c r="U24" i="3"/>
  <c r="F42" i="3"/>
  <c r="I24" i="3"/>
  <c r="O42" i="3"/>
  <c r="Z24" i="3"/>
  <c r="T42" i="3"/>
  <c r="M42" i="3"/>
  <c r="X24" i="3"/>
  <c r="AD42" i="3"/>
  <c r="AE42" i="3"/>
  <c r="H42" i="3"/>
  <c r="R42" i="3"/>
  <c r="AC42" i="3"/>
  <c r="O24" i="3"/>
  <c r="X42" i="3"/>
  <c r="S24" i="3"/>
  <c r="F24" i="3"/>
  <c r="T24" i="3"/>
  <c r="AF24" i="3"/>
  <c r="AA42" i="3"/>
  <c r="N24" i="3"/>
  <c r="G42" i="3"/>
  <c r="R24" i="3"/>
  <c r="AC24" i="3"/>
  <c r="N42" i="3"/>
  <c r="Q24" i="3"/>
  <c r="AB42" i="3"/>
  <c r="U42" i="3"/>
  <c r="Z42" i="3"/>
  <c r="G24" i="3"/>
  <c r="H24" i="3"/>
  <c r="P42" i="3"/>
  <c r="I42" i="3"/>
  <c r="C40" i="3"/>
  <c r="D41" i="3" s="1"/>
  <c r="D42" i="3"/>
  <c r="P24" i="3"/>
  <c r="Q42" i="3"/>
  <c r="E24" i="3"/>
  <c r="K24" i="3"/>
  <c r="W24" i="3"/>
  <c r="D24" i="3"/>
  <c r="AF42" i="3"/>
  <c r="Y42" i="3"/>
  <c r="K42" i="3"/>
  <c r="C24" i="3"/>
  <c r="D22" i="3" s="1"/>
  <c r="E23" i="3" s="1"/>
  <c r="AA24" i="3"/>
  <c r="B24" i="3"/>
  <c r="C22" i="3" s="1"/>
  <c r="D23" i="3" s="1"/>
  <c r="E22" i="3" s="1"/>
  <c r="F23" i="3" s="1"/>
  <c r="G22" i="3" s="1"/>
  <c r="H23" i="3" s="1"/>
  <c r="I22" i="3" s="1"/>
  <c r="J23" i="3" s="1"/>
  <c r="S42" i="3"/>
  <c r="V24" i="3"/>
  <c r="D40" i="3"/>
  <c r="E41" i="3" s="1"/>
  <c r="AB24" i="3"/>
  <c r="C30" i="3"/>
  <c r="D28" i="3" s="1"/>
  <c r="E29" i="3" s="1"/>
  <c r="F30" i="3"/>
  <c r="P30" i="3"/>
  <c r="R48" i="3"/>
  <c r="AC48" i="3"/>
  <c r="X30" i="3"/>
  <c r="AB30" i="3"/>
  <c r="AE48" i="3"/>
  <c r="K30" i="3"/>
  <c r="I30" i="3"/>
  <c r="Y30" i="3"/>
  <c r="H30" i="3"/>
  <c r="Z30" i="3"/>
  <c r="B30" i="3"/>
  <c r="C28" i="3" s="1"/>
  <c r="D29" i="3" s="1"/>
  <c r="N30" i="3"/>
  <c r="H48" i="3"/>
  <c r="D30" i="3"/>
  <c r="K48" i="3"/>
  <c r="J48" i="3"/>
  <c r="AA30" i="3"/>
  <c r="V30" i="3"/>
  <c r="X48" i="3"/>
  <c r="T30" i="3"/>
  <c r="G30" i="3"/>
  <c r="Q48" i="3"/>
  <c r="C46" i="3"/>
  <c r="D47" i="3" s="1"/>
  <c r="Q30" i="3"/>
  <c r="V48" i="3"/>
  <c r="D48" i="3"/>
  <c r="AD30" i="3"/>
  <c r="J30" i="3"/>
  <c r="S48" i="3"/>
  <c r="O30" i="3"/>
  <c r="U30" i="3"/>
  <c r="AA48" i="3"/>
  <c r="W48" i="3"/>
  <c r="L48" i="3"/>
  <c r="AF48" i="3"/>
  <c r="I48" i="3"/>
  <c r="M30" i="3"/>
  <c r="W30" i="3"/>
  <c r="S30" i="3"/>
  <c r="P48" i="3"/>
  <c r="E30" i="3"/>
  <c r="T48" i="3"/>
  <c r="N48" i="3"/>
  <c r="Y48" i="3"/>
  <c r="E48" i="3"/>
  <c r="AE30" i="3"/>
  <c r="G48" i="3"/>
  <c r="C48" i="3"/>
  <c r="D46" i="3" s="1"/>
  <c r="E47" i="3" s="1"/>
  <c r="AC30" i="3"/>
  <c r="AF30" i="3"/>
  <c r="L30" i="3"/>
  <c r="AB48" i="3"/>
  <c r="AD48" i="3"/>
  <c r="M48" i="3"/>
  <c r="F48" i="3"/>
  <c r="Z48" i="3"/>
  <c r="O48" i="3"/>
  <c r="R30" i="3"/>
  <c r="U48" i="3"/>
  <c r="V45" i="3"/>
  <c r="W45" i="3"/>
  <c r="E45" i="3"/>
  <c r="J27" i="3"/>
  <c r="S27" i="3"/>
  <c r="Z45" i="3"/>
  <c r="AA45" i="3"/>
  <c r="AB45" i="3"/>
  <c r="I21" i="3"/>
  <c r="P39" i="3"/>
  <c r="R21" i="3"/>
  <c r="AA21" i="3"/>
  <c r="AC39" i="3"/>
  <c r="AD39" i="3"/>
  <c r="X39" i="3"/>
  <c r="K27" i="3"/>
  <c r="C21" i="3"/>
  <c r="AD45" i="3"/>
  <c r="AE45" i="3"/>
  <c r="AC45" i="3"/>
  <c r="R27" i="3"/>
  <c r="S25" i="3" s="1"/>
  <c r="AA27" i="3"/>
  <c r="C45" i="3"/>
  <c r="D43" i="3" s="1"/>
  <c r="E44" i="3" s="1"/>
  <c r="F43" i="3" s="1"/>
  <c r="G44" i="3" s="1"/>
  <c r="F27" i="3"/>
  <c r="H21" i="3"/>
  <c r="O21" i="3"/>
  <c r="Z21" i="3"/>
  <c r="O39" i="3"/>
  <c r="C37" i="3"/>
  <c r="C36" i="3" s="1"/>
  <c r="D39" i="3"/>
  <c r="AF45" i="3"/>
  <c r="S21" i="3"/>
  <c r="C27" i="3"/>
  <c r="E26" i="3" s="1"/>
  <c r="E25" i="3" s="1"/>
  <c r="H27" i="3"/>
  <c r="I27" i="3"/>
  <c r="G27" i="3"/>
  <c r="Z27" i="3"/>
  <c r="L45" i="3"/>
  <c r="E27" i="3"/>
  <c r="N27" i="3"/>
  <c r="G21" i="3"/>
  <c r="P21" i="3"/>
  <c r="Y21" i="3"/>
  <c r="AE21" i="3"/>
  <c r="V21" i="3"/>
  <c r="L21" i="3"/>
  <c r="U21" i="3"/>
  <c r="W21" i="3"/>
  <c r="V27" i="3"/>
  <c r="U39" i="3"/>
  <c r="P27" i="3"/>
  <c r="Q27" i="3"/>
  <c r="AE27" i="3"/>
  <c r="I45" i="3"/>
  <c r="AD27" i="3"/>
  <c r="L27" i="3"/>
  <c r="U45" i="3"/>
  <c r="B21" i="3"/>
  <c r="X21" i="3"/>
  <c r="D21" i="3"/>
  <c r="K39" i="3"/>
  <c r="L39" i="3"/>
  <c r="H39" i="3"/>
  <c r="T21" i="3"/>
  <c r="AC21" i="3"/>
  <c r="R45" i="3"/>
  <c r="AD21" i="3"/>
  <c r="B27" i="3"/>
  <c r="D26" i="3" s="1"/>
  <c r="X27" i="3"/>
  <c r="Y27" i="3"/>
  <c r="H45" i="3"/>
  <c r="Q45" i="3"/>
  <c r="M45" i="3"/>
  <c r="T27" i="3"/>
  <c r="U27" i="3"/>
  <c r="E21" i="3"/>
  <c r="K21" i="3"/>
  <c r="S39" i="3"/>
  <c r="T39" i="3"/>
  <c r="F21" i="3"/>
  <c r="AB21" i="3"/>
  <c r="G39" i="3"/>
  <c r="J21" i="3"/>
  <c r="C43" i="3"/>
  <c r="D44" i="3" s="1"/>
  <c r="AF27" i="3"/>
  <c r="D27" i="3"/>
  <c r="P45" i="3"/>
  <c r="Y45" i="3"/>
  <c r="W27" i="3"/>
  <c r="AB27" i="3"/>
  <c r="AC27" i="3"/>
  <c r="I39" i="3"/>
  <c r="J39" i="3"/>
  <c r="W39" i="3"/>
  <c r="AA39" i="3"/>
  <c r="AB39" i="3"/>
  <c r="E39" i="3"/>
  <c r="F39" i="3"/>
  <c r="AE39" i="3"/>
  <c r="N45" i="3"/>
  <c r="S45" i="3"/>
  <c r="Y39" i="3"/>
  <c r="V39" i="3"/>
  <c r="F45" i="3"/>
  <c r="G45" i="3"/>
  <c r="T45" i="3"/>
  <c r="X45" i="3"/>
  <c r="D45" i="3"/>
  <c r="J45" i="3"/>
  <c r="K45" i="3"/>
  <c r="Q39" i="3"/>
  <c r="R39" i="3"/>
  <c r="AF21" i="3"/>
  <c r="C39" i="3"/>
  <c r="D37" i="3" s="1"/>
  <c r="M39" i="3"/>
  <c r="N39" i="3"/>
  <c r="N21" i="3"/>
  <c r="O45" i="3"/>
  <c r="Z39" i="3"/>
  <c r="AF39" i="3"/>
  <c r="H28" i="1" l="1"/>
  <c r="K22" i="3"/>
  <c r="L23" i="3" s="1"/>
  <c r="M22" i="3" s="1"/>
  <c r="N23" i="3" s="1"/>
  <c r="O22" i="3" s="1"/>
  <c r="P23" i="3" s="1"/>
  <c r="Q22" i="3" s="1"/>
  <c r="R23" i="3" s="1"/>
  <c r="S22" i="3" s="1"/>
  <c r="T23" i="3" s="1"/>
  <c r="U22" i="3" s="1"/>
  <c r="V23" i="3" s="1"/>
  <c r="W22" i="3" s="1"/>
  <c r="X23" i="3" s="1"/>
  <c r="Y22" i="3" s="1"/>
  <c r="Z23" i="3" s="1"/>
  <c r="AA22" i="3" s="1"/>
  <c r="AB23" i="3" s="1"/>
  <c r="AC22" i="3" s="1"/>
  <c r="AD23" i="3" s="1"/>
  <c r="AE22" i="3" s="1"/>
  <c r="AF23" i="3" s="1"/>
  <c r="AG22" i="3" s="1"/>
  <c r="E46" i="3"/>
  <c r="F47" i="3" s="1"/>
  <c r="AN31" i="1"/>
  <c r="AN28" i="1" s="1"/>
  <c r="AK31" i="1"/>
  <c r="AK28" i="1" s="1"/>
  <c r="AI31" i="1"/>
  <c r="AI28" i="1" s="1"/>
  <c r="AM31" i="1"/>
  <c r="AM28" i="1" s="1"/>
  <c r="AJ31" i="1"/>
  <c r="AJ28" i="1" s="1"/>
  <c r="AL31" i="1"/>
  <c r="AL28" i="1" s="1"/>
  <c r="AH31" i="1"/>
  <c r="AH28" i="1" s="1"/>
  <c r="AG31" i="1"/>
  <c r="AG28" i="1" s="1"/>
  <c r="C28" i="1"/>
  <c r="U31" i="1"/>
  <c r="U28" i="1" s="1"/>
  <c r="I31" i="1"/>
  <c r="I28" i="1" s="1"/>
  <c r="B28" i="1"/>
  <c r="AD24" i="1"/>
  <c r="AD21" i="1" s="1"/>
  <c r="AA24" i="1"/>
  <c r="AA21" i="1" s="1"/>
  <c r="V24" i="1"/>
  <c r="V21" i="1" s="1"/>
  <c r="AF24" i="1"/>
  <c r="AF21" i="1" s="1"/>
  <c r="B41" i="1" s="1"/>
  <c r="Q24" i="1"/>
  <c r="Q21" i="1" s="1"/>
  <c r="S24" i="1"/>
  <c r="S21" i="1" s="1"/>
  <c r="L24" i="1"/>
  <c r="L21" i="1" s="1"/>
  <c r="W24" i="1"/>
  <c r="W21" i="1" s="1"/>
  <c r="AC24" i="1"/>
  <c r="AC21" i="1" s="1"/>
  <c r="N24" i="1"/>
  <c r="N21" i="1" s="1"/>
  <c r="T24" i="1"/>
  <c r="T21" i="1" s="1"/>
  <c r="AB24" i="1"/>
  <c r="AB21" i="1" s="1"/>
  <c r="Y24" i="1"/>
  <c r="Y21" i="1" s="1"/>
  <c r="O24" i="1"/>
  <c r="O21" i="1" s="1"/>
  <c r="U24" i="1"/>
  <c r="U21" i="1" s="1"/>
  <c r="AE24" i="1"/>
  <c r="AE21" i="1" s="1"/>
  <c r="X24" i="1"/>
  <c r="X21" i="1" s="1"/>
  <c r="P24" i="1"/>
  <c r="P21" i="1" s="1"/>
  <c r="F22" i="3"/>
  <c r="G23" i="3" s="1"/>
  <c r="H22" i="3" s="1"/>
  <c r="I23" i="3" s="1"/>
  <c r="J22" i="3" s="1"/>
  <c r="K23" i="3" s="1"/>
  <c r="L22" i="3" s="1"/>
  <c r="M23" i="3" s="1"/>
  <c r="N22" i="3" s="1"/>
  <c r="O23" i="3" s="1"/>
  <c r="P22" i="3" s="1"/>
  <c r="Q23" i="3" s="1"/>
  <c r="R22" i="3" s="1"/>
  <c r="S23" i="3" s="1"/>
  <c r="T22" i="3" s="1"/>
  <c r="U23" i="3" s="1"/>
  <c r="V22" i="3" s="1"/>
  <c r="W23" i="3" s="1"/>
  <c r="X22" i="3" s="1"/>
  <c r="Y23" i="3" s="1"/>
  <c r="Z22" i="3" s="1"/>
  <c r="AA23" i="3" s="1"/>
  <c r="AB22" i="3" s="1"/>
  <c r="AC23" i="3" s="1"/>
  <c r="AD22" i="3" s="1"/>
  <c r="AE23" i="3" s="1"/>
  <c r="AF22" i="3" s="1"/>
  <c r="AG23" i="3" s="1"/>
  <c r="F40" i="3"/>
  <c r="G41" i="3" s="1"/>
  <c r="H40" i="3" s="1"/>
  <c r="I41" i="3" s="1"/>
  <c r="J40" i="3" s="1"/>
  <c r="K41" i="3" s="1"/>
  <c r="L40" i="3" s="1"/>
  <c r="M41" i="3" s="1"/>
  <c r="N40" i="3" s="1"/>
  <c r="O41" i="3" s="1"/>
  <c r="P40" i="3" s="1"/>
  <c r="Q41" i="3" s="1"/>
  <c r="R40" i="3" s="1"/>
  <c r="S41" i="3" s="1"/>
  <c r="T40" i="3" s="1"/>
  <c r="U41" i="3" s="1"/>
  <c r="V40" i="3" s="1"/>
  <c r="W41" i="3" s="1"/>
  <c r="X40" i="3" s="1"/>
  <c r="Y41" i="3" s="1"/>
  <c r="Z40" i="3" s="1"/>
  <c r="AA41" i="3" s="1"/>
  <c r="AB40" i="3" s="1"/>
  <c r="AC41" i="3" s="1"/>
  <c r="AD40" i="3" s="1"/>
  <c r="AE41" i="3" s="1"/>
  <c r="AF40" i="3" s="1"/>
  <c r="AG41" i="3" s="1"/>
  <c r="AH40" i="3" s="1"/>
  <c r="AI41" i="3" s="1"/>
  <c r="AJ40" i="3" s="1"/>
  <c r="AK41" i="3" s="1"/>
  <c r="AL40" i="3" s="1"/>
  <c r="AM41" i="3" s="1"/>
  <c r="AN40" i="3" s="1"/>
  <c r="AO41" i="3" s="1"/>
  <c r="AP40" i="3" s="1"/>
  <c r="AQ41" i="3" s="1"/>
  <c r="E40" i="3"/>
  <c r="F41" i="3" s="1"/>
  <c r="G40" i="3" s="1"/>
  <c r="H41" i="3" s="1"/>
  <c r="I40" i="3" s="1"/>
  <c r="J41" i="3" s="1"/>
  <c r="K40" i="3" s="1"/>
  <c r="L41" i="3" s="1"/>
  <c r="M40" i="3" s="1"/>
  <c r="N41" i="3" s="1"/>
  <c r="O40" i="3" s="1"/>
  <c r="P41" i="3" s="1"/>
  <c r="Q40" i="3" s="1"/>
  <c r="R41" i="3" s="1"/>
  <c r="S40" i="3" s="1"/>
  <c r="T41" i="3" s="1"/>
  <c r="U40" i="3" s="1"/>
  <c r="V41" i="3" s="1"/>
  <c r="W40" i="3" s="1"/>
  <c r="X41" i="3" s="1"/>
  <c r="Y40" i="3" s="1"/>
  <c r="Z41" i="3" s="1"/>
  <c r="AA40" i="3" s="1"/>
  <c r="AB41" i="3" s="1"/>
  <c r="AC40" i="3" s="1"/>
  <c r="AD41" i="3" s="1"/>
  <c r="AE40" i="3" s="1"/>
  <c r="AF41" i="3" s="1"/>
  <c r="AG40" i="3" s="1"/>
  <c r="AH41" i="3" s="1"/>
  <c r="AI40" i="3" s="1"/>
  <c r="AJ41" i="3" s="1"/>
  <c r="AK40" i="3" s="1"/>
  <c r="AL41" i="3" s="1"/>
  <c r="AM40" i="3" s="1"/>
  <c r="AN41" i="3" s="1"/>
  <c r="AO40" i="3" s="1"/>
  <c r="AP41" i="3" s="1"/>
  <c r="AQ40" i="3" s="1"/>
  <c r="G46" i="3"/>
  <c r="H47" i="3" s="1"/>
  <c r="I46" i="3" s="1"/>
  <c r="J47" i="3" s="1"/>
  <c r="K46" i="3" s="1"/>
  <c r="L47" i="3" s="1"/>
  <c r="M46" i="3" s="1"/>
  <c r="N47" i="3" s="1"/>
  <c r="O46" i="3" s="1"/>
  <c r="P47" i="3" s="1"/>
  <c r="Q46" i="3" s="1"/>
  <c r="R47" i="3" s="1"/>
  <c r="S46" i="3" s="1"/>
  <c r="T47" i="3" s="1"/>
  <c r="U46" i="3" s="1"/>
  <c r="V47" i="3" s="1"/>
  <c r="W46" i="3" s="1"/>
  <c r="X47" i="3" s="1"/>
  <c r="Y46" i="3" s="1"/>
  <c r="Z47" i="3" s="1"/>
  <c r="AA46" i="3" s="1"/>
  <c r="AB47" i="3" s="1"/>
  <c r="AC46" i="3" s="1"/>
  <c r="AD47" i="3" s="1"/>
  <c r="AE46" i="3" s="1"/>
  <c r="AF47" i="3" s="1"/>
  <c r="AG46" i="3" s="1"/>
  <c r="AH47" i="3" s="1"/>
  <c r="AI46" i="3" s="1"/>
  <c r="AJ47" i="3" s="1"/>
  <c r="AK46" i="3" s="1"/>
  <c r="AL47" i="3" s="1"/>
  <c r="AM46" i="3" s="1"/>
  <c r="AN47" i="3" s="1"/>
  <c r="AO46" i="3" s="1"/>
  <c r="AP47" i="3" s="1"/>
  <c r="F28" i="3"/>
  <c r="G29" i="3" s="1"/>
  <c r="H28" i="3" s="1"/>
  <c r="I29" i="3" s="1"/>
  <c r="J28" i="3" s="1"/>
  <c r="K29" i="3" s="1"/>
  <c r="L28" i="3" s="1"/>
  <c r="M29" i="3" s="1"/>
  <c r="N28" i="3" s="1"/>
  <c r="O29" i="3" s="1"/>
  <c r="P28" i="3" s="1"/>
  <c r="Q29" i="3" s="1"/>
  <c r="R28" i="3" s="1"/>
  <c r="S29" i="3" s="1"/>
  <c r="T28" i="3" s="1"/>
  <c r="U29" i="3" s="1"/>
  <c r="V28" i="3" s="1"/>
  <c r="W29" i="3" s="1"/>
  <c r="X28" i="3" s="1"/>
  <c r="Y29" i="3" s="1"/>
  <c r="Z28" i="3" s="1"/>
  <c r="AA29" i="3" s="1"/>
  <c r="AB28" i="3" s="1"/>
  <c r="AC29" i="3" s="1"/>
  <c r="AD28" i="3" s="1"/>
  <c r="AE29" i="3" s="1"/>
  <c r="AF28" i="3" s="1"/>
  <c r="AG29" i="3" s="1"/>
  <c r="D18" i="3"/>
  <c r="E20" i="3"/>
  <c r="E19" i="3" s="1"/>
  <c r="E43" i="3"/>
  <c r="F44" i="3" s="1"/>
  <c r="G43" i="3" s="1"/>
  <c r="H44" i="3" s="1"/>
  <c r="I43" i="3" s="1"/>
  <c r="J44" i="3" s="1"/>
  <c r="K43" i="3" s="1"/>
  <c r="L44" i="3" s="1"/>
  <c r="M43" i="3" s="1"/>
  <c r="N44" i="3" s="1"/>
  <c r="O43" i="3" s="1"/>
  <c r="P44" i="3" s="1"/>
  <c r="Q43" i="3" s="1"/>
  <c r="R44" i="3" s="1"/>
  <c r="S43" i="3" s="1"/>
  <c r="T44" i="3" s="1"/>
  <c r="U43" i="3" s="1"/>
  <c r="V44" i="3" s="1"/>
  <c r="W43" i="3" s="1"/>
  <c r="X44" i="3" s="1"/>
  <c r="Y43" i="3" s="1"/>
  <c r="Z44" i="3" s="1"/>
  <c r="AA43" i="3" s="1"/>
  <c r="AB44" i="3" s="1"/>
  <c r="AC43" i="3" s="1"/>
  <c r="AD44" i="3" s="1"/>
  <c r="AE43" i="3" s="1"/>
  <c r="AF44" i="3" s="1"/>
  <c r="AG43" i="3" s="1"/>
  <c r="AH44" i="3" s="1"/>
  <c r="AI43" i="3" s="1"/>
  <c r="AJ44" i="3" s="1"/>
  <c r="AK43" i="3" s="1"/>
  <c r="AL44" i="3" s="1"/>
  <c r="AM43" i="3" s="1"/>
  <c r="AN44" i="3" s="1"/>
  <c r="AO43" i="3" s="1"/>
  <c r="AP44" i="3" s="1"/>
  <c r="AQ43" i="3" s="1"/>
  <c r="E28" i="3"/>
  <c r="F29" i="3" s="1"/>
  <c r="G28" i="3" s="1"/>
  <c r="H29" i="3" s="1"/>
  <c r="I28" i="3" s="1"/>
  <c r="J29" i="3" s="1"/>
  <c r="K28" i="3" s="1"/>
  <c r="L29" i="3" s="1"/>
  <c r="M28" i="3" s="1"/>
  <c r="N29" i="3" s="1"/>
  <c r="O28" i="3" s="1"/>
  <c r="P29" i="3" s="1"/>
  <c r="Q28" i="3" s="1"/>
  <c r="R29" i="3" s="1"/>
  <c r="S28" i="3" s="1"/>
  <c r="T29" i="3" s="1"/>
  <c r="U28" i="3" s="1"/>
  <c r="V29" i="3" s="1"/>
  <c r="W28" i="3" s="1"/>
  <c r="X29" i="3" s="1"/>
  <c r="Y28" i="3" s="1"/>
  <c r="Z29" i="3" s="1"/>
  <c r="AA28" i="3" s="1"/>
  <c r="AB29" i="3" s="1"/>
  <c r="AC28" i="3" s="1"/>
  <c r="AD29" i="3" s="1"/>
  <c r="AE28" i="3" s="1"/>
  <c r="AF29" i="3" s="1"/>
  <c r="AG28" i="3" s="1"/>
  <c r="F26" i="3"/>
  <c r="H43" i="3"/>
  <c r="I44" i="3" s="1"/>
  <c r="J43" i="3" s="1"/>
  <c r="K44" i="3" s="1"/>
  <c r="L43" i="3" s="1"/>
  <c r="M44" i="3" s="1"/>
  <c r="N43" i="3" s="1"/>
  <c r="O44" i="3" s="1"/>
  <c r="P43" i="3" s="1"/>
  <c r="Q44" i="3" s="1"/>
  <c r="R43" i="3" s="1"/>
  <c r="S44" i="3" s="1"/>
  <c r="T43" i="3" s="1"/>
  <c r="U44" i="3" s="1"/>
  <c r="V43" i="3" s="1"/>
  <c r="W44" i="3" s="1"/>
  <c r="X43" i="3" s="1"/>
  <c r="Y44" i="3" s="1"/>
  <c r="Z43" i="3" s="1"/>
  <c r="AA44" i="3" s="1"/>
  <c r="AB43" i="3" s="1"/>
  <c r="AC44" i="3" s="1"/>
  <c r="AD43" i="3" s="1"/>
  <c r="AE44" i="3" s="1"/>
  <c r="AF43" i="3" s="1"/>
  <c r="AG44" i="3" s="1"/>
  <c r="AH43" i="3" s="1"/>
  <c r="AI44" i="3" s="1"/>
  <c r="AJ43" i="3" s="1"/>
  <c r="AK44" i="3" s="1"/>
  <c r="AL43" i="3" s="1"/>
  <c r="AM44" i="3" s="1"/>
  <c r="AN43" i="3" s="1"/>
  <c r="AO44" i="3" s="1"/>
  <c r="AP43" i="3" s="1"/>
  <c r="AQ44" i="3" s="1"/>
  <c r="D36" i="3"/>
  <c r="E38" i="3"/>
  <c r="F37" i="3" s="1"/>
  <c r="D38" i="3"/>
  <c r="E37" i="3" s="1"/>
  <c r="D20" i="3"/>
  <c r="F46" i="3"/>
  <c r="G47" i="3" s="1"/>
  <c r="H46" i="3" s="1"/>
  <c r="I47" i="3" s="1"/>
  <c r="J46" i="3" s="1"/>
  <c r="K47" i="3" s="1"/>
  <c r="L46" i="3" s="1"/>
  <c r="M47" i="3" s="1"/>
  <c r="N46" i="3" s="1"/>
  <c r="O47" i="3" s="1"/>
  <c r="P46" i="3" s="1"/>
  <c r="Q47" i="3" s="1"/>
  <c r="R46" i="3" s="1"/>
  <c r="S47" i="3" s="1"/>
  <c r="T46" i="3" s="1"/>
  <c r="U47" i="3" s="1"/>
  <c r="V46" i="3" s="1"/>
  <c r="W47" i="3" s="1"/>
  <c r="X46" i="3" s="1"/>
  <c r="Y47" i="3" s="1"/>
  <c r="Z46" i="3" s="1"/>
  <c r="AA47" i="3" s="1"/>
  <c r="AB46" i="3" s="1"/>
  <c r="AC47" i="3" s="1"/>
  <c r="AD46" i="3" s="1"/>
  <c r="AE47" i="3" s="1"/>
  <c r="AF46" i="3" s="1"/>
  <c r="AG47" i="3" s="1"/>
  <c r="AH46" i="3" s="1"/>
  <c r="AI47" i="3" s="1"/>
  <c r="AJ46" i="3" s="1"/>
  <c r="AK47" i="3" s="1"/>
  <c r="AL46" i="3" s="1"/>
  <c r="AM47" i="3" s="1"/>
  <c r="AN46" i="3" s="1"/>
  <c r="AO47" i="3" s="1"/>
  <c r="AP46" i="3" s="1"/>
  <c r="AQ47" i="3" s="1"/>
  <c r="AC31" i="1"/>
  <c r="AC28" i="1" s="1"/>
  <c r="AF31" i="1"/>
  <c r="AF28" i="1" s="1"/>
  <c r="Y31" i="1"/>
  <c r="Y28" i="1" s="1"/>
  <c r="P31" i="1"/>
  <c r="P28" i="1" s="1"/>
  <c r="F31" i="1"/>
  <c r="F28" i="1" s="1"/>
  <c r="M31" i="1"/>
  <c r="M28" i="1" s="1"/>
  <c r="G31" i="1"/>
  <c r="G28" i="1" s="1"/>
  <c r="E31" i="1"/>
  <c r="E28" i="1" s="1"/>
  <c r="X31" i="1"/>
  <c r="X28" i="1" s="1"/>
  <c r="AA31" i="1"/>
  <c r="AA28" i="1" s="1"/>
  <c r="Q31" i="1"/>
  <c r="Q28" i="1" s="1"/>
  <c r="S31" i="1"/>
  <c r="S28" i="1" s="1"/>
  <c r="O31" i="1"/>
  <c r="O28" i="1" s="1"/>
  <c r="H31" i="1"/>
  <c r="K31" i="1"/>
  <c r="K28" i="1" s="1"/>
  <c r="W31" i="1"/>
  <c r="W28" i="1" s="1"/>
  <c r="AE31" i="1"/>
  <c r="AE28" i="1" s="1"/>
  <c r="D31" i="1"/>
  <c r="D28" i="1" s="1"/>
  <c r="T31" i="1"/>
  <c r="T28" i="1" s="1"/>
  <c r="R31" i="1"/>
  <c r="R28" i="1" s="1"/>
  <c r="AB31" i="1"/>
  <c r="AB28" i="1" s="1"/>
  <c r="R24" i="1"/>
  <c r="R21" i="1" s="1"/>
  <c r="Z31" i="1"/>
  <c r="Z28" i="1" s="1"/>
  <c r="L31" i="1"/>
  <c r="L28" i="1" s="1"/>
  <c r="J31" i="1"/>
  <c r="J28" i="1" s="1"/>
  <c r="N31" i="1"/>
  <c r="N28" i="1" s="1"/>
  <c r="Z24" i="1"/>
  <c r="Z21" i="1" s="1"/>
  <c r="V31" i="1"/>
  <c r="V28" i="1" s="1"/>
  <c r="AD31" i="1"/>
  <c r="AD28" i="1" s="1"/>
  <c r="B4" i="4" l="1"/>
  <c r="B43" i="1"/>
  <c r="B42" i="1"/>
  <c r="F25" i="3"/>
  <c r="G26" i="3" s="1"/>
  <c r="D53" i="3"/>
  <c r="E18" i="3"/>
  <c r="F20" i="3"/>
  <c r="F19" i="3" s="1"/>
  <c r="G20" i="3" s="1"/>
  <c r="G19" i="3" s="1"/>
  <c r="F18" i="3"/>
  <c r="F38" i="3"/>
  <c r="G37" i="3" s="1"/>
  <c r="E36" i="3"/>
  <c r="F36" i="3"/>
  <c r="G38" i="3"/>
  <c r="H37" i="3" s="1"/>
  <c r="C53" i="3"/>
  <c r="B47" i="1" l="1"/>
  <c r="B48" i="1" s="1"/>
  <c r="B44" i="1"/>
  <c r="G25" i="3"/>
  <c r="H26" i="3" s="1"/>
  <c r="F53" i="3"/>
  <c r="B5" i="4"/>
  <c r="G36" i="3"/>
  <c r="H38" i="3"/>
  <c r="I37" i="3" s="1"/>
  <c r="G18" i="3"/>
  <c r="H20" i="3"/>
  <c r="H19" i="3" s="1"/>
  <c r="I20" i="3" s="1"/>
  <c r="I19" i="3" s="1"/>
  <c r="H36" i="3"/>
  <c r="I38" i="3"/>
  <c r="J37" i="3" s="1"/>
  <c r="E53" i="3"/>
  <c r="H25" i="3" l="1"/>
  <c r="G53" i="3"/>
  <c r="J20" i="3"/>
  <c r="J19" i="3" s="1"/>
  <c r="K20" i="3" s="1"/>
  <c r="K19" i="3" s="1"/>
  <c r="J36" i="3"/>
  <c r="K38" i="3"/>
  <c r="L37" i="3" s="1"/>
  <c r="I36" i="3"/>
  <c r="J38" i="3"/>
  <c r="K37" i="3" s="1"/>
  <c r="I26" i="3" l="1"/>
  <c r="H18" i="3"/>
  <c r="H53" i="3" s="1"/>
  <c r="L36" i="3"/>
  <c r="M38" i="3"/>
  <c r="N37" i="3" s="1"/>
  <c r="L20" i="3"/>
  <c r="L19" i="3" s="1"/>
  <c r="K36" i="3"/>
  <c r="L38" i="3"/>
  <c r="M37" i="3" s="1"/>
  <c r="I25" i="3" l="1"/>
  <c r="N36" i="3"/>
  <c r="O38" i="3"/>
  <c r="P37" i="3" s="1"/>
  <c r="N20" i="3"/>
  <c r="N19" i="3" s="1"/>
  <c r="O20" i="3"/>
  <c r="O19" i="3" s="1"/>
  <c r="M36" i="3"/>
  <c r="N38" i="3"/>
  <c r="O37" i="3" s="1"/>
  <c r="I18" i="3" l="1"/>
  <c r="I53" i="3" s="1"/>
  <c r="J26" i="3"/>
  <c r="P20" i="3"/>
  <c r="P19" i="3" s="1"/>
  <c r="Q20" i="3" s="1"/>
  <c r="Q19" i="3" s="1"/>
  <c r="O36" i="3"/>
  <c r="P38" i="3"/>
  <c r="Q37" i="3" s="1"/>
  <c r="P36" i="3"/>
  <c r="Q38" i="3"/>
  <c r="R37" i="3" s="1"/>
  <c r="J25" i="3" l="1"/>
  <c r="R20" i="3"/>
  <c r="Q36" i="3"/>
  <c r="R38" i="3"/>
  <c r="S37" i="3" s="1"/>
  <c r="S20" i="3"/>
  <c r="S19" i="3" s="1"/>
  <c r="R36" i="3"/>
  <c r="S38" i="3"/>
  <c r="T37" i="3" s="1"/>
  <c r="J18" i="3" l="1"/>
  <c r="J53" i="3" s="1"/>
  <c r="K26" i="3"/>
  <c r="S36" i="3"/>
  <c r="T38" i="3"/>
  <c r="U37" i="3" s="1"/>
  <c r="T20" i="3"/>
  <c r="T19" i="3" s="1"/>
  <c r="U20" i="3" s="1"/>
  <c r="U19" i="3" s="1"/>
  <c r="T36" i="3"/>
  <c r="U38" i="3"/>
  <c r="V37" i="3" s="1"/>
  <c r="K25" i="3" l="1"/>
  <c r="V20" i="3"/>
  <c r="V19" i="3" s="1"/>
  <c r="W20" i="3" s="1"/>
  <c r="W19" i="3" s="1"/>
  <c r="V36" i="3"/>
  <c r="W38" i="3"/>
  <c r="X37" i="3" s="1"/>
  <c r="U36" i="3"/>
  <c r="V38" i="3"/>
  <c r="W37" i="3" s="1"/>
  <c r="K18" i="3" l="1"/>
  <c r="K53" i="3" s="1"/>
  <c r="L26" i="3"/>
  <c r="L25" i="3" s="1"/>
  <c r="X36" i="3"/>
  <c r="Y38" i="3"/>
  <c r="Z37" i="3" s="1"/>
  <c r="X20" i="3"/>
  <c r="X19" i="3" s="1"/>
  <c r="Y20" i="3" s="1"/>
  <c r="Y19" i="3" s="1"/>
  <c r="W36" i="3"/>
  <c r="X38" i="3"/>
  <c r="Y37" i="3" s="1"/>
  <c r="L18" i="3" l="1"/>
  <c r="L53" i="3" s="1"/>
  <c r="M26" i="3"/>
  <c r="Y36" i="3"/>
  <c r="Z38" i="3"/>
  <c r="AA37" i="3" s="1"/>
  <c r="Z36" i="3"/>
  <c r="AA38" i="3"/>
  <c r="AB37" i="3" s="1"/>
  <c r="Z20" i="3"/>
  <c r="Z19" i="3" s="1"/>
  <c r="AA20" i="3" s="1"/>
  <c r="AA19" i="3" s="1"/>
  <c r="M25" i="3" l="1"/>
  <c r="AB20" i="3"/>
  <c r="AB19" i="3" s="1"/>
  <c r="AC20" i="3" s="1"/>
  <c r="AC19" i="3" s="1"/>
  <c r="AB36" i="3"/>
  <c r="AC38" i="3"/>
  <c r="AD37" i="3" s="1"/>
  <c r="AA36" i="3"/>
  <c r="AB38" i="3"/>
  <c r="AC37" i="3" s="1"/>
  <c r="N26" i="3" l="1"/>
  <c r="M53" i="3"/>
  <c r="AD36" i="3"/>
  <c r="AE38" i="3"/>
  <c r="AF37" i="3" s="1"/>
  <c r="AD20" i="3"/>
  <c r="AD19" i="3" s="1"/>
  <c r="AE20" i="3" s="1"/>
  <c r="AE19" i="3" s="1"/>
  <c r="AC36" i="3"/>
  <c r="AD38" i="3"/>
  <c r="AE37" i="3" s="1"/>
  <c r="AG38" i="3" l="1"/>
  <c r="AH37" i="3" s="1"/>
  <c r="AF20" i="3"/>
  <c r="AE36" i="3"/>
  <c r="AG37" i="3"/>
  <c r="AF19" i="3" l="1"/>
  <c r="AG20" i="3" s="1"/>
  <c r="AG19" i="3" s="1"/>
  <c r="O26" i="3"/>
  <c r="P26" i="3" s="1"/>
  <c r="P25" i="3" s="1"/>
  <c r="Q26" i="3" s="1"/>
  <c r="Q25" i="3" s="1"/>
  <c r="N53" i="3"/>
  <c r="AG36" i="3"/>
  <c r="AH38" i="3"/>
  <c r="AI37" i="3" s="1"/>
  <c r="AH36" i="3"/>
  <c r="AI38" i="3"/>
  <c r="AJ37" i="3" s="1"/>
  <c r="O18" i="3" l="1"/>
  <c r="O53" i="3" s="1"/>
  <c r="AJ38" i="3"/>
  <c r="AK37" i="3" s="1"/>
  <c r="AI36" i="3"/>
  <c r="AK38" i="3"/>
  <c r="AL37" i="3" s="1"/>
  <c r="AJ36" i="3"/>
  <c r="AL36" i="3" l="1"/>
  <c r="AM38" i="3"/>
  <c r="AN37" i="3" s="1"/>
  <c r="AL38" i="3"/>
  <c r="AM37" i="3" s="1"/>
  <c r="AK36" i="3"/>
  <c r="P18" i="3" l="1"/>
  <c r="P53" i="3" s="1"/>
  <c r="Q18" i="3"/>
  <c r="AM36" i="3"/>
  <c r="AN38" i="3"/>
  <c r="AO37" i="3" s="1"/>
  <c r="AP37" i="3"/>
  <c r="AN36" i="3"/>
  <c r="Q53" i="3" l="1"/>
  <c r="R26" i="3"/>
  <c r="R25" i="3" s="1"/>
  <c r="S26" i="3" s="1"/>
  <c r="S18" i="3" s="1"/>
  <c r="AP36" i="3"/>
  <c r="AQ38" i="3"/>
  <c r="AO36" i="3"/>
  <c r="AP38" i="3"/>
  <c r="AQ37" i="3" s="1"/>
  <c r="AQ36" i="3" l="1"/>
  <c r="R18" i="3" l="1"/>
  <c r="R53" i="3" s="1"/>
  <c r="S53" i="3" l="1"/>
  <c r="T26" i="3"/>
  <c r="T25" i="3" l="1"/>
  <c r="U26" i="3" s="1"/>
  <c r="T18" i="3" l="1"/>
  <c r="T53" i="3" s="1"/>
  <c r="U25" i="3" l="1"/>
  <c r="U18" i="3" l="1"/>
  <c r="U53" i="3" s="1"/>
  <c r="V26" i="3"/>
  <c r="V25" i="3" l="1"/>
  <c r="V18" i="3" l="1"/>
  <c r="V53" i="3" s="1"/>
  <c r="W26" i="3"/>
  <c r="W25" i="3" s="1"/>
  <c r="W18" i="3" l="1"/>
  <c r="W53" i="3" s="1"/>
  <c r="X26" i="3"/>
  <c r="X25" i="3" l="1"/>
  <c r="Y26" i="3" l="1"/>
  <c r="Y25" i="3" s="1"/>
  <c r="X18" i="3"/>
  <c r="X53" i="3" s="1"/>
  <c r="Y18" i="3" l="1"/>
  <c r="Y53" i="3" s="1"/>
  <c r="Z26" i="3"/>
  <c r="Z25" i="3" l="1"/>
  <c r="Z18" i="3" l="1"/>
  <c r="Z53" i="3" s="1"/>
  <c r="AA26" i="3"/>
  <c r="AA25" i="3" l="1"/>
  <c r="AA18" i="3" l="1"/>
  <c r="AA53" i="3" s="1"/>
  <c r="AB26" i="3"/>
  <c r="AB25" i="3" l="1"/>
  <c r="AC26" i="3" s="1"/>
  <c r="AC25" i="3" s="1"/>
  <c r="AD26" i="3" s="1"/>
  <c r="AB18" i="3" l="1"/>
  <c r="AB53" i="3" s="1"/>
  <c r="AC18" i="3" l="1"/>
  <c r="AC53" i="3" s="1"/>
  <c r="AD25" i="3" l="1"/>
  <c r="AD18" i="3" l="1"/>
  <c r="AD53" i="3" s="1"/>
  <c r="AE26" i="3"/>
  <c r="AE25" i="3" l="1"/>
  <c r="AE18" i="3" l="1"/>
  <c r="AE53" i="3" s="1"/>
  <c r="AF26" i="3"/>
  <c r="AF25" i="3" l="1"/>
  <c r="AF18" i="3" l="1"/>
  <c r="AF53" i="3" s="1"/>
  <c r="AG26" i="3"/>
  <c r="AG25" i="3" l="1"/>
  <c r="AG18" i="3" l="1"/>
  <c r="B68" i="3" l="1"/>
  <c r="AG53" i="3"/>
  <c r="B66" i="3" s="1"/>
  <c r="B6" i="3" l="1"/>
  <c r="B6" i="4" s="1"/>
  <c r="B7" i="4" s="1"/>
  <c r="B11" i="4" s="1"/>
  <c r="B3" i="4" l="1"/>
  <c r="B10" i="4" s="1"/>
</calcChain>
</file>

<file path=xl/comments1.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<sst xmlns="http://schemas.openxmlformats.org/spreadsheetml/2006/main" count="336" uniqueCount="241">
  <si>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</si>
  <si>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</si>
  <si>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</si>
  <si>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</si>
  <si>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</si>
  <si>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</si>
  <si>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</si>
  <si>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</si>
  <si>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</si>
  <si>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</si>
  <si>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</si>
  <si>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</si>
  <si>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</si>
  <si>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</si>
  <si>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</si>
  <si>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</si>
  <si>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</si>
  <si>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</si>
  <si>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</si>
  <si>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</si>
  <si>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</si>
  <si>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</si>
  <si>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</si>
  <si>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</si>
  <si>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</si>
  <si>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</si>
  <si>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</si>
  <si>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</si>
  <si>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</si>
  <si>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</si>
  <si>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</si>
  <si>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</si>
  <si>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</si>
  <si>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</si>
  <si>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</si>
  <si>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</si>
  <si>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</si>
  <si>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</si>
  <si>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</si>
  <si>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</si>
  <si>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</si>
  <si>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</si>
  <si>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</si>
  <si>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</si>
  <si>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</si>
  <si>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</si>
  <si>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</si>
  <si>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</si>
  <si>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</si>
  <si>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</si>
  <si>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</si>
  <si>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</si>
  <si>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</si>
  <si>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</si>
  <si>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</si>
  <si>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</si>
  <si>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</si>
  <si>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</si>
  <si>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</si>
  <si>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</si>
  <si>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</si>
  <si>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</si>
  <si>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</si>
  <si>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</si>
  <si>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</si>
  <si>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</si>
  <si>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</si>
  <si>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</si>
  <si>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</si>
  <si>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</si>
  <si>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</si>
  <si>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</si>
  <si>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</si>
  <si>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</si>
  <si>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</si>
  <si>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</si>
  <si>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</si>
  <si>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</si>
  <si>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</si>
  <si>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</si>
  <si>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</si>
  <si>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</si>
  <si>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</si>
  <si>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</si>
  <si>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</si>
  <si>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</si>
  <si>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</si>
  <si>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</si>
  <si>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</si>
  <si>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</si>
  <si>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</si>
  <si>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</si>
  <si>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</si>
  <si>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</si>
  <si>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</si>
  <si>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</si>
  <si>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</si>
  <si>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</si>
  <si>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</si>
  <si>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</si>
  <si>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</si>
  <si>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</si>
  <si>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</si>
  <si>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</si>
  <si>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</si>
  <si>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</si>
  <si>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</si>
  <si>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</si>
  <si>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</si>
  <si>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</si>
  <si>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</si>
  <si>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</si>
  <si>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</si>
  <si>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</si>
  <si>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Scénario projet : Volume de bois récolté suite à la tempête, incendie ou au dépérissement intense</t>
  </si>
  <si>
    <t>Année 0</t>
  </si>
  <si>
    <t>Scénario référence : Cas tempête et incendie : Récolte des bois ayant été détruits par la tempête ou l'incendie; Cas de dépérissement intense : Récolte des bois à l'âge de récolte prévu</t>
  </si>
  <si>
    <t>CS (coefficient de substitution) (en tCO2/m3) scénario référence après récolte</t>
  </si>
  <si>
    <t>Enfrichement de la parcelle par des :</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</si>
  <si>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</si>
  <si>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</si>
  <si>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</si>
  <si>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</si>
  <si>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</si>
  <si>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</si>
  <si>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</si>
  <si>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</si>
  <si>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</si>
  <si>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</si>
  <si>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</si>
  <si>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</si>
  <si>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</si>
  <si>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</si>
  <si>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</si>
  <si>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</si>
  <si>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</si>
  <si>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</si>
  <si>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</si>
  <si>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</si>
  <si>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</si>
  <si>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</si>
  <si>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</si>
  <si>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</si>
  <si>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</si>
  <si>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</si>
  <si>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</si>
  <si>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</si>
  <si>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</si>
  <si>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</si>
  <si>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</si>
  <si>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</si>
  <si>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</si>
  <si>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</si>
  <si>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</si>
  <si>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</si>
  <si>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t>Volume total (n) (en m3/ha)</t>
  </si>
  <si>
    <t>di (infradensité de l'essence) (en tMS/m3)</t>
  </si>
  <si>
    <t>R essence projet  (ans)</t>
  </si>
  <si>
    <t>Piquet</t>
  </si>
  <si>
    <t>Essence Balivable</t>
  </si>
  <si>
    <t>Charme, chênes, hêtre, autres feuillus</t>
  </si>
  <si>
    <t>Robinier</t>
  </si>
  <si>
    <t>Analyse économique de l’additionnalité (Toutes les méthodes)</t>
  </si>
  <si>
    <t xml:space="preserve">Risques généraux difficilement maîtrisables (Toutes les méthodes) </t>
  </si>
  <si>
    <t>Estimation des coûts et recettes dans le calcul de VAN (Méthode Reboisement)</t>
  </si>
  <si>
    <t>Non justification de la classe de production (Méthodes boisement et Reboisement)</t>
  </si>
  <si>
    <t>Risque incendie (Toutes les méthodes)</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</si>
  <si>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</si>
  <si>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</si>
  <si>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</si>
  <si>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</si>
  <si>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</si>
  <si>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</si>
  <si>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 xml:space="preserve">Peuplement incendié ou nettoyage et préparation du sol </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</si>
  <si>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</si>
  <si>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</si>
  <si>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</si>
  <si>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</si>
  <si>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</si>
  <si>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</si>
  <si>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</si>
  <si>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</si>
  <si>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</si>
  <si>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</si>
  <si>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</si>
  <si>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</si>
  <si>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</si>
  <si>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</si>
  <si>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</si>
  <si>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</si>
  <si>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</si>
  <si>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</si>
  <si>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</si>
  <si>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</si>
  <si>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</si>
  <si>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</si>
  <si>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</si>
  <si>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</si>
  <si>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</si>
  <si>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</si>
  <si>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</si>
  <si>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</si>
  <si>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</si>
  <si>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Bois Mort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</si>
  <si>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</si>
  <si>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</si>
  <si>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</si>
  <si>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</si>
  <si>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</si>
  <si>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Volume total Bois de sciage (n) (en m3/ha)</t>
  </si>
  <si>
    <t>Volume total Panneaux de bois (n) (en m3/ha)</t>
  </si>
  <si>
    <t>Volume total Papier (n) (en m3/ha)</t>
  </si>
  <si>
    <t>Volume total Piquet (n) (en m3/ha)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</si>
  <si>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</si>
  <si>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</si>
  <si>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</si>
  <si>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</si>
  <si>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</si>
  <si>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</si>
  <si>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</si>
  <si>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</si>
  <si>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</si>
  <si>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Piquet (n) (en tC/ha)</t>
  </si>
  <si>
    <t>Dégradation des piquets déjà récoltés (en tC/ha)</t>
  </si>
  <si>
    <t>Flux entrant de carbone en piquets au cours de l'année n et dégradation (en tC/ha)</t>
  </si>
  <si>
    <t>C projet (n) (en tC/ha)</t>
  </si>
  <si>
    <t>C réf (n) (en tC/ha)</t>
  </si>
  <si>
    <t>C projet (n) - C réf (n) (en tC/ha)</t>
  </si>
  <si>
    <t>Volume bois BO (en m3/ha)</t>
  </si>
  <si>
    <t>Volume bois BI (papier) (en m3/ha)</t>
  </si>
  <si>
    <t>Volume bois BI (panneaux) (en m3/ha)</t>
  </si>
  <si>
    <t>Volume bois BE (en m3/ha)</t>
  </si>
  <si>
    <t>CS*Flux projet (n) (en TCO2/ha)</t>
  </si>
  <si>
    <t>Flux projet (n) (en m3/ha)</t>
  </si>
  <si>
    <t>Flux réf (n) (en m3/ha)</t>
  </si>
  <si>
    <t>CS*Flux réf (n) (en TCO2/ha)</t>
  </si>
  <si>
    <t>CSp*Flux projet (n) - CSr*Flux réf (n) (en tCO2/ha)</t>
  </si>
  <si>
    <t>stockage de carbone moyen sur 30 ans dans les produits dans le projet par rapport au scénario de référence (tCO2/ha)</t>
  </si>
  <si>
    <t>stockage de carbone moyen sur 30 ans dans les produits dans le projet par rapport au scénario de référence (tCO2)</t>
  </si>
  <si>
    <t>stockage de carbone moyen sur la durée de révolutions des essences dans les produits dans le projet par rapport au scénario de référence (tCO2/ha)</t>
  </si>
  <si>
    <t>stockage de carbone moyen sur la durée de révolutions des essences dans les produits dans le projet par rapport au scénario de référence (tCO2)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</si>
</sst>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8" x14ac:knownFonts="1">
    <font>
      <sz val="11"/>
      <color theme="1"/>
      <name val="Calibri"/>
      <family val="2"/>
      <scheme val="minor"/>
    </font>
    <font>
      <b/>
      <sz val="11"/>
      <color theme="1"/>
      <name val="Calibri"/>
      <family val="2"/>
      <scheme val="minor"/>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99FF99"/>
        <bgColor indexed="64"/>
      </patternFill>
    </fill>
    <fill>
      <patternFill patternType="solid">
        <fgColor rgb="FFD5FFD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s>
  <borders count="5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s>
  <cellStyleXfs count="1">
    <xf numFmtId="0" fontId="0" fillId="0" borderId="0"/>
  </cellStyleXfs>
  <cellXfs count="207">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0" borderId="3" xfId="0" applyFill="1" applyBorder="1"/>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19"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3" fillId="0" borderId="0" xfId="0" applyFont="1" applyFill="1" applyBorder="1" applyAlignment="1">
      <alignment vertical="center" wrapText="1"/>
    </xf>
    <xf numFmtId="0" fontId="3" fillId="5" borderId="20" xfId="0" applyFont="1" applyFill="1" applyBorder="1" applyAlignment="1">
      <alignment vertical="center" wrapText="1"/>
    </xf>
    <xf numFmtId="0" fontId="0" fillId="7" borderId="9" xfId="0" applyFill="1" applyBorder="1" applyAlignment="1">
      <alignment horizontal="center"/>
    </xf>
    <xf numFmtId="0" fontId="0" fillId="0" borderId="10" xfId="0" applyFill="1" applyBorder="1"/>
    <xf numFmtId="0" fontId="0" fillId="4" borderId="6" xfId="0" applyFill="1" applyBorder="1" applyAlignment="1">
      <alignment horizontal="center" vertical="center" wrapText="1"/>
    </xf>
    <xf numFmtId="0" fontId="0" fillId="0" borderId="18" xfId="0" applyFill="1" applyBorder="1" applyAlignment="1">
      <alignment horizontal="center" vertical="center"/>
    </xf>
    <xf numFmtId="0" fontId="0" fillId="7" borderId="11" xfId="0" applyFill="1" applyBorder="1" applyAlignment="1">
      <alignment horizontal="center" vertical="center"/>
    </xf>
    <xf numFmtId="0" fontId="0" fillId="7" borderId="24" xfId="0" applyFill="1" applyBorder="1" applyAlignment="1">
      <alignment horizontal="center" vertical="center"/>
    </xf>
    <xf numFmtId="0" fontId="0" fillId="0" borderId="25" xfId="0" applyFill="1" applyBorder="1" applyAlignment="1">
      <alignment horizontal="center" vertical="center"/>
    </xf>
    <xf numFmtId="0" fontId="0" fillId="3" borderId="23" xfId="0" applyFill="1" applyBorder="1" applyAlignment="1">
      <alignment horizontal="center" vertical="center"/>
    </xf>
    <xf numFmtId="0" fontId="0" fillId="7" borderId="7" xfId="0" applyFill="1" applyBorder="1" applyAlignment="1">
      <alignment horizontal="center" vertical="center"/>
    </xf>
    <xf numFmtId="0" fontId="0" fillId="7" borderId="26" xfId="0" applyFill="1" applyBorder="1" applyAlignment="1">
      <alignment horizontal="center" vertical="center"/>
    </xf>
    <xf numFmtId="164" fontId="0" fillId="7" borderId="21"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3" fillId="5" borderId="4" xfId="0" applyFont="1" applyFill="1" applyBorder="1" applyAlignment="1">
      <alignment horizontal="center" vertical="center" wrapText="1"/>
    </xf>
    <xf numFmtId="0" fontId="4" fillId="5" borderId="20"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1"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8" borderId="6" xfId="0" applyFill="1" applyBorder="1" applyAlignment="1">
      <alignment vertical="center" wrapText="1"/>
    </xf>
    <xf numFmtId="0" fontId="1" fillId="8" borderId="6" xfId="0" applyFont="1" applyFill="1" applyBorder="1" applyAlignment="1">
      <alignment horizontal="center" vertical="center" wrapText="1"/>
    </xf>
    <xf numFmtId="0" fontId="0" fillId="0" borderId="29" xfId="0"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1" fillId="7" borderId="16" xfId="0" applyFont="1" applyFill="1" applyBorder="1" applyAlignment="1">
      <alignment horizontal="center" vertical="center"/>
    </xf>
    <xf numFmtId="0" fontId="3" fillId="0" borderId="30" xfId="0" applyFont="1" applyBorder="1" applyAlignment="1">
      <alignment horizontal="center" vertical="center" wrapText="1"/>
    </xf>
    <xf numFmtId="0" fontId="3" fillId="5"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Alignment="1">
      <alignment wrapText="1"/>
    </xf>
    <xf numFmtId="0" fontId="3" fillId="2" borderId="20"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164" fontId="0" fillId="0" borderId="7" xfId="0" applyNumberFormat="1" applyFill="1" applyBorder="1" applyAlignment="1">
      <alignment horizontal="center" vertical="center"/>
    </xf>
    <xf numFmtId="0" fontId="0" fillId="0" borderId="26" xfId="0" applyFill="1" applyBorder="1" applyAlignment="1">
      <alignment horizontal="center" vertical="center" wrapText="1"/>
    </xf>
    <xf numFmtId="0" fontId="0" fillId="7" borderId="21" xfId="0" applyFill="1" applyBorder="1" applyAlignment="1">
      <alignment horizontal="center" vertical="center" wrapText="1"/>
    </xf>
    <xf numFmtId="0" fontId="0" fillId="7" borderId="21" xfId="0" applyFill="1" applyBorder="1" applyAlignment="1">
      <alignment horizontal="center" vertical="center"/>
    </xf>
    <xf numFmtId="0" fontId="0" fillId="7" borderId="18" xfId="0" applyFill="1" applyBorder="1" applyAlignment="1">
      <alignment horizontal="center" vertical="center"/>
    </xf>
    <xf numFmtId="164" fontId="0" fillId="7" borderId="27" xfId="0" applyNumberFormat="1" applyFill="1" applyBorder="1" applyAlignment="1">
      <alignment horizontal="center" vertical="center"/>
    </xf>
    <xf numFmtId="0" fontId="0" fillId="0" borderId="18" xfId="0" applyFill="1" applyBorder="1" applyAlignment="1">
      <alignment horizontal="center" vertical="center" wrapText="1"/>
    </xf>
    <xf numFmtId="0" fontId="0" fillId="7" borderId="27"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2"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3" fillId="2" borderId="32" xfId="0" applyFont="1" applyFill="1" applyBorder="1" applyAlignment="1">
      <alignment horizontal="center" vertical="center"/>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1" fillId="10" borderId="30" xfId="0" applyFont="1" applyFill="1" applyBorder="1" applyAlignment="1">
      <alignment horizontal="center" vertical="center" wrapText="1"/>
    </xf>
    <xf numFmtId="0" fontId="0" fillId="4" borderId="46"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7" xfId="0" applyFill="1" applyBorder="1" applyAlignment="1">
      <alignment horizontal="center" vertical="center" wrapText="1"/>
    </xf>
    <xf numFmtId="0" fontId="1" fillId="10" borderId="4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14" xfId="0" applyFill="1" applyBorder="1" applyAlignment="1">
      <alignment horizontal="center" vertical="center" wrapText="1"/>
    </xf>
    <xf numFmtId="0" fontId="3" fillId="2" borderId="30" xfId="0" applyFont="1" applyFill="1" applyBorder="1" applyAlignment="1">
      <alignment horizontal="center" vertical="center" wrapText="1"/>
    </xf>
    <xf numFmtId="0" fontId="0" fillId="4" borderId="31"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33"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0" xfId="0" applyFill="1" applyBorder="1" applyAlignment="1">
      <alignment horizontal="center" vertical="center" wrapText="1"/>
    </xf>
    <xf numFmtId="0" fontId="3" fillId="2" borderId="23" xfId="0" applyFont="1" applyFill="1" applyBorder="1" applyAlignment="1">
      <alignment horizontal="center" vertical="center"/>
    </xf>
    <xf numFmtId="0" fontId="0" fillId="13"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165" fontId="0" fillId="7" borderId="5" xfId="0" applyNumberFormat="1" applyFill="1" applyBorder="1" applyAlignment="1">
      <alignment horizontal="center" vertical="center"/>
    </xf>
    <xf numFmtId="165" fontId="0" fillId="7" borderId="9" xfId="0" applyNumberFormat="1" applyFill="1"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28" xfId="0" applyFill="1" applyBorder="1" applyAlignment="1">
      <alignment vertical="center" wrapText="1"/>
    </xf>
    <xf numFmtId="1" fontId="0" fillId="7" borderId="9" xfId="0" applyNumberFormat="1" applyFill="1" applyBorder="1" applyAlignment="1">
      <alignment horizontal="center" vertical="center"/>
    </xf>
    <xf numFmtId="165" fontId="0" fillId="7" borderId="11" xfId="0" applyNumberFormat="1" applyFill="1" applyBorder="1" applyAlignment="1">
      <alignment horizontal="center" vertical="center"/>
    </xf>
    <xf numFmtId="0" fontId="0" fillId="3" borderId="5" xfId="0" applyFill="1" applyBorder="1" applyAlignment="1">
      <alignment horizontal="center" vertical="center"/>
    </xf>
    <xf numFmtId="1" fontId="0" fillId="7" borderId="21" xfId="0" applyNumberFormat="1" applyFill="1" applyBorder="1" applyAlignment="1">
      <alignment horizontal="center" vertical="center"/>
    </xf>
    <xf numFmtId="0" fontId="0" fillId="0" borderId="0" xfId="0" applyBorder="1"/>
    <xf numFmtId="0" fontId="0" fillId="7" borderId="21" xfId="0" applyFill="1" applyBorder="1" applyAlignment="1">
      <alignment horizontal="center"/>
    </xf>
    <xf numFmtId="0" fontId="0" fillId="0" borderId="9" xfId="0" applyBorder="1" applyAlignment="1">
      <alignment horizontal="center" vertical="center" wrapText="1"/>
    </xf>
    <xf numFmtId="0" fontId="0" fillId="14" borderId="3" xfId="0" applyFill="1" applyBorder="1" applyAlignment="1">
      <alignment horizontal="center" vertical="center"/>
    </xf>
    <xf numFmtId="0" fontId="0" fillId="0" borderId="10" xfId="0" applyFill="1" applyBorder="1" applyAlignment="1">
      <alignment horizontal="center" vertical="center"/>
    </xf>
    <xf numFmtId="165" fontId="0" fillId="9" borderId="23" xfId="0" applyNumberFormat="1" applyFill="1" applyBorder="1" applyAlignment="1">
      <alignment horizontal="center" vertical="center"/>
    </xf>
    <xf numFmtId="0" fontId="3" fillId="0" borderId="0" xfId="0" applyFont="1" applyFill="1" applyBorder="1" applyAlignment="1">
      <alignment horizontal="center" vertical="center" wrapText="1"/>
    </xf>
    <xf numFmtId="0" fontId="3" fillId="0" borderId="42" xfId="0" applyFont="1" applyBorder="1" applyAlignment="1">
      <alignment horizontal="center" vertical="center" wrapText="1"/>
    </xf>
    <xf numFmtId="165" fontId="0" fillId="0" borderId="0" xfId="0" applyNumberFormat="1" applyFill="1" applyBorder="1" applyAlignment="1">
      <alignment horizontal="center" vertical="center"/>
    </xf>
    <xf numFmtId="164" fontId="0" fillId="7" borderId="10" xfId="0" applyNumberFormat="1" applyFill="1" applyBorder="1" applyAlignment="1">
      <alignment horizontal="center" vertical="center"/>
    </xf>
    <xf numFmtId="0" fontId="0" fillId="0" borderId="0" xfId="0" applyFill="1" applyAlignment="1">
      <alignment wrapText="1"/>
    </xf>
    <xf numFmtId="165" fontId="5" fillId="9" borderId="23" xfId="0" applyNumberFormat="1" applyFont="1" applyFill="1" applyBorder="1" applyAlignment="1">
      <alignment horizontal="left" vertical="center" indent="4"/>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165" fontId="0" fillId="7" borderId="7" xfId="0" applyNumberFormat="1" applyFill="1" applyBorder="1" applyAlignment="1">
      <alignment horizontal="center" vertical="center"/>
    </xf>
    <xf numFmtId="0" fontId="0" fillId="0" borderId="52" xfId="0" applyBorder="1"/>
    <xf numFmtId="1" fontId="0" fillId="0" borderId="3" xfId="0" applyNumberFormat="1" applyFill="1" applyBorder="1" applyAlignment="1">
      <alignment horizontal="center" vertical="center"/>
    </xf>
    <xf numFmtId="1" fontId="0" fillId="0" borderId="7" xfId="0" applyNumberFormat="1" applyFill="1" applyBorder="1" applyAlignment="1">
      <alignment horizontal="center" vertical="center"/>
    </xf>
    <xf numFmtId="165" fontId="3" fillId="9" borderId="5" xfId="0" applyNumberFormat="1" applyFont="1" applyFill="1" applyBorder="1" applyAlignment="1">
      <alignment horizontal="center" vertical="center" wrapText="1"/>
    </xf>
    <xf numFmtId="165" fontId="3" fillId="9" borderId="7" xfId="0" applyNumberFormat="1" applyFont="1" applyFill="1" applyBorder="1" applyAlignment="1">
      <alignment horizontal="center" vertical="center" wrapText="1"/>
    </xf>
    <xf numFmtId="165" fontId="0" fillId="11" borderId="5" xfId="0" applyNumberFormat="1" applyFill="1" applyBorder="1" applyAlignment="1">
      <alignment horizontal="center" vertical="center"/>
    </xf>
    <xf numFmtId="165" fontId="0" fillId="11" borderId="9" xfId="0" applyNumberFormat="1" applyFill="1" applyBorder="1" applyAlignment="1">
      <alignment horizontal="center" vertical="center"/>
    </xf>
    <xf numFmtId="0" fontId="3" fillId="15" borderId="6" xfId="0" applyFont="1" applyFill="1" applyBorder="1" applyAlignment="1">
      <alignment horizontal="center" vertical="center" wrapText="1"/>
    </xf>
    <xf numFmtId="165" fontId="3" fillId="15" borderId="7" xfId="0" applyNumberFormat="1" applyFont="1" applyFill="1" applyBorder="1" applyAlignment="1">
      <alignment horizontal="center" vertical="center" wrapText="1"/>
    </xf>
    <xf numFmtId="0" fontId="3" fillId="15" borderId="8" xfId="0" applyFont="1" applyFill="1" applyBorder="1" applyAlignment="1">
      <alignment horizontal="center" vertical="center" wrapText="1"/>
    </xf>
    <xf numFmtId="165" fontId="3" fillId="15" borderId="9" xfId="0" applyNumberFormat="1" applyFont="1" applyFill="1" applyBorder="1" applyAlignment="1">
      <alignment horizontal="center" vertical="center" wrapText="1"/>
    </xf>
    <xf numFmtId="0" fontId="7" fillId="7" borderId="3" xfId="0" applyFont="1" applyFill="1" applyBorder="1" applyAlignment="1">
      <alignment horizontal="center" vertical="center"/>
    </xf>
    <xf numFmtId="165" fontId="0" fillId="7" borderId="10" xfId="0" applyNumberFormat="1" applyFill="1" applyBorder="1" applyAlignment="1">
      <alignment horizontal="center" vertical="center"/>
    </xf>
    <xf numFmtId="0" fontId="0" fillId="0" borderId="10" xfId="0" applyBorder="1" applyAlignment="1">
      <alignment horizontal="center" vertical="center"/>
    </xf>
    <xf numFmtId="0" fontId="1" fillId="6" borderId="54" xfId="0" applyFont="1" applyFill="1" applyBorder="1" applyAlignment="1">
      <alignment vertical="center" wrapText="1"/>
    </xf>
    <xf numFmtId="0" fontId="1" fillId="6" borderId="53" xfId="0" applyFont="1" applyFill="1" applyBorder="1" applyAlignment="1">
      <alignment vertical="center" wrapText="1"/>
    </xf>
    <xf numFmtId="165" fontId="0" fillId="0" borderId="55" xfId="0" applyNumberFormat="1" applyFill="1" applyBorder="1" applyAlignment="1">
      <alignment horizontal="center" vertical="center"/>
    </xf>
    <xf numFmtId="0" fontId="1" fillId="0" borderId="1" xfId="0" applyFont="1" applyFill="1" applyBorder="1" applyAlignment="1">
      <alignment vertical="center" wrapText="1"/>
    </xf>
    <xf numFmtId="0" fontId="1" fillId="0" borderId="56" xfId="0" applyFont="1" applyFill="1" applyBorder="1" applyAlignment="1">
      <alignment vertical="center" wrapText="1"/>
    </xf>
    <xf numFmtId="0" fontId="0" fillId="0" borderId="57" xfId="0" applyFill="1" applyBorder="1" applyAlignment="1">
      <alignment horizontal="center" vertical="center"/>
    </xf>
    <xf numFmtId="0" fontId="0" fillId="0" borderId="52" xfId="0" applyFill="1" applyBorder="1" applyAlignment="1">
      <alignment horizontal="center" vertical="center"/>
    </xf>
    <xf numFmtId="1" fontId="0" fillId="16" borderId="9" xfId="0" applyNumberFormat="1" applyFill="1" applyBorder="1" applyAlignment="1">
      <alignment horizontal="center" vertical="center"/>
    </xf>
    <xf numFmtId="165" fontId="0" fillId="16" borderId="5" xfId="0" applyNumberFormat="1" applyFill="1" applyBorder="1" applyAlignment="1">
      <alignment horizontal="center" vertical="center"/>
    </xf>
    <xf numFmtId="0" fontId="0" fillId="0" borderId="56" xfId="0" applyFill="1" applyBorder="1"/>
    <xf numFmtId="164" fontId="0" fillId="0" borderId="55" xfId="0" applyNumberFormat="1" applyFill="1" applyBorder="1" applyAlignment="1">
      <alignment horizontal="center" vertical="center"/>
    </xf>
    <xf numFmtId="0" fontId="0" fillId="0" borderId="55" xfId="0" applyFill="1" applyBorder="1" applyAlignment="1">
      <alignment horizontal="center" vertical="center"/>
    </xf>
    <xf numFmtId="0" fontId="0" fillId="0" borderId="55" xfId="0" applyFill="1" applyBorder="1"/>
    <xf numFmtId="0" fontId="0" fillId="0" borderId="52" xfId="0" applyFill="1" applyBorder="1"/>
    <xf numFmtId="0" fontId="0" fillId="7" borderId="27" xfId="0" applyFill="1" applyBorder="1" applyAlignment="1">
      <alignment horizontal="center" vertical="center"/>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4" fontId="0" fillId="7" borderId="34" xfId="0" applyNumberFormat="1" applyFill="1" applyBorder="1" applyAlignment="1">
      <alignment horizontal="center" vertical="center"/>
    </xf>
    <xf numFmtId="0" fontId="0" fillId="0" borderId="27" xfId="0" applyFill="1" applyBorder="1" applyAlignment="1">
      <alignment horizontal="center" vertical="center"/>
    </xf>
    <xf numFmtId="0" fontId="0" fillId="0" borderId="1" xfId="0" applyBorder="1"/>
    <xf numFmtId="0" fontId="0" fillId="0" borderId="56" xfId="0" applyBorder="1"/>
    <xf numFmtId="0" fontId="0" fillId="14" borderId="10" xfId="0" applyFill="1" applyBorder="1" applyAlignment="1">
      <alignment horizontal="center" vertical="center"/>
    </xf>
    <xf numFmtId="0" fontId="0" fillId="14" borderId="7" xfId="0" applyFill="1" applyBorder="1" applyAlignment="1">
      <alignment horizontal="center" vertical="center"/>
    </xf>
    <xf numFmtId="0" fontId="0" fillId="5" borderId="6" xfId="0" applyFill="1" applyBorder="1" applyAlignment="1">
      <alignment vertical="center" wrapText="1"/>
    </xf>
    <xf numFmtId="0" fontId="0" fillId="6" borderId="47" xfId="0" applyFill="1" applyBorder="1" applyAlignment="1">
      <alignment horizontal="center" vertical="center" wrapText="1"/>
    </xf>
    <xf numFmtId="0" fontId="0" fillId="6" borderId="5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37" xfId="0" applyFont="1" applyFill="1" applyBorder="1" applyAlignment="1">
      <alignment horizontal="left" vertical="center" wrapText="1"/>
    </xf>
    <xf numFmtId="0" fontId="1" fillId="6" borderId="35" xfId="0" applyFont="1" applyFill="1" applyBorder="1" applyAlignment="1">
      <alignment horizontal="left" vertical="center" wrapText="1"/>
    </xf>
    <xf numFmtId="0" fontId="1" fillId="6" borderId="36"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0" fillId="4" borderId="17"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28" xfId="0" applyFill="1" applyBorder="1" applyAlignment="1">
      <alignment horizontal="center" vertical="center" wrapText="1"/>
    </xf>
    <xf numFmtId="0" fontId="1" fillId="6" borderId="1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0" fillId="4" borderId="38" xfId="0"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10" borderId="50" xfId="0" applyFont="1" applyFill="1" applyBorder="1" applyAlignment="1">
      <alignment horizontal="center" vertical="center" wrapText="1"/>
    </xf>
    <xf numFmtId="0" fontId="1" fillId="10" borderId="41" xfId="0" applyFont="1" applyFill="1" applyBorder="1" applyAlignment="1">
      <alignment horizontal="center" vertical="center" wrapText="1"/>
    </xf>
    <xf numFmtId="0" fontId="1" fillId="10" borderId="42" xfId="0" applyFont="1" applyFill="1" applyBorder="1" applyAlignment="1">
      <alignment horizontal="center" vertical="center" wrapText="1"/>
    </xf>
  </cellXfs>
  <cellStyles count="1">
    <cellStyle name="Normal"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48"/>
  <sheetViews>
    <sheetView zoomScale="73" zoomScaleNormal="78" workbookViewId="0">
      <pane xSplit="1" topLeftCell="B1" activePane="topRight" state="frozen"/>
      <selection activeCell="A7" sqref="A7"/>
      <selection pane="topRight" activeCell="B5" sqref="B5"/>
    </sheetView>
  </sheetViews>
  <sheetFormatPr baseColWidth="10" defaultRowHeight="14.5" x14ac:dyDescent="0.35"/>
  <cols>
    <col min="1" max="1" width="32.08984375" style="1" customWidth="1"/>
    <col min="2" max="2" width="19.90625" customWidth="1"/>
    <col min="4" max="4" width="13.1796875" customWidth="1"/>
    <col min="13" max="14" width="11.81640625" bestFit="1" customWidth="1"/>
    <col min="17" max="17" width="11.81640625" bestFit="1" customWidth="1"/>
  </cols>
  <sheetData>
    <row r="1" spans="1:4" x14ac:dyDescent="0.35">
      <c r="D1" s="131"/>
    </row>
    <row r="4" spans="1:4" ht="15" thickBot="1" x14ac:dyDescent="0.4">
      <c r="B4" s="9"/>
    </row>
    <row r="5" spans="1:4" ht="37.5" thickBot="1" x14ac:dyDescent="0.4">
      <c r="A5" s="38" t="s">
        <v>193</v>
      </c>
      <c r="B5" s="132">
        <f>IF(B11&gt;=30,MIN(B41,((1/B11)*(SUM(C21:AF21)))-((1/B13)*(SUM(C28:AP28)))),((1/B11)*(SUM(C21:AF21)))-((1/B13)*(SUM(C28:AP28))))</f>
        <v>112.25767188683312</v>
      </c>
    </row>
    <row r="6" spans="1:4" ht="37.5" thickBot="1" x14ac:dyDescent="0.4">
      <c r="A6" s="38" t="s">
        <v>169</v>
      </c>
      <c r="B6" s="132">
        <f>B5*B10</f>
        <v>561.28835943416561</v>
      </c>
    </row>
    <row r="8" spans="1:4" ht="15" thickBot="1" x14ac:dyDescent="0.4"/>
    <row r="9" spans="1:4" ht="15" thickBot="1" x14ac:dyDescent="0.4">
      <c r="A9" s="176" t="s">
        <v>14</v>
      </c>
      <c r="B9" s="177"/>
    </row>
    <row r="10" spans="1:4" x14ac:dyDescent="0.35">
      <c r="A10" s="2" t="s">
        <v>7</v>
      </c>
      <c r="B10" s="109">
        <v>5</v>
      </c>
    </row>
    <row r="11" spans="1:4" x14ac:dyDescent="0.35">
      <c r="A11" s="3" t="s">
        <v>15</v>
      </c>
      <c r="B11" s="110">
        <v>30</v>
      </c>
    </row>
    <row r="12" spans="1:4" x14ac:dyDescent="0.35">
      <c r="A12" s="3" t="s">
        <v>19</v>
      </c>
      <c r="B12" s="110" t="s">
        <v>21</v>
      </c>
    </row>
    <row r="13" spans="1:4" ht="18.5" customHeight="1" x14ac:dyDescent="0.35">
      <c r="A13" s="3" t="s">
        <v>16</v>
      </c>
      <c r="B13" s="110">
        <v>40</v>
      </c>
    </row>
    <row r="14" spans="1:4" ht="18.5" customHeight="1" x14ac:dyDescent="0.35">
      <c r="A14" s="3" t="s">
        <v>89</v>
      </c>
      <c r="B14" s="110" t="s">
        <v>20</v>
      </c>
    </row>
    <row r="15" spans="1:4" x14ac:dyDescent="0.35">
      <c r="A15" s="3" t="s">
        <v>17</v>
      </c>
      <c r="B15" s="30">
        <v>30</v>
      </c>
    </row>
    <row r="16" spans="1:4" ht="44" thickBot="1" x14ac:dyDescent="0.4">
      <c r="A16" s="4" t="s">
        <v>173</v>
      </c>
      <c r="B16" s="123" t="s">
        <v>171</v>
      </c>
    </row>
    <row r="17" spans="1:177" ht="15" thickBot="1" x14ac:dyDescent="0.4"/>
    <row r="18" spans="1:177" s="5" customFormat="1" ht="15.5" x14ac:dyDescent="0.35">
      <c r="A18" s="180" t="s">
        <v>0</v>
      </c>
      <c r="B18" s="181"/>
      <c r="C18" s="181"/>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2"/>
      <c r="AQ18" s="20"/>
      <c r="AR18" s="20"/>
      <c r="AS18" s="20"/>
      <c r="AT18" s="20"/>
      <c r="AU18" s="20"/>
      <c r="AV18" s="20"/>
      <c r="AW18" s="20"/>
      <c r="AX18" s="20"/>
      <c r="AY18" s="20"/>
      <c r="AZ18" s="20"/>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29.5" thickBot="1" x14ac:dyDescent="0.4">
      <c r="A19" s="3" t="s">
        <v>100</v>
      </c>
      <c r="B19" s="13">
        <v>0</v>
      </c>
      <c r="C19" s="13">
        <v>1</v>
      </c>
      <c r="D19" s="13">
        <v>2</v>
      </c>
      <c r="E19" s="13">
        <v>3</v>
      </c>
      <c r="F19" s="13">
        <v>4</v>
      </c>
      <c r="G19" s="13">
        <v>5</v>
      </c>
      <c r="H19" s="13">
        <v>6</v>
      </c>
      <c r="I19" s="13">
        <v>7</v>
      </c>
      <c r="J19" s="13">
        <v>8</v>
      </c>
      <c r="K19" s="13">
        <v>9</v>
      </c>
      <c r="L19" s="13">
        <v>10</v>
      </c>
      <c r="M19" s="124">
        <v>11</v>
      </c>
      <c r="N19" s="13">
        <v>12</v>
      </c>
      <c r="O19" s="13">
        <v>13</v>
      </c>
      <c r="P19" s="13">
        <v>14</v>
      </c>
      <c r="Q19" s="13">
        <v>15</v>
      </c>
      <c r="R19" s="13">
        <v>16</v>
      </c>
      <c r="S19" s="124">
        <v>17</v>
      </c>
      <c r="T19" s="13">
        <v>18</v>
      </c>
      <c r="U19" s="13">
        <v>19</v>
      </c>
      <c r="V19" s="13">
        <v>20</v>
      </c>
      <c r="W19" s="124">
        <v>21</v>
      </c>
      <c r="X19" s="13">
        <v>22</v>
      </c>
      <c r="Y19" s="13">
        <v>23</v>
      </c>
      <c r="Z19" s="13">
        <v>24</v>
      </c>
      <c r="AA19" s="13">
        <v>25</v>
      </c>
      <c r="AB19" s="13">
        <v>26</v>
      </c>
      <c r="AC19" s="13">
        <v>27</v>
      </c>
      <c r="AD19" s="13">
        <v>28</v>
      </c>
      <c r="AE19" s="13">
        <v>29</v>
      </c>
      <c r="AF19" s="171">
        <v>30</v>
      </c>
      <c r="AG19" s="70">
        <v>31</v>
      </c>
      <c r="AH19" s="15">
        <v>32</v>
      </c>
      <c r="AI19" s="70">
        <v>33</v>
      </c>
      <c r="AJ19" s="15">
        <v>34</v>
      </c>
      <c r="AK19" s="70">
        <v>35</v>
      </c>
      <c r="AL19" s="70">
        <v>36</v>
      </c>
      <c r="AM19" s="70">
        <v>37</v>
      </c>
      <c r="AN19" s="70">
        <v>38</v>
      </c>
      <c r="AO19" s="26">
        <v>39</v>
      </c>
      <c r="AP19" s="49">
        <v>40</v>
      </c>
      <c r="AQ19" s="16"/>
      <c r="AR19" s="16"/>
      <c r="AS19" s="16"/>
      <c r="AT19" s="16"/>
      <c r="AU19" s="16"/>
      <c r="AV19" s="16"/>
      <c r="AW19" s="16"/>
      <c r="AX19" s="16"/>
      <c r="AY19" s="16"/>
      <c r="AZ19" s="16"/>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5" customFormat="1" x14ac:dyDescent="0.35">
      <c r="A20" s="151" t="s">
        <v>3</v>
      </c>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3"/>
      <c r="AH20" s="154"/>
      <c r="AI20" s="154"/>
      <c r="AJ20" s="154"/>
      <c r="AK20" s="154"/>
      <c r="AL20" s="154"/>
      <c r="AM20" s="154"/>
      <c r="AN20" s="154"/>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3" t="s">
        <v>204</v>
      </c>
      <c r="B21" s="114">
        <f t="shared" ref="B21:AF21" si="0">(((B22+B24)*$B$34)+$B$39+B25+B26)*(44/12)</f>
        <v>256.66666666666663</v>
      </c>
      <c r="C21" s="114">
        <f t="shared" si="0"/>
        <v>263.5702044318794</v>
      </c>
      <c r="D21" s="114">
        <f t="shared" si="0"/>
        <v>270.2139978518328</v>
      </c>
      <c r="E21" s="114">
        <f t="shared" si="0"/>
        <v>282.05988541238855</v>
      </c>
      <c r="F21" s="114">
        <f t="shared" si="0"/>
        <v>298.99114875976375</v>
      </c>
      <c r="G21" s="114">
        <f t="shared" si="0"/>
        <v>309.27225097810481</v>
      </c>
      <c r="H21" s="114">
        <f>(((H22+H24)*$B$34)+$B$39+H25+H26)*(44/12)</f>
        <v>319.50607148962092</v>
      </c>
      <c r="I21" s="114">
        <f t="shared" si="0"/>
        <v>329.70141279297388</v>
      </c>
      <c r="J21" s="114">
        <f t="shared" si="0"/>
        <v>339.86440617600442</v>
      </c>
      <c r="K21" s="114">
        <f t="shared" si="0"/>
        <v>349.99955821327131</v>
      </c>
      <c r="L21" s="114">
        <f t="shared" si="0"/>
        <v>360.11031526747962</v>
      </c>
      <c r="M21" s="114">
        <f t="shared" si="0"/>
        <v>370.19939454243377</v>
      </c>
      <c r="N21" s="114">
        <f t="shared" si="0"/>
        <v>365.53625006586924</v>
      </c>
      <c r="O21" s="114">
        <f>(((O22+O24)*$B$34)+$B$39+O25+O26)*(44/12)</f>
        <v>389.49348781199433</v>
      </c>
      <c r="P21" s="114">
        <f t="shared" si="0"/>
        <v>414.6600540030355</v>
      </c>
      <c r="Q21" s="114">
        <f t="shared" si="0"/>
        <v>440.83938057925411</v>
      </c>
      <c r="R21" s="114">
        <f t="shared" si="0"/>
        <v>467.59040846645479</v>
      </c>
      <c r="S21" s="114">
        <f t="shared" si="0"/>
        <v>494.84209034871998</v>
      </c>
      <c r="T21" s="114">
        <f t="shared" si="0"/>
        <v>462.83152622469663</v>
      </c>
      <c r="U21" s="114">
        <f t="shared" si="0"/>
        <v>486.54224226040748</v>
      </c>
      <c r="V21" s="114">
        <f t="shared" si="0"/>
        <v>510.40911836131971</v>
      </c>
      <c r="W21" s="114">
        <f t="shared" si="0"/>
        <v>534.31111088740772</v>
      </c>
      <c r="X21" s="114">
        <f t="shared" si="0"/>
        <v>492.78735761779006</v>
      </c>
      <c r="Y21" s="114">
        <f t="shared" si="0"/>
        <v>513.38661842651845</v>
      </c>
      <c r="Z21" s="114">
        <f t="shared" si="0"/>
        <v>533.89444831589765</v>
      </c>
      <c r="AA21" s="114">
        <f t="shared" si="0"/>
        <v>554.24181105985383</v>
      </c>
      <c r="AB21" s="114">
        <f t="shared" si="0"/>
        <v>573.77517566910262</v>
      </c>
      <c r="AC21" s="114">
        <f t="shared" si="0"/>
        <v>592.98791139320576</v>
      </c>
      <c r="AD21" s="114">
        <f t="shared" si="0"/>
        <v>611.83196043121734</v>
      </c>
      <c r="AE21" s="114">
        <f t="shared" si="0"/>
        <v>630.27625878230003</v>
      </c>
      <c r="AF21" s="148">
        <f t="shared" si="0"/>
        <v>648.29608045205555</v>
      </c>
      <c r="AG21" s="152"/>
      <c r="AH21" s="129"/>
      <c r="AI21" s="129"/>
      <c r="AJ21" s="129"/>
      <c r="AK21" s="129"/>
      <c r="AL21" s="129"/>
      <c r="AM21" s="129"/>
      <c r="AN21" s="129"/>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3" t="s">
        <v>200</v>
      </c>
      <c r="B22" s="114">
        <f>B23*$C$36</f>
        <v>0</v>
      </c>
      <c r="C22" s="114">
        <f t="shared" ref="C22:AF22" si="1">C23*$C$36</f>
        <v>2.3000000000000003</v>
      </c>
      <c r="D22" s="114">
        <f t="shared" si="1"/>
        <v>4.6000000000000005</v>
      </c>
      <c r="E22" s="114">
        <f>E23*$C$36</f>
        <v>9.2000000000000011</v>
      </c>
      <c r="F22" s="114">
        <f t="shared" si="1"/>
        <v>16.119307810836364</v>
      </c>
      <c r="G22" s="114">
        <f t="shared" si="1"/>
        <v>20.149134763545455</v>
      </c>
      <c r="H22" s="114">
        <f t="shared" si="1"/>
        <v>24.178961716254548</v>
      </c>
      <c r="I22" s="114">
        <f t="shared" si="1"/>
        <v>28.208788668963638</v>
      </c>
      <c r="J22" s="114">
        <f t="shared" si="1"/>
        <v>32.238615621672729</v>
      </c>
      <c r="K22" s="114">
        <f t="shared" si="1"/>
        <v>36.268442574381822</v>
      </c>
      <c r="L22" s="114">
        <f t="shared" si="1"/>
        <v>40.298269527090909</v>
      </c>
      <c r="M22" s="114">
        <f>M23*$C$36</f>
        <v>44.328096479800003</v>
      </c>
      <c r="N22" s="114">
        <f t="shared" si="1"/>
        <v>41.652257978600005</v>
      </c>
      <c r="O22" s="114">
        <f t="shared" si="1"/>
        <v>52.009794982000003</v>
      </c>
      <c r="P22" s="114">
        <f t="shared" si="1"/>
        <v>62.971831100000003</v>
      </c>
      <c r="Q22" s="114">
        <f t="shared" si="1"/>
        <v>74.44537029</v>
      </c>
      <c r="R22" s="114">
        <f t="shared" si="1"/>
        <v>86.224148966000001</v>
      </c>
      <c r="S22" s="114">
        <f t="shared" si="1"/>
        <v>98.271762820000006</v>
      </c>
      <c r="T22" s="114">
        <f t="shared" si="1"/>
        <v>82.89663542000001</v>
      </c>
      <c r="U22" s="114">
        <f t="shared" si="1"/>
        <v>93.294527538000011</v>
      </c>
      <c r="V22" s="114">
        <f t="shared" si="1"/>
        <v>103.79113929</v>
      </c>
      <c r="W22" s="114">
        <f t="shared" si="1"/>
        <v>114.32787228800001</v>
      </c>
      <c r="X22" s="114">
        <f t="shared" si="1"/>
        <v>94.488446957999997</v>
      </c>
      <c r="Y22" s="114">
        <f t="shared" si="1"/>
        <v>103.47132194400001</v>
      </c>
      <c r="Z22" s="114">
        <f t="shared" si="1"/>
        <v>112.42915729000001</v>
      </c>
      <c r="AA22" s="114">
        <f t="shared" si="1"/>
        <v>121.32811985800001</v>
      </c>
      <c r="AB22" s="114">
        <f t="shared" si="1"/>
        <v>129.86182743000001</v>
      </c>
      <c r="AC22" s="114">
        <f t="shared" si="1"/>
        <v>138.25807416800001</v>
      </c>
      <c r="AD22" s="114">
        <f t="shared" si="1"/>
        <v>146.49301679999999</v>
      </c>
      <c r="AE22" s="114">
        <f t="shared" si="1"/>
        <v>154.55083408600001</v>
      </c>
      <c r="AF22" s="148">
        <f t="shared" si="1"/>
        <v>162.41876475200002</v>
      </c>
      <c r="AG22" s="152"/>
      <c r="AH22" s="129"/>
      <c r="AI22" s="129"/>
      <c r="AJ22" s="129"/>
      <c r="AK22" s="129"/>
      <c r="AL22" s="129"/>
      <c r="AM22" s="129"/>
      <c r="AN22" s="129"/>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x14ac:dyDescent="0.35">
      <c r="A23" s="19" t="s">
        <v>155</v>
      </c>
      <c r="B23" s="111">
        <v>0</v>
      </c>
      <c r="C23" s="133">
        <f>5</f>
        <v>5</v>
      </c>
      <c r="D23" s="133">
        <f>10</f>
        <v>10</v>
      </c>
      <c r="E23" s="133">
        <f>20</f>
        <v>20</v>
      </c>
      <c r="F23" s="133">
        <f t="shared" ref="F23:L23" si="2">$M$23/11*F19</f>
        <v>35.041973501818184</v>
      </c>
      <c r="G23" s="133">
        <f t="shared" si="2"/>
        <v>43.802466877272728</v>
      </c>
      <c r="H23" s="133">
        <f t="shared" si="2"/>
        <v>52.562960252727279</v>
      </c>
      <c r="I23" s="133">
        <f t="shared" si="2"/>
        <v>61.323453628181824</v>
      </c>
      <c r="J23" s="133">
        <f t="shared" si="2"/>
        <v>70.083947003636368</v>
      </c>
      <c r="K23" s="133">
        <f t="shared" si="2"/>
        <v>78.844440379090912</v>
      </c>
      <c r="L23" s="133">
        <f t="shared" si="2"/>
        <v>87.604933754545456</v>
      </c>
      <c r="M23" s="133">
        <v>96.36542713</v>
      </c>
      <c r="N23" s="133">
        <v>90.548386910000005</v>
      </c>
      <c r="O23" s="133">
        <v>113.06477169999999</v>
      </c>
      <c r="P23" s="133">
        <v>136.895285</v>
      </c>
      <c r="Q23" s="133">
        <v>161.8377615</v>
      </c>
      <c r="R23" s="133">
        <v>187.4438021</v>
      </c>
      <c r="S23" s="133">
        <v>213.63426699999999</v>
      </c>
      <c r="T23" s="133">
        <v>180.21007700000001</v>
      </c>
      <c r="U23" s="133">
        <v>202.81419030000001</v>
      </c>
      <c r="V23" s="133">
        <v>225.63291150000001</v>
      </c>
      <c r="W23" s="133">
        <v>248.5388528</v>
      </c>
      <c r="X23" s="133">
        <v>205.4096673</v>
      </c>
      <c r="Y23" s="133">
        <v>224.93765640000001</v>
      </c>
      <c r="Z23" s="133">
        <v>244.41121150000001</v>
      </c>
      <c r="AA23" s="133">
        <v>263.7567823</v>
      </c>
      <c r="AB23" s="133">
        <v>282.30832049999998</v>
      </c>
      <c r="AC23" s="133">
        <v>300.56103080000003</v>
      </c>
      <c r="AD23" s="133">
        <v>318.46307999999999</v>
      </c>
      <c r="AE23" s="133">
        <v>335.98007410000002</v>
      </c>
      <c r="AF23" s="134">
        <v>353.08427119999999</v>
      </c>
      <c r="AG23" s="152"/>
      <c r="AH23" s="129"/>
      <c r="AI23" s="129"/>
      <c r="AJ23" s="129"/>
      <c r="AK23" s="129"/>
      <c r="AL23" s="129"/>
      <c r="AM23" s="129"/>
      <c r="AN23" s="129"/>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x14ac:dyDescent="0.35">
      <c r="A24" s="3" t="s">
        <v>201</v>
      </c>
      <c r="B24" s="13">
        <v>0</v>
      </c>
      <c r="C24" s="114">
        <f>EXP(-1.0587+0.8836*LN(C22)+0.284)</f>
        <v>0.96199935482711318</v>
      </c>
      <c r="D24" s="114">
        <f t="shared" ref="D24:AF24" si="3">EXP(-1.0587+0.8836*LN(D22)+0.284)</f>
        <v>1.7748632004143585</v>
      </c>
      <c r="E24" s="114">
        <f t="shared" si="3"/>
        <v>3.274575356395359</v>
      </c>
      <c r="F24" s="114">
        <f t="shared" si="3"/>
        <v>5.3748126891874932</v>
      </c>
      <c r="G24" s="114">
        <f t="shared" si="3"/>
        <v>6.5462565476471086</v>
      </c>
      <c r="H24" s="114">
        <f t="shared" si="3"/>
        <v>7.6905530146282643</v>
      </c>
      <c r="I24" s="114">
        <f t="shared" si="3"/>
        <v>8.8127561563483425</v>
      </c>
      <c r="J24" s="114">
        <f t="shared" si="3"/>
        <v>9.9163863294621759</v>
      </c>
      <c r="K24" s="114">
        <f t="shared" si="3"/>
        <v>11.00403104089358</v>
      </c>
      <c r="L24" s="114">
        <f t="shared" si="3"/>
        <v>12.077669063487537</v>
      </c>
      <c r="M24" s="114">
        <f t="shared" si="3"/>
        <v>13.138860514260845</v>
      </c>
      <c r="N24" s="114">
        <f t="shared" si="3"/>
        <v>12.435541102281842</v>
      </c>
      <c r="O24" s="114">
        <f t="shared" si="3"/>
        <v>15.131601528873945</v>
      </c>
      <c r="P24" s="114">
        <f t="shared" si="3"/>
        <v>17.917514101104896</v>
      </c>
      <c r="Q24" s="114">
        <f t="shared" si="3"/>
        <v>20.773412817705736</v>
      </c>
      <c r="R24" s="114">
        <f t="shared" si="3"/>
        <v>23.652321604851242</v>
      </c>
      <c r="S24" s="114">
        <f t="shared" si="3"/>
        <v>26.549852053268246</v>
      </c>
      <c r="T24" s="114">
        <f t="shared" si="3"/>
        <v>22.843953799921536</v>
      </c>
      <c r="U24" s="114">
        <f t="shared" si="3"/>
        <v>25.358115546125518</v>
      </c>
      <c r="V24" s="114">
        <f t="shared" si="3"/>
        <v>27.863218939784883</v>
      </c>
      <c r="W24" s="114">
        <f t="shared" si="3"/>
        <v>30.348363628214983</v>
      </c>
      <c r="X24" s="114">
        <f t="shared" si="3"/>
        <v>25.644645135149002</v>
      </c>
      <c r="Y24" s="114">
        <f t="shared" si="3"/>
        <v>27.787342543315265</v>
      </c>
      <c r="Z24" s="114">
        <f t="shared" si="3"/>
        <v>29.902583369845619</v>
      </c>
      <c r="AA24" s="114">
        <f t="shared" si="3"/>
        <v>31.984562728199933</v>
      </c>
      <c r="AB24" s="114">
        <f t="shared" si="3"/>
        <v>33.964429732483239</v>
      </c>
      <c r="AC24" s="114">
        <f t="shared" si="3"/>
        <v>35.897664430969819</v>
      </c>
      <c r="AD24" s="114">
        <f t="shared" si="3"/>
        <v>37.78051709990153</v>
      </c>
      <c r="AE24" s="114">
        <f t="shared" si="3"/>
        <v>39.610973189323879</v>
      </c>
      <c r="AF24" s="148">
        <f t="shared" si="3"/>
        <v>41.387597230041479</v>
      </c>
      <c r="AG24" s="152"/>
      <c r="AH24" s="129"/>
      <c r="AI24" s="129"/>
      <c r="AJ24" s="129"/>
      <c r="AK24" s="129"/>
      <c r="AL24" s="129"/>
      <c r="AM24" s="129"/>
      <c r="AN24" s="129"/>
      <c r="AQ24" s="17"/>
      <c r="AR24" s="17"/>
      <c r="AS24" s="17"/>
      <c r="AT24" s="17"/>
      <c r="AU24" s="17"/>
      <c r="AV24" s="17"/>
      <c r="AW24" s="17"/>
      <c r="AX24" s="17"/>
      <c r="AY24" s="17"/>
      <c r="AZ24" s="17"/>
      <c r="BA24" s="17"/>
      <c r="BB24" s="17"/>
    </row>
    <row r="25" spans="1:177" x14ac:dyDescent="0.35">
      <c r="A25" s="3" t="s">
        <v>202</v>
      </c>
      <c r="B25" s="13">
        <f t="shared" ref="B25:AF25" si="4">IF(OR($B$16="Incendié",$B$16="Nettoyage et préparation du sol total",$B$16="Incendié et nettoyage et préparation du sol total"),(B19*(($B$38-$B$37)/30)),IF($B$16="Nettoyage partiel",((B19*(($B$38-$B$37)/30))*(0.5))+($B$38*0.5),""))</f>
        <v>0</v>
      </c>
      <c r="C25" s="114">
        <f t="shared" si="4"/>
        <v>0.33333333333333331</v>
      </c>
      <c r="D25" s="114">
        <f t="shared" si="4"/>
        <v>0.66666666666666663</v>
      </c>
      <c r="E25" s="114">
        <f t="shared" si="4"/>
        <v>1</v>
      </c>
      <c r="F25" s="114">
        <f t="shared" si="4"/>
        <v>1.3333333333333333</v>
      </c>
      <c r="G25" s="114">
        <f t="shared" si="4"/>
        <v>1.6666666666666665</v>
      </c>
      <c r="H25" s="114">
        <f t="shared" si="4"/>
        <v>2</v>
      </c>
      <c r="I25" s="114">
        <f t="shared" si="4"/>
        <v>2.333333333333333</v>
      </c>
      <c r="J25" s="114">
        <f t="shared" si="4"/>
        <v>2.6666666666666665</v>
      </c>
      <c r="K25" s="114">
        <f t="shared" si="4"/>
        <v>3</v>
      </c>
      <c r="L25" s="114">
        <f t="shared" si="4"/>
        <v>3.333333333333333</v>
      </c>
      <c r="M25" s="114">
        <f t="shared" si="4"/>
        <v>3.6666666666666665</v>
      </c>
      <c r="N25" s="114">
        <f t="shared" si="4"/>
        <v>4</v>
      </c>
      <c r="O25" s="114">
        <f t="shared" si="4"/>
        <v>4.333333333333333</v>
      </c>
      <c r="P25" s="114">
        <f t="shared" si="4"/>
        <v>4.6666666666666661</v>
      </c>
      <c r="Q25" s="114">
        <f t="shared" si="4"/>
        <v>5</v>
      </c>
      <c r="R25" s="114">
        <f t="shared" si="4"/>
        <v>5.333333333333333</v>
      </c>
      <c r="S25" s="114">
        <f t="shared" si="4"/>
        <v>5.6666666666666661</v>
      </c>
      <c r="T25" s="114">
        <f t="shared" si="4"/>
        <v>6</v>
      </c>
      <c r="U25" s="114">
        <f t="shared" si="4"/>
        <v>6.333333333333333</v>
      </c>
      <c r="V25" s="114">
        <f t="shared" si="4"/>
        <v>6.6666666666666661</v>
      </c>
      <c r="W25" s="114">
        <f t="shared" si="4"/>
        <v>7</v>
      </c>
      <c r="X25" s="114">
        <f t="shared" si="4"/>
        <v>7.333333333333333</v>
      </c>
      <c r="Y25" s="114">
        <f t="shared" si="4"/>
        <v>7.6666666666666661</v>
      </c>
      <c r="Z25" s="114">
        <f t="shared" si="4"/>
        <v>8</v>
      </c>
      <c r="AA25" s="114">
        <f t="shared" si="4"/>
        <v>8.3333333333333321</v>
      </c>
      <c r="AB25" s="114">
        <f t="shared" si="4"/>
        <v>8.6666666666666661</v>
      </c>
      <c r="AC25" s="114">
        <f t="shared" si="4"/>
        <v>9</v>
      </c>
      <c r="AD25" s="114">
        <f t="shared" si="4"/>
        <v>9.3333333333333321</v>
      </c>
      <c r="AE25" s="114">
        <f t="shared" si="4"/>
        <v>9.6666666666666661</v>
      </c>
      <c r="AF25" s="148">
        <f t="shared" si="4"/>
        <v>10</v>
      </c>
      <c r="AG25" s="152"/>
      <c r="AH25" s="129"/>
      <c r="AI25" s="129"/>
      <c r="AJ25" s="129"/>
      <c r="AK25" s="129"/>
      <c r="AL25" s="129"/>
      <c r="AM25" s="129"/>
      <c r="AN25" s="129"/>
      <c r="AO25" s="121"/>
      <c r="AP25" s="121"/>
      <c r="AQ25" s="17"/>
      <c r="AR25" s="17"/>
      <c r="AS25" s="17"/>
      <c r="AT25" s="17"/>
      <c r="AU25" s="17"/>
      <c r="AV25" s="17"/>
      <c r="AW25" s="17"/>
      <c r="AX25" s="17"/>
      <c r="AY25" s="17"/>
      <c r="AZ25" s="17"/>
      <c r="BA25" s="17"/>
      <c r="BB25" s="17"/>
    </row>
    <row r="26" spans="1:177" ht="15" thickBot="1" x14ac:dyDescent="0.4">
      <c r="A26" s="3" t="s">
        <v>203</v>
      </c>
      <c r="B26" s="111">
        <v>0</v>
      </c>
      <c r="C26" s="111">
        <v>0</v>
      </c>
      <c r="D26" s="111">
        <v>0</v>
      </c>
      <c r="E26" s="111">
        <v>0</v>
      </c>
      <c r="F26" s="111">
        <v>0</v>
      </c>
      <c r="G26" s="111">
        <v>0</v>
      </c>
      <c r="H26" s="111">
        <v>0</v>
      </c>
      <c r="I26" s="111">
        <v>0</v>
      </c>
      <c r="J26" s="111">
        <v>0</v>
      </c>
      <c r="K26" s="111">
        <v>0</v>
      </c>
      <c r="L26" s="111">
        <v>0</v>
      </c>
      <c r="M26" s="111">
        <v>0</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11">
        <v>0</v>
      </c>
      <c r="AD26" s="111">
        <v>0</v>
      </c>
      <c r="AE26" s="111">
        <v>0</v>
      </c>
      <c r="AF26" s="149">
        <v>0</v>
      </c>
      <c r="AG26" s="155"/>
      <c r="AH26" s="156"/>
      <c r="AI26" s="156"/>
      <c r="AJ26" s="156"/>
      <c r="AK26" s="156"/>
      <c r="AL26" s="156"/>
      <c r="AM26" s="156"/>
      <c r="AN26" s="156"/>
      <c r="AO26" s="136"/>
      <c r="AP26" s="136"/>
    </row>
    <row r="27" spans="1:177" x14ac:dyDescent="0.35">
      <c r="A27" s="183" t="s">
        <v>2</v>
      </c>
      <c r="B27" s="184"/>
      <c r="C27" s="184"/>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5"/>
      <c r="AQ27" s="6"/>
      <c r="AR27" s="6"/>
      <c r="AS27" s="6"/>
      <c r="AT27" s="6"/>
      <c r="AU27" s="6"/>
      <c r="AV27" s="6"/>
      <c r="AW27" s="6"/>
      <c r="AX27" s="6"/>
      <c r="AY27" s="6"/>
      <c r="AZ27" s="6"/>
      <c r="BA27" s="7"/>
      <c r="BB27" s="7"/>
    </row>
    <row r="28" spans="1:177" x14ac:dyDescent="0.35">
      <c r="A28" s="3" t="s">
        <v>205</v>
      </c>
      <c r="B28" s="114">
        <f t="shared" ref="B28:AF28" si="5">(((B29+B31)*$B$34)+$B$39+B32)*(44/12)</f>
        <v>293.33333333333331</v>
      </c>
      <c r="C28" s="114">
        <f t="shared" si="5"/>
        <v>295.22046076180146</v>
      </c>
      <c r="D28" s="114">
        <f t="shared" si="5"/>
        <v>297.01300064647927</v>
      </c>
      <c r="E28" s="114">
        <f t="shared" si="5"/>
        <v>298.7749935025106</v>
      </c>
      <c r="F28" s="114">
        <f t="shared" si="5"/>
        <v>300.51815645933317</v>
      </c>
      <c r="G28" s="114">
        <f t="shared" si="5"/>
        <v>302.24780010412121</v>
      </c>
      <c r="H28" s="114">
        <f>(((H29+H31)*$B$34)+$B$39+H32)*(44/12)</f>
        <v>303.96695381752198</v>
      </c>
      <c r="I28" s="114">
        <f t="shared" si="5"/>
        <v>305.67757052410633</v>
      </c>
      <c r="J28" s="114">
        <f t="shared" si="5"/>
        <v>307.38101051293881</v>
      </c>
      <c r="K28" s="114">
        <f t="shared" si="5"/>
        <v>309.07827361378656</v>
      </c>
      <c r="L28" s="114">
        <f t="shared" si="5"/>
        <v>310.77012443754739</v>
      </c>
      <c r="M28" s="114">
        <f t="shared" si="5"/>
        <v>312.457165823742</v>
      </c>
      <c r="N28" s="114">
        <f t="shared" si="5"/>
        <v>314.13988471799752</v>
      </c>
      <c r="O28" s="114">
        <f t="shared" si="5"/>
        <v>315.81868228038792</v>
      </c>
      <c r="P28" s="114">
        <f t="shared" si="5"/>
        <v>317.49389444813346</v>
      </c>
      <c r="Q28" s="114">
        <f t="shared" si="5"/>
        <v>319.16580644802485</v>
      </c>
      <c r="R28" s="114">
        <f t="shared" si="5"/>
        <v>320.83466332506777</v>
      </c>
      <c r="S28" s="114">
        <f t="shared" si="5"/>
        <v>322.50067776239382</v>
      </c>
      <c r="T28" s="114">
        <f t="shared" si="5"/>
        <v>324.16403600810423</v>
      </c>
      <c r="U28" s="114">
        <f t="shared" si="5"/>
        <v>325.82490244727825</v>
      </c>
      <c r="V28" s="114">
        <f t="shared" si="5"/>
        <v>327.48342318399472</v>
      </c>
      <c r="W28" s="114">
        <f t="shared" si="5"/>
        <v>329.13972888659004</v>
      </c>
      <c r="X28" s="114">
        <f t="shared" si="5"/>
        <v>330.79393707560672</v>
      </c>
      <c r="Y28" s="114">
        <f t="shared" si="5"/>
        <v>332.44615398399304</v>
      </c>
      <c r="Z28" s="114">
        <f t="shared" si="5"/>
        <v>334.0964760846598</v>
      </c>
      <c r="AA28" s="114">
        <f t="shared" si="5"/>
        <v>335.74499135627178</v>
      </c>
      <c r="AB28" s="114">
        <f t="shared" si="5"/>
        <v>337.39178034081073</v>
      </c>
      <c r="AC28" s="114">
        <f t="shared" si="5"/>
        <v>339.03691703386005</v>
      </c>
      <c r="AD28" s="114">
        <f t="shared" si="5"/>
        <v>340.68046963928816</v>
      </c>
      <c r="AE28" s="114">
        <f t="shared" si="5"/>
        <v>342.32250121309005</v>
      </c>
      <c r="AF28" s="114">
        <f t="shared" si="5"/>
        <v>343.96307021592793</v>
      </c>
      <c r="AG28" s="114">
        <f t="shared" ref="AG28:AN28" si="6">(((AG29+AG31)*$B$34)+$B$39+AG32)*(44/12)</f>
        <v>345.60223098993077</v>
      </c>
      <c r="AH28" s="114">
        <f t="shared" si="6"/>
        <v>347.24003417224236</v>
      </c>
      <c r="AI28" s="114">
        <f t="shared" si="6"/>
        <v>348.87652705542456</v>
      </c>
      <c r="AJ28" s="114">
        <f t="shared" si="6"/>
        <v>350.51175390294725</v>
      </c>
      <c r="AK28" s="114">
        <f t="shared" si="6"/>
        <v>352.14575622651876</v>
      </c>
      <c r="AL28" s="114">
        <f t="shared" si="6"/>
        <v>353.77857303083135</v>
      </c>
      <c r="AM28" s="114">
        <f t="shared" si="6"/>
        <v>355.41024103034721</v>
      </c>
      <c r="AN28" s="114">
        <f t="shared" si="6"/>
        <v>357.04079484198991</v>
      </c>
      <c r="AO28" s="114">
        <f t="shared" ref="AO28" si="7">(((AO29+AO31)*$B$34)+$B$39+AO32)*(44/12)</f>
        <v>358.67026715698137</v>
      </c>
      <c r="AP28" s="135">
        <f t="shared" ref="AP28" si="8">(((AP29+AP31)*$B$34)+$B$39+AP32)*(44/12)</f>
        <v>360.29868889455889</v>
      </c>
      <c r="AQ28" s="129"/>
      <c r="AR28" s="129"/>
      <c r="AS28" s="129"/>
      <c r="AT28" s="129"/>
      <c r="AU28" s="129"/>
      <c r="AV28" s="129"/>
      <c r="AW28" s="129"/>
      <c r="AX28" s="129"/>
      <c r="AY28" s="129"/>
      <c r="AZ28" s="129"/>
      <c r="BA28" s="7"/>
      <c r="BB28" s="7"/>
    </row>
    <row r="29" spans="1:177" x14ac:dyDescent="0.35">
      <c r="A29" s="3" t="s">
        <v>200</v>
      </c>
      <c r="B29" s="114">
        <f>B30*$C$35*$E$36</f>
        <v>0</v>
      </c>
      <c r="C29" s="114">
        <f>C30*$C$35*$E$36</f>
        <v>0.73319999999999996</v>
      </c>
      <c r="D29" s="114">
        <f t="shared" ref="D29:AE29" si="9">D30*$C$35*$E$36</f>
        <v>1.4663999999999999</v>
      </c>
      <c r="E29" s="114">
        <f t="shared" si="9"/>
        <v>2.1995999999999998</v>
      </c>
      <c r="F29" s="114">
        <f t="shared" si="9"/>
        <v>2.9327999999999999</v>
      </c>
      <c r="G29" s="114">
        <f t="shared" si="9"/>
        <v>3.6659999999999999</v>
      </c>
      <c r="H29" s="114">
        <f t="shared" si="9"/>
        <v>4.3991999999999996</v>
      </c>
      <c r="I29" s="114">
        <f t="shared" si="9"/>
        <v>5.1323999999999996</v>
      </c>
      <c r="J29" s="114">
        <f t="shared" si="9"/>
        <v>5.8655999999999997</v>
      </c>
      <c r="K29" s="114">
        <f t="shared" si="9"/>
        <v>6.5987999999999998</v>
      </c>
      <c r="L29" s="114">
        <f t="shared" si="9"/>
        <v>7.3319999999999999</v>
      </c>
      <c r="M29" s="114">
        <f t="shared" si="9"/>
        <v>8.065199999999999</v>
      </c>
      <c r="N29" s="114">
        <f t="shared" si="9"/>
        <v>8.7983999999999991</v>
      </c>
      <c r="O29" s="114">
        <f t="shared" si="9"/>
        <v>9.5315999999999992</v>
      </c>
      <c r="P29" s="114">
        <f t="shared" si="9"/>
        <v>10.264799999999999</v>
      </c>
      <c r="Q29" s="114">
        <f t="shared" si="9"/>
        <v>10.998000000000001</v>
      </c>
      <c r="R29" s="114">
        <f t="shared" si="9"/>
        <v>11.731199999999999</v>
      </c>
      <c r="S29" s="114">
        <f t="shared" si="9"/>
        <v>12.464399999999999</v>
      </c>
      <c r="T29" s="114">
        <f t="shared" si="9"/>
        <v>13.1976</v>
      </c>
      <c r="U29" s="114">
        <f t="shared" si="9"/>
        <v>13.9308</v>
      </c>
      <c r="V29" s="114">
        <f t="shared" si="9"/>
        <v>14.664</v>
      </c>
      <c r="W29" s="114">
        <f t="shared" si="9"/>
        <v>15.397199999999998</v>
      </c>
      <c r="X29" s="114">
        <f t="shared" si="9"/>
        <v>16.130399999999998</v>
      </c>
      <c r="Y29" s="114">
        <f t="shared" si="9"/>
        <v>16.863600000000002</v>
      </c>
      <c r="Z29" s="114">
        <f t="shared" si="9"/>
        <v>17.596799999999998</v>
      </c>
      <c r="AA29" s="114">
        <f t="shared" si="9"/>
        <v>18.329999999999998</v>
      </c>
      <c r="AB29" s="114">
        <f t="shared" si="9"/>
        <v>19.063199999999998</v>
      </c>
      <c r="AC29" s="114">
        <f t="shared" si="9"/>
        <v>19.796400000000002</v>
      </c>
      <c r="AD29" s="114">
        <f t="shared" si="9"/>
        <v>20.529599999999999</v>
      </c>
      <c r="AE29" s="114">
        <f t="shared" si="9"/>
        <v>21.262799999999999</v>
      </c>
      <c r="AF29" s="114">
        <f>AF30*$C$35*$E$36</f>
        <v>21.996000000000002</v>
      </c>
      <c r="AG29" s="114">
        <f t="shared" ref="AG29:AN29" si="10">AG30*$C$35*$E$36</f>
        <v>22.729199999999999</v>
      </c>
      <c r="AH29" s="114">
        <f t="shared" si="10"/>
        <v>23.462399999999999</v>
      </c>
      <c r="AI29" s="114">
        <f t="shared" si="10"/>
        <v>24.195599999999999</v>
      </c>
      <c r="AJ29" s="114">
        <f t="shared" si="10"/>
        <v>24.928799999999999</v>
      </c>
      <c r="AK29" s="114">
        <f t="shared" si="10"/>
        <v>25.661999999999999</v>
      </c>
      <c r="AL29" s="114">
        <f t="shared" si="10"/>
        <v>26.395199999999999</v>
      </c>
      <c r="AM29" s="114">
        <f t="shared" si="10"/>
        <v>27.128399999999999</v>
      </c>
      <c r="AN29" s="114">
        <f t="shared" si="10"/>
        <v>27.861599999999999</v>
      </c>
      <c r="AO29" s="114">
        <f t="shared" ref="AO29" si="11">AO30*$C$35*$E$36</f>
        <v>28.594799999999999</v>
      </c>
      <c r="AP29" s="135">
        <f t="shared" ref="AP29" si="12">AP30*$C$35*$E$36</f>
        <v>29.327999999999999</v>
      </c>
      <c r="AQ29" s="129"/>
      <c r="AR29" s="129"/>
      <c r="AS29" s="129"/>
      <c r="AT29" s="129"/>
      <c r="AU29" s="129"/>
      <c r="AV29" s="129"/>
      <c r="AW29" s="129"/>
      <c r="AX29" s="129"/>
      <c r="AY29" s="129"/>
      <c r="AZ29" s="129"/>
      <c r="BA29" s="7"/>
      <c r="BB29" s="7"/>
    </row>
    <row r="30" spans="1:177" ht="17" customHeight="1" x14ac:dyDescent="0.35">
      <c r="A30" s="19" t="s">
        <v>13</v>
      </c>
      <c r="B30" s="13">
        <v>0</v>
      </c>
      <c r="C30" s="13">
        <v>1</v>
      </c>
      <c r="D30" s="13">
        <v>2</v>
      </c>
      <c r="E30" s="13">
        <v>3</v>
      </c>
      <c r="F30" s="13">
        <v>4</v>
      </c>
      <c r="G30" s="13">
        <v>5</v>
      </c>
      <c r="H30" s="13">
        <v>6</v>
      </c>
      <c r="I30" s="13">
        <v>7</v>
      </c>
      <c r="J30" s="13">
        <v>8</v>
      </c>
      <c r="K30" s="13">
        <v>9</v>
      </c>
      <c r="L30" s="13">
        <v>10</v>
      </c>
      <c r="M30" s="13">
        <v>11</v>
      </c>
      <c r="N30" s="13">
        <v>12</v>
      </c>
      <c r="O30" s="13">
        <v>13</v>
      </c>
      <c r="P30" s="13">
        <v>14</v>
      </c>
      <c r="Q30" s="13">
        <v>15</v>
      </c>
      <c r="R30" s="13">
        <v>16</v>
      </c>
      <c r="S30" s="13">
        <v>17</v>
      </c>
      <c r="T30" s="13">
        <v>18</v>
      </c>
      <c r="U30" s="13">
        <v>19</v>
      </c>
      <c r="V30" s="13">
        <v>20</v>
      </c>
      <c r="W30" s="13">
        <v>21</v>
      </c>
      <c r="X30" s="13">
        <v>22</v>
      </c>
      <c r="Y30" s="13">
        <v>23</v>
      </c>
      <c r="Z30" s="13">
        <v>24</v>
      </c>
      <c r="AA30" s="13">
        <v>25</v>
      </c>
      <c r="AB30" s="13">
        <v>26</v>
      </c>
      <c r="AC30" s="13">
        <v>27</v>
      </c>
      <c r="AD30" s="13">
        <v>28</v>
      </c>
      <c r="AE30" s="13">
        <v>29</v>
      </c>
      <c r="AF30" s="13">
        <v>30</v>
      </c>
      <c r="AG30" s="13">
        <v>31</v>
      </c>
      <c r="AH30" s="13">
        <v>32</v>
      </c>
      <c r="AI30" s="13">
        <v>33</v>
      </c>
      <c r="AJ30" s="13">
        <v>34</v>
      </c>
      <c r="AK30" s="13">
        <v>35</v>
      </c>
      <c r="AL30" s="13">
        <v>36</v>
      </c>
      <c r="AM30" s="13">
        <v>37</v>
      </c>
      <c r="AN30" s="13">
        <v>38</v>
      </c>
      <c r="AO30" s="13">
        <v>39</v>
      </c>
      <c r="AP30" s="30">
        <v>40</v>
      </c>
      <c r="AQ30" s="16"/>
      <c r="AR30" s="16"/>
      <c r="AS30" s="16"/>
      <c r="AT30" s="16"/>
      <c r="AU30" s="16"/>
      <c r="AV30" s="16"/>
      <c r="AW30" s="16"/>
      <c r="AX30" s="16"/>
      <c r="AY30" s="16"/>
      <c r="AZ30" s="16"/>
      <c r="BA30" s="7"/>
      <c r="BB30" s="7"/>
    </row>
    <row r="31" spans="1:177" x14ac:dyDescent="0.35">
      <c r="A31" s="3" t="s">
        <v>201</v>
      </c>
      <c r="B31" s="114">
        <v>0</v>
      </c>
      <c r="C31" s="114">
        <f>EXP(-1.0587+0.8836*LN(C29)+0.284)</f>
        <v>0.35031814074723205</v>
      </c>
      <c r="D31" s="114">
        <f t="shared" ref="D31:AE31" si="13">EXP(-1.0587+0.8836*LN(D29)+0.284)</f>
        <v>0.64632764391155073</v>
      </c>
      <c r="E31" s="114">
        <f t="shared" si="13"/>
        <v>0.92479818325965968</v>
      </c>
      <c r="F31" s="114">
        <f t="shared" si="13"/>
        <v>1.1924572972247856</v>
      </c>
      <c r="G31" s="114">
        <f t="shared" si="13"/>
        <v>1.4523541267681601</v>
      </c>
      <c r="H31" s="114">
        <f t="shared" si="13"/>
        <v>1.7062280291992591</v>
      </c>
      <c r="I31" s="114">
        <f t="shared" si="13"/>
        <v>1.9552003009222731</v>
      </c>
      <c r="J31" s="114">
        <f t="shared" si="13"/>
        <v>2.2000519691514757</v>
      </c>
      <c r="K31" s="114">
        <f t="shared" si="13"/>
        <v>2.4413570988248194</v>
      </c>
      <c r="L31" s="114">
        <f t="shared" si="13"/>
        <v>2.6795547009841778</v>
      </c>
      <c r="M31" s="114">
        <f t="shared" si="13"/>
        <v>2.9149909035839161</v>
      </c>
      <c r="N31" s="114">
        <f t="shared" si="13"/>
        <v>3.1479452926301796</v>
      </c>
      <c r="O31" s="114">
        <f t="shared" si="13"/>
        <v>3.3786481992658062</v>
      </c>
      <c r="P31" s="114">
        <f t="shared" si="13"/>
        <v>3.6072925061053467</v>
      </c>
      <c r="Q31" s="114">
        <f t="shared" si="13"/>
        <v>3.8340419797271834</v>
      </c>
      <c r="R31" s="114">
        <f t="shared" si="13"/>
        <v>4.0590373158284008</v>
      </c>
      <c r="S31" s="114">
        <f t="shared" si="13"/>
        <v>4.2824006291256396</v>
      </c>
      <c r="T31" s="114">
        <f t="shared" si="13"/>
        <v>4.504238856327774</v>
      </c>
      <c r="U31" s="114">
        <f t="shared" si="13"/>
        <v>4.7246463812124082</v>
      </c>
      <c r="V31" s="114">
        <f t="shared" si="13"/>
        <v>4.9437070912888705</v>
      </c>
      <c r="W31" s="114">
        <f t="shared" si="13"/>
        <v>5.1614960114392687</v>
      </c>
      <c r="X31" s="114">
        <f t="shared" si="13"/>
        <v>5.3780806175732732</v>
      </c>
      <c r="Y31" s="114">
        <f t="shared" si="13"/>
        <v>5.5935219046849918</v>
      </c>
      <c r="Z31" s="114">
        <f t="shared" si="13"/>
        <v>5.8078752639195086</v>
      </c>
      <c r="AA31" s="114">
        <f t="shared" si="13"/>
        <v>6.0211912093426747</v>
      </c>
      <c r="AB31" s="114">
        <f t="shared" si="13"/>
        <v>6.2335159851544919</v>
      </c>
      <c r="AC31" s="114">
        <f t="shared" si="13"/>
        <v>6.4448920768574434</v>
      </c>
      <c r="AD31" s="114">
        <f t="shared" si="13"/>
        <v>6.6553586445673751</v>
      </c>
      <c r="AE31" s="114">
        <f t="shared" si="13"/>
        <v>6.864951892683286</v>
      </c>
      <c r="AF31" s="114">
        <f>EXP(-1.0587+0.8836*LN(AF29)+0.284)</f>
        <v>7.0737053871356732</v>
      </c>
      <c r="AG31" s="114">
        <f t="shared" ref="AG31:AN31" si="14">EXP(-1.0587+0.8836*LN(AG29)+0.284)</f>
        <v>7.2816503291468493</v>
      </c>
      <c r="AH31" s="114">
        <f t="shared" si="14"/>
        <v>7.4888157926750578</v>
      </c>
      <c r="AI31" s="114">
        <f t="shared" si="14"/>
        <v>7.6952289313442845</v>
      </c>
      <c r="AJ31" s="114">
        <f t="shared" si="14"/>
        <v>7.9009151595869396</v>
      </c>
      <c r="AK31" s="114">
        <f t="shared" si="14"/>
        <v>8.1058983118768086</v>
      </c>
      <c r="AL31" s="114">
        <f t="shared" si="14"/>
        <v>8.3102007832524443</v>
      </c>
      <c r="AM31" s="114">
        <f t="shared" si="14"/>
        <v>8.5138436537878803</v>
      </c>
      <c r="AN31" s="114">
        <f t="shared" si="14"/>
        <v>8.7168467992286693</v>
      </c>
      <c r="AO31" s="114">
        <f t="shared" ref="AO31:AP31" si="15">EXP(-1.0587+0.8836*LN(AO29)+0.284)</f>
        <v>8.9192289896543855</v>
      </c>
      <c r="AP31" s="135">
        <f t="shared" si="15"/>
        <v>9.1210079777371842</v>
      </c>
      <c r="AQ31" s="129"/>
      <c r="AR31" s="129"/>
      <c r="AS31" s="129"/>
      <c r="AT31" s="129"/>
      <c r="AU31" s="129"/>
      <c r="AV31" s="129"/>
      <c r="AW31" s="129"/>
      <c r="AX31" s="129"/>
      <c r="AY31" s="129"/>
      <c r="AZ31" s="129"/>
      <c r="BA31" s="7"/>
      <c r="BB31" s="7"/>
    </row>
    <row r="32" spans="1:177" ht="15" thickBot="1" x14ac:dyDescent="0.4">
      <c r="A32" s="3" t="s">
        <v>202</v>
      </c>
      <c r="B32" s="114">
        <f t="shared" ref="B32:AP32" si="16">IF($B$16="Incendié",(B19*(($B$38-$B$37)/30)),$B$38)</f>
        <v>10</v>
      </c>
      <c r="C32" s="118">
        <f t="shared" si="16"/>
        <v>10</v>
      </c>
      <c r="D32" s="118">
        <f t="shared" si="16"/>
        <v>10</v>
      </c>
      <c r="E32" s="118">
        <f t="shared" si="16"/>
        <v>10</v>
      </c>
      <c r="F32" s="118">
        <f t="shared" si="16"/>
        <v>10</v>
      </c>
      <c r="G32" s="118">
        <f t="shared" si="16"/>
        <v>10</v>
      </c>
      <c r="H32" s="118">
        <f t="shared" si="16"/>
        <v>10</v>
      </c>
      <c r="I32" s="118">
        <f t="shared" si="16"/>
        <v>10</v>
      </c>
      <c r="J32" s="118">
        <f t="shared" si="16"/>
        <v>10</v>
      </c>
      <c r="K32" s="118">
        <f t="shared" si="16"/>
        <v>10</v>
      </c>
      <c r="L32" s="118">
        <f t="shared" si="16"/>
        <v>10</v>
      </c>
      <c r="M32" s="118">
        <f t="shared" si="16"/>
        <v>10</v>
      </c>
      <c r="N32" s="118">
        <f t="shared" si="16"/>
        <v>10</v>
      </c>
      <c r="O32" s="118">
        <f t="shared" si="16"/>
        <v>10</v>
      </c>
      <c r="P32" s="118">
        <f t="shared" si="16"/>
        <v>10</v>
      </c>
      <c r="Q32" s="118">
        <f t="shared" si="16"/>
        <v>10</v>
      </c>
      <c r="R32" s="118">
        <f t="shared" si="16"/>
        <v>10</v>
      </c>
      <c r="S32" s="118">
        <f t="shared" si="16"/>
        <v>10</v>
      </c>
      <c r="T32" s="118">
        <f t="shared" si="16"/>
        <v>10</v>
      </c>
      <c r="U32" s="118">
        <f t="shared" si="16"/>
        <v>10</v>
      </c>
      <c r="V32" s="118">
        <f t="shared" si="16"/>
        <v>10</v>
      </c>
      <c r="W32" s="118">
        <f t="shared" si="16"/>
        <v>10</v>
      </c>
      <c r="X32" s="118">
        <f t="shared" si="16"/>
        <v>10</v>
      </c>
      <c r="Y32" s="118">
        <f t="shared" si="16"/>
        <v>10</v>
      </c>
      <c r="Z32" s="118">
        <f t="shared" si="16"/>
        <v>10</v>
      </c>
      <c r="AA32" s="118">
        <f t="shared" si="16"/>
        <v>10</v>
      </c>
      <c r="AB32" s="118">
        <f t="shared" si="16"/>
        <v>10</v>
      </c>
      <c r="AC32" s="118">
        <f t="shared" si="16"/>
        <v>10</v>
      </c>
      <c r="AD32" s="118">
        <f t="shared" si="16"/>
        <v>10</v>
      </c>
      <c r="AE32" s="118">
        <f t="shared" si="16"/>
        <v>10</v>
      </c>
      <c r="AF32" s="118">
        <f t="shared" si="16"/>
        <v>10</v>
      </c>
      <c r="AG32" s="118">
        <f t="shared" si="16"/>
        <v>10</v>
      </c>
      <c r="AH32" s="118">
        <f t="shared" si="16"/>
        <v>10</v>
      </c>
      <c r="AI32" s="118">
        <f t="shared" si="16"/>
        <v>10</v>
      </c>
      <c r="AJ32" s="118">
        <f t="shared" si="16"/>
        <v>10</v>
      </c>
      <c r="AK32" s="118">
        <f t="shared" si="16"/>
        <v>10</v>
      </c>
      <c r="AL32" s="118">
        <f t="shared" si="16"/>
        <v>10</v>
      </c>
      <c r="AM32" s="118">
        <f t="shared" si="16"/>
        <v>10</v>
      </c>
      <c r="AN32" s="118">
        <f t="shared" si="16"/>
        <v>10</v>
      </c>
      <c r="AO32" s="118">
        <f t="shared" si="16"/>
        <v>10</v>
      </c>
      <c r="AP32" s="113">
        <f t="shared" si="16"/>
        <v>10</v>
      </c>
      <c r="AQ32" s="129"/>
      <c r="AR32" s="129"/>
      <c r="AS32" s="129"/>
      <c r="AT32" s="129"/>
      <c r="AU32" s="129"/>
      <c r="AV32" s="129"/>
      <c r="AW32" s="129"/>
      <c r="AX32" s="129"/>
      <c r="AY32" s="129"/>
      <c r="AZ32" s="129"/>
      <c r="BA32" s="7"/>
      <c r="BB32" s="7"/>
    </row>
    <row r="33" spans="1:54" x14ac:dyDescent="0.35">
      <c r="A33" s="178" t="s">
        <v>11</v>
      </c>
      <c r="B33" s="179"/>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Q33" s="7"/>
      <c r="AR33" s="7"/>
      <c r="AS33" s="7"/>
      <c r="AT33" s="7"/>
      <c r="AU33" s="7"/>
      <c r="AV33" s="7"/>
      <c r="AW33" s="7"/>
      <c r="AX33" s="7"/>
      <c r="AY33" s="7"/>
      <c r="AZ33" s="7"/>
      <c r="BA33" s="7"/>
      <c r="BB33" s="7"/>
    </row>
    <row r="34" spans="1:54" ht="29.5" thickBot="1" x14ac:dyDescent="0.4">
      <c r="A34" s="3" t="s">
        <v>4</v>
      </c>
      <c r="B34" s="30">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Q34" s="7"/>
      <c r="AR34" s="7"/>
      <c r="AS34" s="7"/>
      <c r="AT34" s="7"/>
      <c r="AU34" s="7"/>
      <c r="AV34" s="7"/>
      <c r="AW34" s="7"/>
      <c r="AX34" s="7"/>
      <c r="AY34" s="7"/>
      <c r="AZ34" s="7"/>
      <c r="BA34" s="7"/>
      <c r="BB34" s="7"/>
    </row>
    <row r="35" spans="1:54" ht="15" thickBot="1" x14ac:dyDescent="0.4">
      <c r="A35" s="3" t="s">
        <v>5</v>
      </c>
      <c r="B35" s="15">
        <f>IF(B12="Conifères",1.3,1.56)</f>
        <v>1.3</v>
      </c>
      <c r="C35" s="119">
        <f>IF($B$14="Conifères",1.3,1.56)</f>
        <v>1.56</v>
      </c>
      <c r="D35" s="16"/>
      <c r="E35" s="16"/>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Q35" s="7"/>
      <c r="AR35" s="7"/>
      <c r="AS35" s="7"/>
      <c r="AT35" s="7"/>
      <c r="AU35" s="7"/>
      <c r="AV35" s="7"/>
      <c r="AW35" s="7"/>
      <c r="AX35" s="7"/>
      <c r="AY35" s="7"/>
      <c r="AZ35" s="7"/>
      <c r="BA35" s="7"/>
      <c r="BB35" s="7"/>
    </row>
    <row r="36" spans="1:54" ht="29.5" thickBot="1" x14ac:dyDescent="0.4">
      <c r="A36" s="11" t="s">
        <v>156</v>
      </c>
      <c r="B36" s="18" t="s">
        <v>62</v>
      </c>
      <c r="C36" s="26">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0.46</v>
      </c>
      <c r="D36" s="28" t="s">
        <v>28</v>
      </c>
      <c r="E36" s="29">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0.47</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54" ht="29" x14ac:dyDescent="0.35">
      <c r="A37" s="3" t="s">
        <v>10</v>
      </c>
      <c r="B37" s="30">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54" x14ac:dyDescent="0.35">
      <c r="A38" s="3" t="s">
        <v>8</v>
      </c>
      <c r="B38" s="30">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54" ht="29" x14ac:dyDescent="0.35">
      <c r="A39" s="3" t="s">
        <v>12</v>
      </c>
      <c r="B39" s="30">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54" ht="17.5" customHeight="1" thickBot="1" x14ac:dyDescent="0.4">
      <c r="A40" s="174"/>
      <c r="B40" s="175"/>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54" ht="58" x14ac:dyDescent="0.35">
      <c r="A41" s="2" t="s">
        <v>198</v>
      </c>
      <c r="B41" s="158">
        <f>AF21-AF28</f>
        <v>304.33301023612762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54" ht="58.5" thickBot="1" x14ac:dyDescent="0.4">
      <c r="A42" s="4" t="s">
        <v>150</v>
      </c>
      <c r="B42" s="157">
        <f>B41*B10</f>
        <v>1521.6650511806381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54" ht="43.5" x14ac:dyDescent="0.35">
      <c r="A43" s="2" t="s">
        <v>206</v>
      </c>
      <c r="B43" s="115">
        <f>(1/B11)*(SUM(C21:AF21))</f>
        <v>440.40073123576178</v>
      </c>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row>
    <row r="44" spans="1:54" ht="44" thickBot="1" x14ac:dyDescent="0.4">
      <c r="A44" s="4" t="s">
        <v>194</v>
      </c>
      <c r="B44" s="117">
        <f>B43*B10</f>
        <v>2202.0036561788088</v>
      </c>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row>
    <row r="45" spans="1:54" ht="43.5" x14ac:dyDescent="0.35">
      <c r="A45" s="116" t="s">
        <v>207</v>
      </c>
      <c r="B45" s="120">
        <f>((1/B13)*(SUM(C28:AP28)))</f>
        <v>328.14305934892866</v>
      </c>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row>
    <row r="46" spans="1:54" ht="44" thickBot="1" x14ac:dyDescent="0.4">
      <c r="A46" s="4" t="s">
        <v>195</v>
      </c>
      <c r="B46" s="117">
        <f>B45*B10</f>
        <v>1640.7152967446432</v>
      </c>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row>
    <row r="47" spans="1:54" ht="72.5" x14ac:dyDescent="0.35">
      <c r="A47" s="2" t="s">
        <v>208</v>
      </c>
      <c r="B47" s="158">
        <f>B43-B45</f>
        <v>112.25767188683312</v>
      </c>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row>
    <row r="48" spans="1:54" ht="73" thickBot="1" x14ac:dyDescent="0.4">
      <c r="A48" s="4" t="s">
        <v>196</v>
      </c>
      <c r="B48" s="157">
        <f>B47*B10</f>
        <v>561.28835943416561</v>
      </c>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row>
  </sheetData>
  <sheetProtection algorithmName="SHA-512" hashValue="0ZQqk8qHY2/lYzXAun6t9PbTHoKvZixiLWOGJTP1uQoAGPH0rFXsR1Dl2NKvyGgdR4l4i/kAFBHIE5bnXUIi1w==" saltValue="xCSCnyeINbO1eXP0EyUbcw==" spinCount="100000" sheet="1" objects="1" scenarios="1"/>
  <mergeCells count="5">
    <mergeCell ref="A40:B40"/>
    <mergeCell ref="A9:B9"/>
    <mergeCell ref="A33:B33"/>
    <mergeCell ref="A18:AP18"/>
    <mergeCell ref="A27:AP27"/>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calcul du stock de C dans la litière">
          <x14:formula1>
            <xm:f>'Listes choix'!$A$2:$A$5</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D36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68"/>
  <sheetViews>
    <sheetView tabSelected="1" zoomScale="79" workbookViewId="0">
      <pane xSplit="1" topLeftCell="B1" activePane="topRight" state="frozen"/>
      <selection pane="topRight" activeCell="D16" sqref="D16"/>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31"/>
    </row>
    <row r="4" spans="1:177" ht="16" thickBot="1" x14ac:dyDescent="0.4">
      <c r="A4" s="20"/>
      <c r="B4" s="7"/>
    </row>
    <row r="5" spans="1:177" ht="31.5" thickBot="1" x14ac:dyDescent="0.4">
      <c r="A5" s="21" t="s">
        <v>197</v>
      </c>
      <c r="B5" s="126">
        <f>MIN(B65,B67)</f>
        <v>22.295285906461235</v>
      </c>
    </row>
    <row r="6" spans="1:177" ht="31.5" thickBot="1" x14ac:dyDescent="0.4">
      <c r="A6" s="21" t="s">
        <v>90</v>
      </c>
      <c r="B6" s="126">
        <f>B5*B10</f>
        <v>111.47642953230617</v>
      </c>
    </row>
    <row r="8" spans="1:177" ht="15" thickBot="1" x14ac:dyDescent="0.4"/>
    <row r="9" spans="1:177" ht="15" thickBot="1" x14ac:dyDescent="0.4">
      <c r="A9" s="176" t="s">
        <v>14</v>
      </c>
      <c r="B9" s="177"/>
    </row>
    <row r="10" spans="1:177" x14ac:dyDescent="0.35">
      <c r="A10" s="2" t="s">
        <v>7</v>
      </c>
      <c r="B10" s="109">
        <v>5</v>
      </c>
    </row>
    <row r="11" spans="1:177" x14ac:dyDescent="0.35">
      <c r="A11" s="3" t="s">
        <v>157</v>
      </c>
      <c r="B11" s="110">
        <v>30</v>
      </c>
    </row>
    <row r="12" spans="1:177" x14ac:dyDescent="0.35">
      <c r="A12" s="3" t="s">
        <v>16</v>
      </c>
      <c r="B12" s="110">
        <v>40</v>
      </c>
    </row>
    <row r="13" spans="1:177" ht="15" thickBot="1" x14ac:dyDescent="0.4">
      <c r="A13" s="4" t="s">
        <v>17</v>
      </c>
      <c r="B13" s="22">
        <v>30</v>
      </c>
    </row>
    <row r="14" spans="1:177" ht="15" thickBot="1" x14ac:dyDescent="0.4"/>
    <row r="15" spans="1:177" s="5" customFormat="1" ht="15.5" x14ac:dyDescent="0.35">
      <c r="A15" s="191" t="s">
        <v>1</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3"/>
      <c r="AR15" s="20"/>
      <c r="AS15" s="20"/>
      <c r="AT15" s="20"/>
      <c r="AU15" s="20"/>
      <c r="AV15" s="20"/>
      <c r="AW15" s="20"/>
      <c r="AX15" s="20"/>
      <c r="AY15" s="20"/>
      <c r="AZ15" s="20"/>
      <c r="BA15" s="7"/>
      <c r="BB15" s="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row>
    <row r="16" spans="1:177" ht="29.5" thickBot="1" x14ac:dyDescent="0.4">
      <c r="A16" s="173" t="s">
        <v>175</v>
      </c>
      <c r="B16" s="13">
        <v>0</v>
      </c>
      <c r="C16" s="13">
        <v>1</v>
      </c>
      <c r="D16" s="13">
        <v>2</v>
      </c>
      <c r="E16" s="13">
        <v>3</v>
      </c>
      <c r="F16" s="13">
        <v>4</v>
      </c>
      <c r="G16" s="13">
        <v>5</v>
      </c>
      <c r="H16" s="13">
        <v>6</v>
      </c>
      <c r="I16" s="13">
        <v>7</v>
      </c>
      <c r="J16" s="13">
        <v>8</v>
      </c>
      <c r="K16" s="13">
        <v>9</v>
      </c>
      <c r="L16" s="13">
        <v>10</v>
      </c>
      <c r="M16" s="124">
        <v>11</v>
      </c>
      <c r="N16" s="13">
        <v>12</v>
      </c>
      <c r="O16" s="147">
        <v>13</v>
      </c>
      <c r="P16" s="13">
        <v>14</v>
      </c>
      <c r="Q16" s="13">
        <v>15</v>
      </c>
      <c r="R16" s="13">
        <v>16</v>
      </c>
      <c r="S16" s="124">
        <v>17</v>
      </c>
      <c r="T16" s="13">
        <v>18</v>
      </c>
      <c r="U16" s="13">
        <v>19</v>
      </c>
      <c r="V16" s="13">
        <v>20</v>
      </c>
      <c r="W16" s="124">
        <v>21</v>
      </c>
      <c r="X16" s="13">
        <v>22</v>
      </c>
      <c r="Y16" s="13">
        <v>23</v>
      </c>
      <c r="Z16" s="13">
        <v>24</v>
      </c>
      <c r="AA16" s="13">
        <v>25</v>
      </c>
      <c r="AB16" s="13">
        <v>26</v>
      </c>
      <c r="AC16" s="13">
        <v>27</v>
      </c>
      <c r="AD16" s="13">
        <v>28</v>
      </c>
      <c r="AE16" s="13">
        <v>29</v>
      </c>
      <c r="AF16" s="171">
        <v>30</v>
      </c>
      <c r="AG16" s="13">
        <v>31</v>
      </c>
      <c r="AH16" s="15">
        <v>32</v>
      </c>
      <c r="AI16" s="70">
        <v>33</v>
      </c>
      <c r="AJ16" s="15">
        <v>34</v>
      </c>
      <c r="AK16" s="15">
        <v>35</v>
      </c>
      <c r="AL16" s="15">
        <v>36</v>
      </c>
      <c r="AM16" s="15">
        <v>37</v>
      </c>
      <c r="AN16" s="15">
        <v>38</v>
      </c>
      <c r="AO16" s="15">
        <v>39</v>
      </c>
      <c r="AP16" s="15">
        <v>40</v>
      </c>
      <c r="AQ16" s="164">
        <v>41</v>
      </c>
      <c r="AR16" s="16"/>
      <c r="AS16" s="16"/>
      <c r="AT16" s="16"/>
      <c r="AU16" s="16"/>
      <c r="AV16" s="16"/>
      <c r="AW16" s="16"/>
      <c r="AX16" s="16"/>
      <c r="AY16" s="16"/>
      <c r="AZ16" s="16"/>
      <c r="BA16" s="7"/>
      <c r="BB16" s="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row>
    <row r="17" spans="1:177" s="5" customFormat="1" x14ac:dyDescent="0.35">
      <c r="A17" s="151" t="s">
        <v>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3"/>
      <c r="AI17" s="154"/>
      <c r="AJ17" s="154"/>
      <c r="AK17" s="154"/>
      <c r="AL17" s="154"/>
      <c r="AM17" s="154"/>
      <c r="AN17" s="154"/>
      <c r="AO17" s="154"/>
      <c r="AP17" s="159"/>
      <c r="AQ17" s="159"/>
      <c r="AR17" s="7"/>
      <c r="AS17" s="7"/>
      <c r="AT17" s="7"/>
      <c r="AU17" s="7"/>
      <c r="AV17" s="7"/>
      <c r="AW17" s="7"/>
      <c r="AX17" s="7"/>
      <c r="AY17" s="7"/>
      <c r="AZ17" s="7"/>
      <c r="BA17" s="7"/>
      <c r="BB17" s="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3" t="s">
        <v>225</v>
      </c>
      <c r="B18" s="13">
        <f>SUM(B19,B22,B25,B28)</f>
        <v>0</v>
      </c>
      <c r="C18" s="34">
        <f>SUM(C19,C22,C25,C28)</f>
        <v>0</v>
      </c>
      <c r="D18" s="13">
        <f t="shared" ref="D18:AE18" si="0">SUM(D19,D22,D25,D28)</f>
        <v>0</v>
      </c>
      <c r="E18" s="13">
        <f t="shared" si="0"/>
        <v>0</v>
      </c>
      <c r="F18" s="34">
        <f>SUM(F19,F22,F25,F28)</f>
        <v>0</v>
      </c>
      <c r="G18" s="13">
        <f t="shared" si="0"/>
        <v>0</v>
      </c>
      <c r="H18" s="13">
        <f t="shared" si="0"/>
        <v>0</v>
      </c>
      <c r="I18" s="13">
        <f t="shared" si="0"/>
        <v>0</v>
      </c>
      <c r="J18" s="13">
        <f t="shared" si="0"/>
        <v>0</v>
      </c>
      <c r="K18" s="13">
        <f t="shared" si="0"/>
        <v>0</v>
      </c>
      <c r="L18" s="13">
        <f t="shared" si="0"/>
        <v>0</v>
      </c>
      <c r="M18" s="34">
        <f>SUM(M19,M22,M25,M28)</f>
        <v>0</v>
      </c>
      <c r="N18" s="34">
        <f>SUM(N19,N22,N25,N28)</f>
        <v>4.8010766623476799</v>
      </c>
      <c r="O18" s="13">
        <f t="shared" si="0"/>
        <v>3.3948738649425212</v>
      </c>
      <c r="P18" s="13">
        <f t="shared" si="0"/>
        <v>2.4005383311738404</v>
      </c>
      <c r="Q18" s="34">
        <f>SUM(Q19,Q22,Q25,Q28)</f>
        <v>1.6974369324712608</v>
      </c>
      <c r="R18" s="34">
        <f>SUM(R19,R22,R25,R28)</f>
        <v>1.2002691655869204</v>
      </c>
      <c r="S18" s="34">
        <f>SUM(S19,S22,S25,S28)</f>
        <v>0.84871846623563063</v>
      </c>
      <c r="T18" s="13">
        <f t="shared" si="0"/>
        <v>11.210983717985176</v>
      </c>
      <c r="U18" s="13">
        <f t="shared" si="0"/>
        <v>9.4646157604607399</v>
      </c>
      <c r="V18" s="13">
        <f t="shared" si="0"/>
        <v>8.1996025386145028</v>
      </c>
      <c r="W18" s="13">
        <f t="shared" si="0"/>
        <v>7.2755496316761796</v>
      </c>
      <c r="X18" s="13">
        <f t="shared" si="0"/>
        <v>18.940331615557962</v>
      </c>
      <c r="Y18" s="13">
        <f t="shared" si="0"/>
        <v>17.178017096579207</v>
      </c>
      <c r="Z18" s="34">
        <f>SUM(Z19,Z22,Z25,Z28)</f>
        <v>15.857647475159421</v>
      </c>
      <c r="AA18" s="13">
        <f t="shared" si="0"/>
        <v>14.851235596151835</v>
      </c>
      <c r="AB18" s="13">
        <f t="shared" si="0"/>
        <v>14.068252332614708</v>
      </c>
      <c r="AC18" s="13">
        <f t="shared" si="0"/>
        <v>13.444655943043966</v>
      </c>
      <c r="AD18" s="13">
        <f t="shared" si="0"/>
        <v>12.935134644503343</v>
      </c>
      <c r="AE18" s="13">
        <f t="shared" si="0"/>
        <v>12.507621272720323</v>
      </c>
      <c r="AF18" s="34">
        <f>SUM(AF19,AF22,AF25,AF28)</f>
        <v>12.139414550493997</v>
      </c>
      <c r="AG18" s="130">
        <f t="shared" ref="AG18" si="1">SUM(AG19,AG22,AG25,AG28)</f>
        <v>86.506427420939318</v>
      </c>
      <c r="AH18" s="160"/>
      <c r="AI18" s="45"/>
      <c r="AJ18" s="45"/>
      <c r="AK18" s="45"/>
      <c r="AL18" s="45"/>
      <c r="AM18" s="45"/>
      <c r="AN18" s="45"/>
      <c r="AO18" s="45"/>
      <c r="AP18" s="7"/>
      <c r="AQ18" s="7"/>
      <c r="AR18" s="7"/>
      <c r="AS18" s="7"/>
      <c r="AT18" s="7"/>
      <c r="AU18" s="7"/>
      <c r="AV18" s="7"/>
      <c r="AW18" s="7"/>
      <c r="AX18" s="7"/>
      <c r="AY18" s="7"/>
      <c r="AZ18" s="7"/>
      <c r="BA18" s="7"/>
      <c r="BB18" s="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x14ac:dyDescent="0.35">
      <c r="A19" s="77" t="s">
        <v>215</v>
      </c>
      <c r="B19" s="13">
        <v>0</v>
      </c>
      <c r="C19" s="34">
        <f>C20+B21</f>
        <v>0</v>
      </c>
      <c r="D19" s="34">
        <f t="shared" ref="D19:AG19" si="2">D20+C21</f>
        <v>0</v>
      </c>
      <c r="E19" s="34">
        <f t="shared" si="2"/>
        <v>0</v>
      </c>
      <c r="F19" s="34">
        <f t="shared" si="2"/>
        <v>0</v>
      </c>
      <c r="G19" s="34">
        <f t="shared" si="2"/>
        <v>0</v>
      </c>
      <c r="H19" s="34">
        <f t="shared" si="2"/>
        <v>0</v>
      </c>
      <c r="I19" s="34">
        <f t="shared" si="2"/>
        <v>0</v>
      </c>
      <c r="J19" s="34">
        <f t="shared" si="2"/>
        <v>0</v>
      </c>
      <c r="K19" s="34">
        <f t="shared" si="2"/>
        <v>0</v>
      </c>
      <c r="L19" s="34">
        <f t="shared" si="2"/>
        <v>0</v>
      </c>
      <c r="M19" s="34">
        <f>M20+L21</f>
        <v>0</v>
      </c>
      <c r="N19" s="34">
        <f t="shared" si="2"/>
        <v>0</v>
      </c>
      <c r="O19" s="34">
        <f t="shared" si="2"/>
        <v>0</v>
      </c>
      <c r="P19" s="34">
        <f t="shared" si="2"/>
        <v>0</v>
      </c>
      <c r="Q19" s="34">
        <f t="shared" si="2"/>
        <v>0</v>
      </c>
      <c r="R19" s="34">
        <f>R20+Q21</f>
        <v>0</v>
      </c>
      <c r="S19" s="34">
        <f>S20+R21</f>
        <v>0</v>
      </c>
      <c r="T19" s="34">
        <f t="shared" si="2"/>
        <v>5.6251156781383562</v>
      </c>
      <c r="U19" s="34">
        <f t="shared" si="2"/>
        <v>5.5148105906718454</v>
      </c>
      <c r="V19" s="34">
        <f t="shared" si="2"/>
        <v>5.4066685186910926</v>
      </c>
      <c r="W19" s="34">
        <f t="shared" si="2"/>
        <v>5.3006470467817319</v>
      </c>
      <c r="X19" s="34">
        <f t="shared" si="2"/>
        <v>13.850728711482656</v>
      </c>
      <c r="Y19" s="34">
        <f t="shared" si="2"/>
        <v>13.579124369560814</v>
      </c>
      <c r="Z19" s="34">
        <f t="shared" si="2"/>
        <v>13.312846023121768</v>
      </c>
      <c r="AA19" s="34">
        <f t="shared" si="2"/>
        <v>13.051789232642637</v>
      </c>
      <c r="AB19" s="34">
        <f t="shared" si="2"/>
        <v>12.795851606595882</v>
      </c>
      <c r="AC19" s="34">
        <f t="shared" si="2"/>
        <v>12.544932761289367</v>
      </c>
      <c r="AD19" s="34">
        <f t="shared" si="2"/>
        <v>12.29893428149393</v>
      </c>
      <c r="AE19" s="34">
        <f t="shared" si="2"/>
        <v>12.057759681843024</v>
      </c>
      <c r="AF19" s="34">
        <f>AF20+AE21</f>
        <v>11.82131436898929</v>
      </c>
      <c r="AG19" s="130">
        <f t="shared" si="2"/>
        <v>76.494686506099626</v>
      </c>
      <c r="AH19" s="160"/>
      <c r="AI19" s="45"/>
      <c r="AJ19" s="45"/>
      <c r="AK19" s="45"/>
      <c r="AL19" s="45"/>
      <c r="AM19" s="45"/>
      <c r="AN19" s="45"/>
      <c r="AO19" s="45"/>
      <c r="AP19" s="7"/>
      <c r="AQ19" s="7"/>
      <c r="AR19" s="7"/>
      <c r="AS19" s="7"/>
      <c r="AT19" s="7"/>
      <c r="AU19" s="7"/>
      <c r="AV19" s="7"/>
      <c r="AW19" s="7"/>
      <c r="AX19" s="7"/>
      <c r="AY19" s="7"/>
      <c r="AZ19" s="7"/>
      <c r="BA19" s="7"/>
      <c r="BB19" s="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ht="29" x14ac:dyDescent="0.35">
      <c r="A20" s="77" t="s">
        <v>214</v>
      </c>
      <c r="B20" s="13">
        <v>0</v>
      </c>
      <c r="C20" s="34">
        <f t="shared" ref="C20:AF20" si="3">(EXP(-$C$61))*B19</f>
        <v>0</v>
      </c>
      <c r="D20" s="34">
        <f t="shared" si="3"/>
        <v>0</v>
      </c>
      <c r="E20" s="34">
        <f t="shared" si="3"/>
        <v>0</v>
      </c>
      <c r="F20" s="34">
        <f t="shared" si="3"/>
        <v>0</v>
      </c>
      <c r="G20" s="34">
        <f t="shared" si="3"/>
        <v>0</v>
      </c>
      <c r="H20" s="34">
        <f t="shared" si="3"/>
        <v>0</v>
      </c>
      <c r="I20" s="34">
        <f t="shared" si="3"/>
        <v>0</v>
      </c>
      <c r="J20" s="34">
        <f t="shared" si="3"/>
        <v>0</v>
      </c>
      <c r="K20" s="34">
        <f t="shared" si="3"/>
        <v>0</v>
      </c>
      <c r="L20" s="34">
        <f t="shared" si="3"/>
        <v>0</v>
      </c>
      <c r="M20" s="34">
        <f>(EXP(-$C$61))*L19</f>
        <v>0</v>
      </c>
      <c r="N20" s="34">
        <f t="shared" si="3"/>
        <v>0</v>
      </c>
      <c r="O20" s="34">
        <f t="shared" si="3"/>
        <v>0</v>
      </c>
      <c r="P20" s="34">
        <f t="shared" si="3"/>
        <v>0</v>
      </c>
      <c r="Q20" s="34">
        <f t="shared" si="3"/>
        <v>0</v>
      </c>
      <c r="R20" s="34">
        <f t="shared" si="3"/>
        <v>0</v>
      </c>
      <c r="S20" s="34">
        <f t="shared" si="3"/>
        <v>0</v>
      </c>
      <c r="T20" s="34">
        <f t="shared" si="3"/>
        <v>0</v>
      </c>
      <c r="U20" s="34">
        <f t="shared" si="3"/>
        <v>5.5148105906718454</v>
      </c>
      <c r="V20" s="34">
        <f t="shared" si="3"/>
        <v>5.4066685186910926</v>
      </c>
      <c r="W20" s="34">
        <f t="shared" si="3"/>
        <v>5.3006470467817319</v>
      </c>
      <c r="X20" s="34">
        <f t="shared" si="3"/>
        <v>5.1967045912698007</v>
      </c>
      <c r="Y20" s="34">
        <f t="shared" si="3"/>
        <v>13.579124369560814</v>
      </c>
      <c r="Z20" s="34">
        <f t="shared" si="3"/>
        <v>13.312846023121768</v>
      </c>
      <c r="AA20" s="34">
        <f t="shared" si="3"/>
        <v>13.051789232642637</v>
      </c>
      <c r="AB20" s="34">
        <f t="shared" si="3"/>
        <v>12.795851606595882</v>
      </c>
      <c r="AC20" s="34">
        <f t="shared" si="3"/>
        <v>12.544932761289367</v>
      </c>
      <c r="AD20" s="34">
        <f t="shared" si="3"/>
        <v>12.29893428149393</v>
      </c>
      <c r="AE20" s="34">
        <f t="shared" si="3"/>
        <v>12.057759681843024</v>
      </c>
      <c r="AF20" s="34">
        <f t="shared" si="3"/>
        <v>11.82131436898929</v>
      </c>
      <c r="AG20" s="130">
        <f t="shared" ref="AG20" si="4">(EXP(-$C$61))*AF19</f>
        <v>11.589505604503218</v>
      </c>
      <c r="AH20" s="160"/>
      <c r="AI20" s="45"/>
      <c r="AJ20" s="45"/>
      <c r="AK20" s="45"/>
      <c r="AL20" s="45"/>
      <c r="AM20" s="45"/>
      <c r="AN20" s="45"/>
      <c r="AO20" s="45"/>
      <c r="AP20" s="7"/>
      <c r="AQ20" s="7"/>
      <c r="AR20" s="7"/>
      <c r="AS20" s="7"/>
      <c r="AT20" s="7"/>
      <c r="AU20" s="7"/>
      <c r="AV20" s="7"/>
      <c r="AW20" s="7"/>
      <c r="AX20" s="7"/>
      <c r="AY20" s="7"/>
      <c r="AZ20" s="7"/>
      <c r="BA20" s="7"/>
      <c r="BB20" s="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ht="43.5" x14ac:dyDescent="0.35">
      <c r="A21" s="77" t="s">
        <v>213</v>
      </c>
      <c r="B21" s="13">
        <f t="shared" ref="B21:AF21" si="5">((1-EXP(-$C$61))/$C$61)*(B31*$C$56*$B$55)</f>
        <v>0</v>
      </c>
      <c r="C21" s="13">
        <f t="shared" si="5"/>
        <v>0</v>
      </c>
      <c r="D21" s="13">
        <f t="shared" si="5"/>
        <v>0</v>
      </c>
      <c r="E21" s="13">
        <f t="shared" si="5"/>
        <v>0</v>
      </c>
      <c r="F21" s="13">
        <f t="shared" si="5"/>
        <v>0</v>
      </c>
      <c r="G21" s="13">
        <f t="shared" si="5"/>
        <v>0</v>
      </c>
      <c r="H21" s="13">
        <f t="shared" si="5"/>
        <v>0</v>
      </c>
      <c r="I21" s="13">
        <f t="shared" si="5"/>
        <v>0</v>
      </c>
      <c r="J21" s="13">
        <f t="shared" si="5"/>
        <v>0</v>
      </c>
      <c r="K21" s="13">
        <f t="shared" si="5"/>
        <v>0</v>
      </c>
      <c r="L21" s="13">
        <f t="shared" si="5"/>
        <v>0</v>
      </c>
      <c r="M21" s="13">
        <f>((1-EXP(-$C$61))/$C$61)*(M31*$C$56*$B$55)</f>
        <v>0</v>
      </c>
      <c r="N21" s="13">
        <f t="shared" si="5"/>
        <v>0</v>
      </c>
      <c r="O21" s="13">
        <f t="shared" si="5"/>
        <v>0</v>
      </c>
      <c r="P21" s="13">
        <f t="shared" si="5"/>
        <v>0</v>
      </c>
      <c r="Q21" s="13">
        <f>((1-EXP(-$C$61))/$C$61)*(Q31*$C$56*$B$55)</f>
        <v>0</v>
      </c>
      <c r="R21" s="13">
        <f t="shared" si="5"/>
        <v>0</v>
      </c>
      <c r="S21" s="13">
        <f t="shared" si="5"/>
        <v>5.6251156781383562</v>
      </c>
      <c r="T21" s="13">
        <f t="shared" si="5"/>
        <v>0</v>
      </c>
      <c r="U21" s="13">
        <f t="shared" si="5"/>
        <v>0</v>
      </c>
      <c r="V21" s="13">
        <f t="shared" si="5"/>
        <v>0</v>
      </c>
      <c r="W21" s="13">
        <f t="shared" si="5"/>
        <v>8.6540241202128563</v>
      </c>
      <c r="X21" s="13">
        <f t="shared" si="5"/>
        <v>0</v>
      </c>
      <c r="Y21" s="13">
        <f t="shared" si="5"/>
        <v>0</v>
      </c>
      <c r="Z21" s="13">
        <f t="shared" si="5"/>
        <v>0</v>
      </c>
      <c r="AA21" s="13">
        <f t="shared" si="5"/>
        <v>0</v>
      </c>
      <c r="AB21" s="13">
        <f t="shared" si="5"/>
        <v>0</v>
      </c>
      <c r="AC21" s="13">
        <f t="shared" si="5"/>
        <v>0</v>
      </c>
      <c r="AD21" s="13">
        <f t="shared" si="5"/>
        <v>0</v>
      </c>
      <c r="AE21" s="13">
        <f t="shared" si="5"/>
        <v>0</v>
      </c>
      <c r="AF21" s="13">
        <f t="shared" si="5"/>
        <v>64.90518090159641</v>
      </c>
      <c r="AG21" s="14">
        <f t="shared" ref="AG21" si="6">((1-EXP(-$C$61))/$C$61)*(AG31*$C$56*$B$55)</f>
        <v>0</v>
      </c>
      <c r="AH21" s="161"/>
      <c r="AI21" s="16"/>
      <c r="AJ21" s="16"/>
      <c r="AK21" s="16"/>
      <c r="AL21" s="16"/>
      <c r="AM21" s="16"/>
      <c r="AN21" s="16"/>
      <c r="AO21" s="16"/>
      <c r="AP21" s="7"/>
      <c r="AQ21" s="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78" t="s">
        <v>216</v>
      </c>
      <c r="B22" s="13">
        <v>0</v>
      </c>
      <c r="C22" s="34">
        <f>B23+B24</f>
        <v>0</v>
      </c>
      <c r="D22" s="34">
        <f>C23+C24</f>
        <v>0</v>
      </c>
      <c r="E22" s="34">
        <f t="shared" ref="E22:AE22" si="7">D23+D24</f>
        <v>0</v>
      </c>
      <c r="F22" s="34">
        <f t="shared" si="7"/>
        <v>0</v>
      </c>
      <c r="G22" s="34">
        <f t="shared" si="7"/>
        <v>0</v>
      </c>
      <c r="H22" s="34">
        <f t="shared" si="7"/>
        <v>0</v>
      </c>
      <c r="I22" s="34">
        <f t="shared" si="7"/>
        <v>0</v>
      </c>
      <c r="J22" s="34">
        <f t="shared" si="7"/>
        <v>0</v>
      </c>
      <c r="K22" s="34">
        <f t="shared" si="7"/>
        <v>0</v>
      </c>
      <c r="L22" s="34">
        <f t="shared" si="7"/>
        <v>0</v>
      </c>
      <c r="M22" s="34">
        <f t="shared" si="7"/>
        <v>0</v>
      </c>
      <c r="N22" s="34">
        <f t="shared" si="7"/>
        <v>0</v>
      </c>
      <c r="O22" s="34">
        <f t="shared" si="7"/>
        <v>0</v>
      </c>
      <c r="P22" s="34">
        <f t="shared" si="7"/>
        <v>0</v>
      </c>
      <c r="Q22" s="34">
        <f t="shared" si="7"/>
        <v>0</v>
      </c>
      <c r="R22" s="34">
        <f t="shared" si="7"/>
        <v>0</v>
      </c>
      <c r="S22" s="34">
        <f t="shared" si="7"/>
        <v>0</v>
      </c>
      <c r="T22" s="34">
        <f t="shared" si="7"/>
        <v>0</v>
      </c>
      <c r="U22" s="34">
        <f t="shared" si="7"/>
        <v>0</v>
      </c>
      <c r="V22" s="34">
        <f t="shared" si="7"/>
        <v>0</v>
      </c>
      <c r="W22" s="34">
        <f t="shared" si="7"/>
        <v>0</v>
      </c>
      <c r="X22" s="34">
        <f t="shared" si="7"/>
        <v>0</v>
      </c>
      <c r="Y22" s="34">
        <f t="shared" si="7"/>
        <v>0</v>
      </c>
      <c r="Z22" s="34">
        <f t="shared" si="7"/>
        <v>0</v>
      </c>
      <c r="AA22" s="34">
        <f t="shared" si="7"/>
        <v>0</v>
      </c>
      <c r="AB22" s="34">
        <f t="shared" si="7"/>
        <v>0</v>
      </c>
      <c r="AC22" s="34">
        <f t="shared" si="7"/>
        <v>0</v>
      </c>
      <c r="AD22" s="34">
        <f t="shared" si="7"/>
        <v>0</v>
      </c>
      <c r="AE22" s="34">
        <f t="shared" si="7"/>
        <v>0</v>
      </c>
      <c r="AF22" s="34">
        <f>AE23+AE24</f>
        <v>0</v>
      </c>
      <c r="AG22" s="130">
        <f t="shared" ref="AG22" si="8">AF23+AF24</f>
        <v>0</v>
      </c>
      <c r="AH22" s="160"/>
      <c r="AI22" s="45"/>
      <c r="AJ22" s="45"/>
      <c r="AK22" s="45"/>
      <c r="AL22" s="45"/>
      <c r="AM22" s="45"/>
      <c r="AN22" s="45"/>
      <c r="AO22" s="45"/>
      <c r="AP22" s="7"/>
      <c r="AQ22" s="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ht="29" x14ac:dyDescent="0.35">
      <c r="A23" s="78" t="s">
        <v>217</v>
      </c>
      <c r="B23" s="13">
        <v>0</v>
      </c>
      <c r="C23" s="34">
        <f t="shared" ref="C23:AF23" si="9">(EXP(-$C$62))*B22</f>
        <v>0</v>
      </c>
      <c r="D23" s="34">
        <f t="shared" si="9"/>
        <v>0</v>
      </c>
      <c r="E23" s="34">
        <f t="shared" si="9"/>
        <v>0</v>
      </c>
      <c r="F23" s="34">
        <f t="shared" si="9"/>
        <v>0</v>
      </c>
      <c r="G23" s="34">
        <f t="shared" si="9"/>
        <v>0</v>
      </c>
      <c r="H23" s="34">
        <f t="shared" si="9"/>
        <v>0</v>
      </c>
      <c r="I23" s="34">
        <f t="shared" si="9"/>
        <v>0</v>
      </c>
      <c r="J23" s="34">
        <f t="shared" si="9"/>
        <v>0</v>
      </c>
      <c r="K23" s="34">
        <f t="shared" si="9"/>
        <v>0</v>
      </c>
      <c r="L23" s="34">
        <f t="shared" si="9"/>
        <v>0</v>
      </c>
      <c r="M23" s="34">
        <f t="shared" si="9"/>
        <v>0</v>
      </c>
      <c r="N23" s="34">
        <f t="shared" si="9"/>
        <v>0</v>
      </c>
      <c r="O23" s="34">
        <f t="shared" si="9"/>
        <v>0</v>
      </c>
      <c r="P23" s="34">
        <f t="shared" si="9"/>
        <v>0</v>
      </c>
      <c r="Q23" s="34">
        <f t="shared" si="9"/>
        <v>0</v>
      </c>
      <c r="R23" s="34">
        <f t="shared" si="9"/>
        <v>0</v>
      </c>
      <c r="S23" s="34">
        <f t="shared" si="9"/>
        <v>0</v>
      </c>
      <c r="T23" s="34">
        <f t="shared" si="9"/>
        <v>0</v>
      </c>
      <c r="U23" s="34">
        <f t="shared" si="9"/>
        <v>0</v>
      </c>
      <c r="V23" s="34">
        <f t="shared" si="9"/>
        <v>0</v>
      </c>
      <c r="W23" s="34">
        <f t="shared" si="9"/>
        <v>0</v>
      </c>
      <c r="X23" s="34">
        <f t="shared" si="9"/>
        <v>0</v>
      </c>
      <c r="Y23" s="34">
        <f t="shared" si="9"/>
        <v>0</v>
      </c>
      <c r="Z23" s="34">
        <f t="shared" si="9"/>
        <v>0</v>
      </c>
      <c r="AA23" s="34">
        <f t="shared" si="9"/>
        <v>0</v>
      </c>
      <c r="AB23" s="34">
        <f t="shared" si="9"/>
        <v>0</v>
      </c>
      <c r="AC23" s="34">
        <f t="shared" si="9"/>
        <v>0</v>
      </c>
      <c r="AD23" s="34">
        <f t="shared" si="9"/>
        <v>0</v>
      </c>
      <c r="AE23" s="34">
        <f t="shared" si="9"/>
        <v>0</v>
      </c>
      <c r="AF23" s="34">
        <f t="shared" si="9"/>
        <v>0</v>
      </c>
      <c r="AG23" s="130">
        <f t="shared" ref="AG23" si="10">(EXP(-$C$62))*AF22</f>
        <v>0</v>
      </c>
      <c r="AH23" s="160"/>
      <c r="AI23" s="45"/>
      <c r="AJ23" s="45"/>
      <c r="AK23" s="45"/>
      <c r="AL23" s="45"/>
      <c r="AM23" s="45"/>
      <c r="AN23" s="45"/>
      <c r="AO23" s="45"/>
      <c r="AP23" s="7"/>
      <c r="AQ23" s="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ht="43.5" x14ac:dyDescent="0.35">
      <c r="A24" s="78" t="s">
        <v>218</v>
      </c>
      <c r="B24" s="13">
        <f t="shared" ref="B24:AF24" si="11">((1-EXP(-$C$62))/$C$62)*(B32*$C$56*$B$55)</f>
        <v>0</v>
      </c>
      <c r="C24" s="13">
        <f t="shared" si="11"/>
        <v>0</v>
      </c>
      <c r="D24" s="13">
        <f t="shared" si="11"/>
        <v>0</v>
      </c>
      <c r="E24" s="13">
        <f t="shared" si="11"/>
        <v>0</v>
      </c>
      <c r="F24" s="13">
        <f t="shared" si="11"/>
        <v>0</v>
      </c>
      <c r="G24" s="13">
        <f t="shared" si="11"/>
        <v>0</v>
      </c>
      <c r="H24" s="13">
        <f t="shared" si="11"/>
        <v>0</v>
      </c>
      <c r="I24" s="13">
        <f t="shared" si="11"/>
        <v>0</v>
      </c>
      <c r="J24" s="13">
        <f t="shared" si="11"/>
        <v>0</v>
      </c>
      <c r="K24" s="13">
        <f t="shared" si="11"/>
        <v>0</v>
      </c>
      <c r="L24" s="13">
        <f t="shared" si="11"/>
        <v>0</v>
      </c>
      <c r="M24" s="13">
        <f t="shared" si="11"/>
        <v>0</v>
      </c>
      <c r="N24" s="13">
        <f t="shared" si="11"/>
        <v>0</v>
      </c>
      <c r="O24" s="13">
        <f t="shared" si="11"/>
        <v>0</v>
      </c>
      <c r="P24" s="13">
        <f t="shared" si="11"/>
        <v>0</v>
      </c>
      <c r="Q24" s="13">
        <f t="shared" si="11"/>
        <v>0</v>
      </c>
      <c r="R24" s="13">
        <f t="shared" si="11"/>
        <v>0</v>
      </c>
      <c r="S24" s="13">
        <f t="shared" si="11"/>
        <v>0</v>
      </c>
      <c r="T24" s="13">
        <f t="shared" si="11"/>
        <v>0</v>
      </c>
      <c r="U24" s="13">
        <f t="shared" si="11"/>
        <v>0</v>
      </c>
      <c r="V24" s="13">
        <f t="shared" si="11"/>
        <v>0</v>
      </c>
      <c r="W24" s="13">
        <f t="shared" si="11"/>
        <v>0</v>
      </c>
      <c r="X24" s="13">
        <f t="shared" si="11"/>
        <v>0</v>
      </c>
      <c r="Y24" s="13">
        <f t="shared" si="11"/>
        <v>0</v>
      </c>
      <c r="Z24" s="13">
        <f t="shared" si="11"/>
        <v>0</v>
      </c>
      <c r="AA24" s="13">
        <f t="shared" si="11"/>
        <v>0</v>
      </c>
      <c r="AB24" s="13">
        <f t="shared" si="11"/>
        <v>0</v>
      </c>
      <c r="AC24" s="13">
        <f t="shared" si="11"/>
        <v>0</v>
      </c>
      <c r="AD24" s="13">
        <f t="shared" si="11"/>
        <v>0</v>
      </c>
      <c r="AE24" s="13">
        <f t="shared" si="11"/>
        <v>0</v>
      </c>
      <c r="AF24" s="13">
        <f t="shared" si="11"/>
        <v>0</v>
      </c>
      <c r="AG24" s="14">
        <f t="shared" ref="AG24" si="12">((1-EXP(-$C$62))/$C$62)*(AG32*$C$56*$B$55)</f>
        <v>0</v>
      </c>
      <c r="AH24" s="161"/>
      <c r="AI24" s="16"/>
      <c r="AJ24" s="16"/>
      <c r="AK24" s="16"/>
      <c r="AL24" s="16"/>
      <c r="AM24" s="16"/>
      <c r="AN24" s="16"/>
      <c r="AO24" s="16"/>
      <c r="AP24" s="7"/>
      <c r="AQ24" s="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row>
    <row r="25" spans="1:177" x14ac:dyDescent="0.35">
      <c r="A25" s="79" t="s">
        <v>219</v>
      </c>
      <c r="B25" s="13">
        <v>0</v>
      </c>
      <c r="C25" s="34">
        <f>C26+B27</f>
        <v>0</v>
      </c>
      <c r="D25" s="34">
        <f t="shared" ref="D25:AG25" si="13">D26+C27</f>
        <v>0</v>
      </c>
      <c r="E25" s="34">
        <f t="shared" si="13"/>
        <v>0</v>
      </c>
      <c r="F25" s="34">
        <f t="shared" si="13"/>
        <v>0</v>
      </c>
      <c r="G25" s="34">
        <f t="shared" si="13"/>
        <v>0</v>
      </c>
      <c r="H25" s="34">
        <f t="shared" si="13"/>
        <v>0</v>
      </c>
      <c r="I25" s="34">
        <f t="shared" si="13"/>
        <v>0</v>
      </c>
      <c r="J25" s="34">
        <f t="shared" si="13"/>
        <v>0</v>
      </c>
      <c r="K25" s="34">
        <f t="shared" si="13"/>
        <v>0</v>
      </c>
      <c r="L25" s="34">
        <f t="shared" si="13"/>
        <v>0</v>
      </c>
      <c r="M25" s="34">
        <f t="shared" si="13"/>
        <v>0</v>
      </c>
      <c r="N25" s="34">
        <f>N26+M27</f>
        <v>4.8010766623476799</v>
      </c>
      <c r="O25" s="34">
        <f>O26+N27</f>
        <v>3.3948738649425212</v>
      </c>
      <c r="P25" s="34">
        <f t="shared" ref="P25:R25" si="14">P26+O27</f>
        <v>2.4005383311738404</v>
      </c>
      <c r="Q25" s="34">
        <f t="shared" si="14"/>
        <v>1.6974369324712608</v>
      </c>
      <c r="R25" s="34">
        <f t="shared" si="14"/>
        <v>1.2002691655869204</v>
      </c>
      <c r="S25" s="34">
        <f>S26+R27</f>
        <v>0.84871846623563063</v>
      </c>
      <c r="T25" s="34">
        <f t="shared" si="13"/>
        <v>5.5858680398468197</v>
      </c>
      <c r="U25" s="34">
        <f t="shared" si="13"/>
        <v>3.9498051697888945</v>
      </c>
      <c r="V25" s="34">
        <f t="shared" si="13"/>
        <v>2.7929340199234103</v>
      </c>
      <c r="W25" s="34">
        <f t="shared" si="13"/>
        <v>1.9749025848944475</v>
      </c>
      <c r="X25" s="34">
        <f t="shared" si="13"/>
        <v>5.0896029040753055</v>
      </c>
      <c r="Y25" s="34">
        <f t="shared" si="13"/>
        <v>3.5988927270183941</v>
      </c>
      <c r="Z25" s="34">
        <f t="shared" si="13"/>
        <v>2.5448014520376532</v>
      </c>
      <c r="AA25" s="34">
        <f t="shared" si="13"/>
        <v>1.7994463635091973</v>
      </c>
      <c r="AB25" s="34">
        <f t="shared" si="13"/>
        <v>1.2724007260188268</v>
      </c>
      <c r="AC25" s="34">
        <f>AC26+AB27</f>
        <v>0.89972318175459887</v>
      </c>
      <c r="AD25" s="34">
        <f t="shared" si="13"/>
        <v>0.63620036300941352</v>
      </c>
      <c r="AE25" s="34">
        <f t="shared" si="13"/>
        <v>0.44986159087729949</v>
      </c>
      <c r="AF25" s="34">
        <f t="shared" si="13"/>
        <v>0.31810018150470681</v>
      </c>
      <c r="AG25" s="130">
        <f t="shared" si="13"/>
        <v>10.01174091483969</v>
      </c>
      <c r="AH25" s="160"/>
      <c r="AI25" s="45"/>
      <c r="AJ25" s="45"/>
      <c r="AK25" s="45"/>
      <c r="AL25" s="45"/>
      <c r="AM25" s="45"/>
      <c r="AN25" s="45"/>
      <c r="AO25" s="45"/>
      <c r="AP25" s="7"/>
      <c r="AQ25" s="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row>
    <row r="26" spans="1:177" ht="29" x14ac:dyDescent="0.35">
      <c r="A26" s="79" t="s">
        <v>220</v>
      </c>
      <c r="B26" s="13">
        <v>0</v>
      </c>
      <c r="C26" s="34">
        <f t="shared" ref="C26:AF26" si="15">(EXP(-$C$63))*B25</f>
        <v>0</v>
      </c>
      <c r="D26" s="34">
        <f t="shared" si="15"/>
        <v>0</v>
      </c>
      <c r="E26" s="34">
        <f t="shared" si="15"/>
        <v>0</v>
      </c>
      <c r="F26" s="34">
        <f t="shared" si="15"/>
        <v>0</v>
      </c>
      <c r="G26" s="34">
        <f t="shared" si="15"/>
        <v>0</v>
      </c>
      <c r="H26" s="34">
        <f t="shared" si="15"/>
        <v>0</v>
      </c>
      <c r="I26" s="34">
        <f t="shared" si="15"/>
        <v>0</v>
      </c>
      <c r="J26" s="34">
        <f t="shared" si="15"/>
        <v>0</v>
      </c>
      <c r="K26" s="34">
        <f t="shared" si="15"/>
        <v>0</v>
      </c>
      <c r="L26" s="34">
        <f t="shared" si="15"/>
        <v>0</v>
      </c>
      <c r="M26" s="34">
        <f t="shared" si="15"/>
        <v>0</v>
      </c>
      <c r="N26" s="34">
        <f>(EXP(-$C$63))*M25</f>
        <v>0</v>
      </c>
      <c r="O26" s="34">
        <f>(EXP(-$C$63))*N25</f>
        <v>3.3948738649425212</v>
      </c>
      <c r="P26" s="34">
        <f>(EXP(-$C$63))*O25</f>
        <v>2.4005383311738404</v>
      </c>
      <c r="Q26" s="34">
        <f>(EXP(-$C$63))*P25</f>
        <v>1.6974369324712608</v>
      </c>
      <c r="R26" s="34">
        <f t="shared" si="15"/>
        <v>1.2002691655869204</v>
      </c>
      <c r="S26" s="34">
        <f>(EXP(-$C$63))*R25</f>
        <v>0.84871846623563063</v>
      </c>
      <c r="T26" s="34">
        <f t="shared" si="15"/>
        <v>0.60013458279346032</v>
      </c>
      <c r="U26" s="34">
        <f>(EXP(-$C$63))*T25</f>
        <v>3.9498051697888945</v>
      </c>
      <c r="V26" s="34">
        <f t="shared" si="15"/>
        <v>2.7929340199234103</v>
      </c>
      <c r="W26" s="34">
        <f t="shared" si="15"/>
        <v>1.9749025848944475</v>
      </c>
      <c r="X26" s="34">
        <f t="shared" si="15"/>
        <v>1.3964670099617054</v>
      </c>
      <c r="Y26" s="34">
        <f>(EXP(-$C$63))*X25</f>
        <v>3.5988927270183941</v>
      </c>
      <c r="Z26" s="34">
        <f>(EXP(-$C$63))*Y25</f>
        <v>2.5448014520376532</v>
      </c>
      <c r="AA26" s="34">
        <f t="shared" si="15"/>
        <v>1.7994463635091973</v>
      </c>
      <c r="AB26" s="34">
        <f t="shared" si="15"/>
        <v>1.2724007260188268</v>
      </c>
      <c r="AC26" s="34">
        <f>(EXP(-$C$63))*AB25</f>
        <v>0.89972318175459887</v>
      </c>
      <c r="AD26" s="34">
        <f>(EXP(-$C$63))*AC25</f>
        <v>0.63620036300941352</v>
      </c>
      <c r="AE26" s="34">
        <f t="shared" si="15"/>
        <v>0.44986159087729949</v>
      </c>
      <c r="AF26" s="34">
        <f t="shared" si="15"/>
        <v>0.31810018150470681</v>
      </c>
      <c r="AG26" s="130">
        <f t="shared" ref="AG26" si="16">(EXP(-$C$63))*AF25</f>
        <v>0.2249307954386498</v>
      </c>
      <c r="AH26" s="160"/>
      <c r="AI26" s="45"/>
      <c r="AJ26" s="45"/>
      <c r="AK26" s="45"/>
      <c r="AL26" s="45"/>
      <c r="AM26" s="45"/>
      <c r="AN26" s="45"/>
      <c r="AO26" s="45"/>
      <c r="AP26" s="7"/>
      <c r="AQ26" s="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row>
    <row r="27" spans="1:177" ht="43.5" x14ac:dyDescent="0.35">
      <c r="A27" s="79" t="s">
        <v>221</v>
      </c>
      <c r="B27" s="13">
        <f t="shared" ref="B27:AF27" si="17">((1-EXP(-$C$63))/$C$63)*(B33*$C$56*$B$55)</f>
        <v>0</v>
      </c>
      <c r="C27" s="13">
        <f t="shared" si="17"/>
        <v>0</v>
      </c>
      <c r="D27" s="13">
        <f t="shared" si="17"/>
        <v>0</v>
      </c>
      <c r="E27" s="13">
        <f t="shared" si="17"/>
        <v>0</v>
      </c>
      <c r="F27" s="13">
        <f t="shared" si="17"/>
        <v>0</v>
      </c>
      <c r="G27" s="13">
        <f t="shared" si="17"/>
        <v>0</v>
      </c>
      <c r="H27" s="13">
        <f t="shared" si="17"/>
        <v>0</v>
      </c>
      <c r="I27" s="13">
        <f t="shared" si="17"/>
        <v>0</v>
      </c>
      <c r="J27" s="13">
        <f t="shared" si="17"/>
        <v>0</v>
      </c>
      <c r="K27" s="13">
        <f t="shared" si="17"/>
        <v>0</v>
      </c>
      <c r="L27" s="13">
        <f t="shared" si="17"/>
        <v>0</v>
      </c>
      <c r="M27" s="13">
        <f>((1-EXP(-$C$63))/$C$63)*(M33*$C$56*$B$55)</f>
        <v>4.8010766623476799</v>
      </c>
      <c r="N27" s="13">
        <f t="shared" si="17"/>
        <v>0</v>
      </c>
      <c r="O27" s="13">
        <f>((1-EXP(-$C$63))/$C$63)*(O33*$C$56*$B$55)</f>
        <v>0</v>
      </c>
      <c r="P27" s="13">
        <f t="shared" si="17"/>
        <v>0</v>
      </c>
      <c r="Q27" s="13">
        <f t="shared" si="17"/>
        <v>0</v>
      </c>
      <c r="R27" s="13">
        <f t="shared" si="17"/>
        <v>0</v>
      </c>
      <c r="S27" s="13">
        <f t="shared" si="17"/>
        <v>4.9857334570533594</v>
      </c>
      <c r="T27" s="13">
        <f t="shared" si="17"/>
        <v>0</v>
      </c>
      <c r="U27" s="13">
        <f t="shared" si="17"/>
        <v>0</v>
      </c>
      <c r="V27" s="13">
        <f t="shared" si="17"/>
        <v>0</v>
      </c>
      <c r="W27" s="13">
        <f t="shared" si="17"/>
        <v>3.6931358941135999</v>
      </c>
      <c r="X27" s="13">
        <f t="shared" si="17"/>
        <v>0</v>
      </c>
      <c r="Y27" s="13">
        <f t="shared" si="17"/>
        <v>0</v>
      </c>
      <c r="Z27" s="13">
        <f t="shared" si="17"/>
        <v>0</v>
      </c>
      <c r="AA27" s="13">
        <f t="shared" si="17"/>
        <v>0</v>
      </c>
      <c r="AB27" s="13">
        <f t="shared" si="17"/>
        <v>0</v>
      </c>
      <c r="AC27" s="13">
        <f t="shared" si="17"/>
        <v>0</v>
      </c>
      <c r="AD27" s="13">
        <f t="shared" si="17"/>
        <v>0</v>
      </c>
      <c r="AE27" s="13">
        <f t="shared" si="17"/>
        <v>0</v>
      </c>
      <c r="AF27" s="13">
        <f t="shared" si="17"/>
        <v>9.7868101194010393</v>
      </c>
      <c r="AG27" s="14">
        <f t="shared" ref="AG27" si="18">((1-EXP(-$C$63))/$C$63)*(AG33*$C$56*$B$55)</f>
        <v>0</v>
      </c>
      <c r="AH27" s="161"/>
      <c r="AI27" s="16"/>
      <c r="AJ27" s="16"/>
      <c r="AK27" s="16"/>
      <c r="AL27" s="16"/>
      <c r="AM27" s="16"/>
      <c r="AN27" s="16"/>
      <c r="AO27" s="16"/>
      <c r="AP27" s="7"/>
      <c r="AQ27" s="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row>
    <row r="28" spans="1:177" x14ac:dyDescent="0.35">
      <c r="A28" s="108" t="s">
        <v>222</v>
      </c>
      <c r="B28" s="13">
        <v>0</v>
      </c>
      <c r="C28" s="34">
        <f>B29+B30</f>
        <v>0</v>
      </c>
      <c r="D28" s="34">
        <f t="shared" ref="D28:AE28" si="19">C29+C30</f>
        <v>0</v>
      </c>
      <c r="E28" s="34">
        <f t="shared" si="19"/>
        <v>0</v>
      </c>
      <c r="F28" s="34">
        <f t="shared" si="19"/>
        <v>0</v>
      </c>
      <c r="G28" s="34">
        <f t="shared" si="19"/>
        <v>0</v>
      </c>
      <c r="H28" s="34">
        <f t="shared" si="19"/>
        <v>0</v>
      </c>
      <c r="I28" s="34">
        <f t="shared" si="19"/>
        <v>0</v>
      </c>
      <c r="J28" s="34">
        <f t="shared" si="19"/>
        <v>0</v>
      </c>
      <c r="K28" s="34">
        <f t="shared" si="19"/>
        <v>0</v>
      </c>
      <c r="L28" s="34">
        <f t="shared" si="19"/>
        <v>0</v>
      </c>
      <c r="M28" s="34">
        <f t="shared" si="19"/>
        <v>0</v>
      </c>
      <c r="N28" s="34">
        <f t="shared" si="19"/>
        <v>0</v>
      </c>
      <c r="O28" s="34">
        <f t="shared" si="19"/>
        <v>0</v>
      </c>
      <c r="P28" s="34">
        <f t="shared" si="19"/>
        <v>0</v>
      </c>
      <c r="Q28" s="34">
        <f t="shared" si="19"/>
        <v>0</v>
      </c>
      <c r="R28" s="34">
        <f t="shared" si="19"/>
        <v>0</v>
      </c>
      <c r="S28" s="34">
        <f t="shared" si="19"/>
        <v>0</v>
      </c>
      <c r="T28" s="34">
        <f t="shared" si="19"/>
        <v>0</v>
      </c>
      <c r="U28" s="34">
        <f t="shared" si="19"/>
        <v>0</v>
      </c>
      <c r="V28" s="34">
        <f t="shared" si="19"/>
        <v>0</v>
      </c>
      <c r="W28" s="34">
        <f t="shared" si="19"/>
        <v>0</v>
      </c>
      <c r="X28" s="34">
        <f t="shared" si="19"/>
        <v>0</v>
      </c>
      <c r="Y28" s="34">
        <f t="shared" si="19"/>
        <v>0</v>
      </c>
      <c r="Z28" s="34">
        <f t="shared" si="19"/>
        <v>0</v>
      </c>
      <c r="AA28" s="34">
        <f t="shared" si="19"/>
        <v>0</v>
      </c>
      <c r="AB28" s="34">
        <f t="shared" si="19"/>
        <v>0</v>
      </c>
      <c r="AC28" s="34">
        <f t="shared" si="19"/>
        <v>0</v>
      </c>
      <c r="AD28" s="34">
        <f t="shared" si="19"/>
        <v>0</v>
      </c>
      <c r="AE28" s="34">
        <f t="shared" si="19"/>
        <v>0</v>
      </c>
      <c r="AF28" s="34">
        <f>AE29+AE30</f>
        <v>0</v>
      </c>
      <c r="AG28" s="130">
        <f t="shared" ref="AG28" si="20">AF29+AF30</f>
        <v>0</v>
      </c>
      <c r="AH28" s="160"/>
      <c r="AI28" s="45"/>
      <c r="AJ28" s="45"/>
      <c r="AK28" s="45"/>
      <c r="AL28" s="45"/>
      <c r="AM28" s="45"/>
      <c r="AN28" s="45"/>
      <c r="AO28" s="45"/>
      <c r="AP28" s="7"/>
      <c r="AQ28" s="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row>
    <row r="29" spans="1:177" ht="29" x14ac:dyDescent="0.35">
      <c r="A29" s="108" t="s">
        <v>223</v>
      </c>
      <c r="B29" s="13">
        <v>0</v>
      </c>
      <c r="C29" s="34">
        <f t="shared" ref="C29:AF29" si="21">(EXP(-$C$64))*B28</f>
        <v>0</v>
      </c>
      <c r="D29" s="34">
        <f t="shared" si="21"/>
        <v>0</v>
      </c>
      <c r="E29" s="34">
        <f t="shared" si="21"/>
        <v>0</v>
      </c>
      <c r="F29" s="34">
        <f t="shared" si="21"/>
        <v>0</v>
      </c>
      <c r="G29" s="34">
        <f t="shared" si="21"/>
        <v>0</v>
      </c>
      <c r="H29" s="34">
        <f t="shared" si="21"/>
        <v>0</v>
      </c>
      <c r="I29" s="34">
        <f t="shared" si="21"/>
        <v>0</v>
      </c>
      <c r="J29" s="34">
        <f t="shared" si="21"/>
        <v>0</v>
      </c>
      <c r="K29" s="34">
        <f t="shared" si="21"/>
        <v>0</v>
      </c>
      <c r="L29" s="34">
        <f t="shared" si="21"/>
        <v>0</v>
      </c>
      <c r="M29" s="34">
        <f t="shared" si="21"/>
        <v>0</v>
      </c>
      <c r="N29" s="34">
        <f t="shared" si="21"/>
        <v>0</v>
      </c>
      <c r="O29" s="34">
        <f t="shared" si="21"/>
        <v>0</v>
      </c>
      <c r="P29" s="34">
        <f t="shared" si="21"/>
        <v>0</v>
      </c>
      <c r="Q29" s="34">
        <f t="shared" si="21"/>
        <v>0</v>
      </c>
      <c r="R29" s="34">
        <f t="shared" si="21"/>
        <v>0</v>
      </c>
      <c r="S29" s="34">
        <f t="shared" si="21"/>
        <v>0</v>
      </c>
      <c r="T29" s="34">
        <f t="shared" si="21"/>
        <v>0</v>
      </c>
      <c r="U29" s="34">
        <f t="shared" si="21"/>
        <v>0</v>
      </c>
      <c r="V29" s="34">
        <f t="shared" si="21"/>
        <v>0</v>
      </c>
      <c r="W29" s="34">
        <f t="shared" si="21"/>
        <v>0</v>
      </c>
      <c r="X29" s="34">
        <f t="shared" si="21"/>
        <v>0</v>
      </c>
      <c r="Y29" s="34">
        <f t="shared" si="21"/>
        <v>0</v>
      </c>
      <c r="Z29" s="34">
        <f t="shared" si="21"/>
        <v>0</v>
      </c>
      <c r="AA29" s="34">
        <f t="shared" si="21"/>
        <v>0</v>
      </c>
      <c r="AB29" s="34">
        <f t="shared" si="21"/>
        <v>0</v>
      </c>
      <c r="AC29" s="34">
        <f t="shared" si="21"/>
        <v>0</v>
      </c>
      <c r="AD29" s="34">
        <f t="shared" si="21"/>
        <v>0</v>
      </c>
      <c r="AE29" s="34">
        <f t="shared" si="21"/>
        <v>0</v>
      </c>
      <c r="AF29" s="34">
        <f t="shared" si="21"/>
        <v>0</v>
      </c>
      <c r="AG29" s="130">
        <f t="shared" ref="AG29" si="22">(EXP(-$C$64))*AF28</f>
        <v>0</v>
      </c>
      <c r="AH29" s="160"/>
      <c r="AI29" s="45"/>
      <c r="AJ29" s="45"/>
      <c r="AK29" s="45"/>
      <c r="AL29" s="45"/>
      <c r="AM29" s="45"/>
      <c r="AN29" s="45"/>
      <c r="AO29" s="45"/>
      <c r="AP29" s="7"/>
      <c r="AQ29" s="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row>
    <row r="30" spans="1:177" ht="43.5" x14ac:dyDescent="0.35">
      <c r="A30" s="108" t="s">
        <v>224</v>
      </c>
      <c r="B30" s="13">
        <f t="shared" ref="B30:AF30" si="23">((1-EXP(-$C$64))/$C$64)*(B34*$C$56*$B$55)</f>
        <v>0</v>
      </c>
      <c r="C30" s="13">
        <f t="shared" si="23"/>
        <v>0</v>
      </c>
      <c r="D30" s="13">
        <f t="shared" si="23"/>
        <v>0</v>
      </c>
      <c r="E30" s="13">
        <f t="shared" si="23"/>
        <v>0</v>
      </c>
      <c r="F30" s="13">
        <f t="shared" si="23"/>
        <v>0</v>
      </c>
      <c r="G30" s="13">
        <f t="shared" si="23"/>
        <v>0</v>
      </c>
      <c r="H30" s="13">
        <f t="shared" si="23"/>
        <v>0</v>
      </c>
      <c r="I30" s="13">
        <f t="shared" si="23"/>
        <v>0</v>
      </c>
      <c r="J30" s="13">
        <f t="shared" si="23"/>
        <v>0</v>
      </c>
      <c r="K30" s="13">
        <f t="shared" si="23"/>
        <v>0</v>
      </c>
      <c r="L30" s="13">
        <f t="shared" si="23"/>
        <v>0</v>
      </c>
      <c r="M30" s="13">
        <f t="shared" si="23"/>
        <v>0</v>
      </c>
      <c r="N30" s="13">
        <f t="shared" si="23"/>
        <v>0</v>
      </c>
      <c r="O30" s="13">
        <f t="shared" si="23"/>
        <v>0</v>
      </c>
      <c r="P30" s="13">
        <f t="shared" si="23"/>
        <v>0</v>
      </c>
      <c r="Q30" s="13">
        <f t="shared" si="23"/>
        <v>0</v>
      </c>
      <c r="R30" s="13">
        <f t="shared" si="23"/>
        <v>0</v>
      </c>
      <c r="S30" s="13">
        <f t="shared" si="23"/>
        <v>0</v>
      </c>
      <c r="T30" s="13">
        <f t="shared" si="23"/>
        <v>0</v>
      </c>
      <c r="U30" s="13">
        <f t="shared" si="23"/>
        <v>0</v>
      </c>
      <c r="V30" s="13">
        <f t="shared" si="23"/>
        <v>0</v>
      </c>
      <c r="W30" s="13">
        <f t="shared" si="23"/>
        <v>0</v>
      </c>
      <c r="X30" s="13">
        <f t="shared" si="23"/>
        <v>0</v>
      </c>
      <c r="Y30" s="13">
        <f t="shared" si="23"/>
        <v>0</v>
      </c>
      <c r="Z30" s="13">
        <f t="shared" si="23"/>
        <v>0</v>
      </c>
      <c r="AA30" s="13">
        <f t="shared" si="23"/>
        <v>0</v>
      </c>
      <c r="AB30" s="13">
        <f t="shared" si="23"/>
        <v>0</v>
      </c>
      <c r="AC30" s="13">
        <f t="shared" si="23"/>
        <v>0</v>
      </c>
      <c r="AD30" s="13">
        <f t="shared" si="23"/>
        <v>0</v>
      </c>
      <c r="AE30" s="13">
        <f t="shared" si="23"/>
        <v>0</v>
      </c>
      <c r="AF30" s="13">
        <f t="shared" si="23"/>
        <v>0</v>
      </c>
      <c r="AG30" s="14">
        <f t="shared" ref="AG30" si="24">((1-EXP(-$C$64))/$C$64)*(AG34*$C$56*$B$55)</f>
        <v>0</v>
      </c>
      <c r="AH30" s="161"/>
      <c r="AI30" s="16"/>
      <c r="AJ30" s="16"/>
      <c r="AK30" s="16"/>
      <c r="AL30" s="16"/>
      <c r="AM30" s="16"/>
      <c r="AN30" s="16"/>
      <c r="AO30" s="16"/>
      <c r="AP30" s="7"/>
      <c r="AQ30" s="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row>
    <row r="31" spans="1:177" ht="19.5" customHeight="1" x14ac:dyDescent="0.35">
      <c r="A31" s="19" t="s">
        <v>209</v>
      </c>
      <c r="B31" s="12"/>
      <c r="C31" s="12"/>
      <c r="D31" s="12"/>
      <c r="E31" s="12"/>
      <c r="F31" s="12"/>
      <c r="G31" s="12"/>
      <c r="H31" s="12"/>
      <c r="I31" s="12"/>
      <c r="J31" s="12"/>
      <c r="K31" s="12"/>
      <c r="L31" s="12"/>
      <c r="M31" s="12"/>
      <c r="N31" s="12"/>
      <c r="O31" s="12"/>
      <c r="P31" s="12"/>
      <c r="Q31" s="18"/>
      <c r="R31" s="18"/>
      <c r="S31" s="12">
        <v>26</v>
      </c>
      <c r="T31" s="12"/>
      <c r="U31" s="12"/>
      <c r="V31" s="18"/>
      <c r="W31" s="18">
        <v>40</v>
      </c>
      <c r="X31" s="18"/>
      <c r="Y31" s="12"/>
      <c r="Z31" s="12"/>
      <c r="AA31" s="12"/>
      <c r="AB31" s="18"/>
      <c r="AC31" s="12"/>
      <c r="AD31" s="12"/>
      <c r="AE31" s="12"/>
      <c r="AF31" s="125">
        <v>300</v>
      </c>
      <c r="AG31" s="23"/>
      <c r="AH31" s="162"/>
      <c r="AI31" s="7"/>
      <c r="AJ31" s="7"/>
      <c r="AK31" s="16"/>
      <c r="AL31" s="16"/>
      <c r="AM31" s="16"/>
      <c r="AN31" s="16"/>
      <c r="AO31" s="16"/>
      <c r="AP31" s="7"/>
      <c r="AQ31" s="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row>
    <row r="32" spans="1:177" ht="32" customHeight="1" x14ac:dyDescent="0.35">
      <c r="A32" s="19" t="s">
        <v>210</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23"/>
      <c r="AG32" s="23"/>
      <c r="AH32" s="162"/>
      <c r="AI32" s="7"/>
      <c r="AJ32" s="7"/>
      <c r="AK32" s="16"/>
      <c r="AL32" s="16"/>
      <c r="AM32" s="16"/>
      <c r="AN32" s="16"/>
      <c r="AO32" s="16"/>
      <c r="AP32" s="7"/>
      <c r="AQ32" s="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row>
    <row r="33" spans="1:54" x14ac:dyDescent="0.35">
      <c r="A33" s="19" t="s">
        <v>211</v>
      </c>
      <c r="B33" s="18"/>
      <c r="C33" s="18"/>
      <c r="D33" s="18"/>
      <c r="E33" s="18"/>
      <c r="F33" s="18"/>
      <c r="G33" s="18"/>
      <c r="H33" s="18"/>
      <c r="I33" s="18"/>
      <c r="J33" s="18"/>
      <c r="K33" s="18"/>
      <c r="L33" s="18"/>
      <c r="M33" s="18">
        <v>26</v>
      </c>
      <c r="N33" s="18"/>
      <c r="O33" s="18"/>
      <c r="P33" s="18"/>
      <c r="Q33" s="18"/>
      <c r="R33" s="18"/>
      <c r="S33" s="18">
        <v>27</v>
      </c>
      <c r="T33" s="18"/>
      <c r="U33" s="18"/>
      <c r="V33" s="18"/>
      <c r="W33" s="18">
        <v>20</v>
      </c>
      <c r="X33" s="18"/>
      <c r="Y33" s="18"/>
      <c r="Z33" s="18"/>
      <c r="AA33" s="18"/>
      <c r="AB33" s="18"/>
      <c r="AC33" s="18"/>
      <c r="AD33" s="18"/>
      <c r="AE33" s="18"/>
      <c r="AF33" s="18">
        <v>53</v>
      </c>
      <c r="AG33" s="125"/>
      <c r="AH33" s="161"/>
      <c r="AI33" s="16"/>
      <c r="AJ33" s="16"/>
      <c r="AK33" s="16"/>
      <c r="AL33" s="16"/>
      <c r="AM33" s="16"/>
      <c r="AN33" s="16"/>
      <c r="AO33" s="16"/>
      <c r="AP33" s="7"/>
      <c r="AQ33" s="121"/>
    </row>
    <row r="34" spans="1:54" ht="15" thickBot="1" x14ac:dyDescent="0.4">
      <c r="A34" s="19" t="s">
        <v>212</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25"/>
      <c r="AH34" s="155"/>
      <c r="AI34" s="156"/>
      <c r="AJ34" s="156"/>
      <c r="AK34" s="156"/>
      <c r="AL34" s="156"/>
      <c r="AM34" s="156"/>
      <c r="AN34" s="156"/>
      <c r="AO34" s="156"/>
      <c r="AP34" s="163"/>
      <c r="AQ34" s="136"/>
    </row>
    <row r="35" spans="1:54" x14ac:dyDescent="0.35">
      <c r="A35" s="183" t="s">
        <v>2</v>
      </c>
      <c r="B35" s="184"/>
      <c r="C35" s="184"/>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5"/>
      <c r="AR35" s="6"/>
      <c r="AS35" s="6"/>
      <c r="AT35" s="6"/>
      <c r="AU35" s="6"/>
      <c r="AV35" s="6"/>
      <c r="AW35" s="6"/>
      <c r="AX35" s="6"/>
      <c r="AY35" s="6"/>
      <c r="AZ35" s="6"/>
      <c r="BA35" s="7"/>
      <c r="BB35" s="7"/>
    </row>
    <row r="36" spans="1:54" x14ac:dyDescent="0.35">
      <c r="A36" s="3" t="s">
        <v>226</v>
      </c>
      <c r="B36" s="13">
        <f>SUM(B37,B40,B43,B46)</f>
        <v>0</v>
      </c>
      <c r="C36" s="34">
        <f>SUM(C37,C40,C43,C46)</f>
        <v>0</v>
      </c>
      <c r="D36" s="13">
        <f t="shared" ref="D36:AE36" si="25">SUM(D37,D40,D43,D46)</f>
        <v>0</v>
      </c>
      <c r="E36" s="13">
        <f t="shared" si="25"/>
        <v>0</v>
      </c>
      <c r="F36" s="13">
        <f t="shared" si="25"/>
        <v>0</v>
      </c>
      <c r="G36" s="13">
        <f t="shared" si="25"/>
        <v>0</v>
      </c>
      <c r="H36" s="13">
        <f t="shared" si="25"/>
        <v>0</v>
      </c>
      <c r="I36" s="13">
        <f t="shared" si="25"/>
        <v>0</v>
      </c>
      <c r="J36" s="13">
        <f t="shared" si="25"/>
        <v>0</v>
      </c>
      <c r="K36" s="13">
        <f t="shared" si="25"/>
        <v>0</v>
      </c>
      <c r="L36" s="13">
        <f t="shared" si="25"/>
        <v>0</v>
      </c>
      <c r="M36" s="13">
        <f t="shared" si="25"/>
        <v>0</v>
      </c>
      <c r="N36" s="13">
        <f t="shared" si="25"/>
        <v>0</v>
      </c>
      <c r="O36" s="13">
        <f t="shared" si="25"/>
        <v>0</v>
      </c>
      <c r="P36" s="13">
        <f t="shared" si="25"/>
        <v>0</v>
      </c>
      <c r="Q36" s="13">
        <f t="shared" si="25"/>
        <v>0</v>
      </c>
      <c r="R36" s="13">
        <f t="shared" si="25"/>
        <v>0</v>
      </c>
      <c r="S36" s="13">
        <f t="shared" si="25"/>
        <v>0</v>
      </c>
      <c r="T36" s="13">
        <f t="shared" si="25"/>
        <v>0</v>
      </c>
      <c r="U36" s="13">
        <f t="shared" si="25"/>
        <v>0</v>
      </c>
      <c r="V36" s="13">
        <f t="shared" si="25"/>
        <v>0</v>
      </c>
      <c r="W36" s="13">
        <f t="shared" si="25"/>
        <v>0</v>
      </c>
      <c r="X36" s="13">
        <f t="shared" si="25"/>
        <v>0</v>
      </c>
      <c r="Y36" s="13">
        <f t="shared" si="25"/>
        <v>0</v>
      </c>
      <c r="Z36" s="13">
        <f t="shared" si="25"/>
        <v>0</v>
      </c>
      <c r="AA36" s="13">
        <f t="shared" si="25"/>
        <v>0</v>
      </c>
      <c r="AB36" s="13">
        <f t="shared" si="25"/>
        <v>0</v>
      </c>
      <c r="AC36" s="13">
        <f t="shared" si="25"/>
        <v>0</v>
      </c>
      <c r="AD36" s="13">
        <f t="shared" si="25"/>
        <v>0</v>
      </c>
      <c r="AE36" s="13">
        <f t="shared" si="25"/>
        <v>0</v>
      </c>
      <c r="AF36" s="34">
        <f>SUM(AF37,AF40,AF43,AF46)</f>
        <v>0</v>
      </c>
      <c r="AG36" s="34">
        <f t="shared" ref="AG36:AQ36" si="26">SUM(AG37,AG40,AG43,AG46)</f>
        <v>0</v>
      </c>
      <c r="AH36" s="34">
        <f t="shared" si="26"/>
        <v>0</v>
      </c>
      <c r="AI36" s="34">
        <f t="shared" si="26"/>
        <v>0</v>
      </c>
      <c r="AJ36" s="34">
        <f t="shared" si="26"/>
        <v>0</v>
      </c>
      <c r="AK36" s="34">
        <f t="shared" si="26"/>
        <v>0</v>
      </c>
      <c r="AL36" s="34">
        <f t="shared" si="26"/>
        <v>0</v>
      </c>
      <c r="AM36" s="34">
        <f t="shared" si="26"/>
        <v>0</v>
      </c>
      <c r="AN36" s="34">
        <f t="shared" si="26"/>
        <v>0</v>
      </c>
      <c r="AO36" s="34">
        <f t="shared" si="26"/>
        <v>0</v>
      </c>
      <c r="AP36" s="34">
        <f t="shared" si="26"/>
        <v>0</v>
      </c>
      <c r="AQ36" s="165">
        <f t="shared" si="26"/>
        <v>0</v>
      </c>
      <c r="AR36" s="45"/>
      <c r="AS36" s="45"/>
      <c r="AT36" s="45"/>
      <c r="AU36" s="45"/>
      <c r="AV36" s="45"/>
      <c r="AW36" s="45"/>
      <c r="AX36" s="45"/>
      <c r="AY36" s="45"/>
      <c r="AZ36" s="45"/>
      <c r="BA36" s="45"/>
      <c r="BB36" s="7"/>
    </row>
    <row r="37" spans="1:54" x14ac:dyDescent="0.35">
      <c r="A37" s="77" t="s">
        <v>215</v>
      </c>
      <c r="B37" s="13">
        <v>0</v>
      </c>
      <c r="C37" s="34">
        <f>B38+B39</f>
        <v>0</v>
      </c>
      <c r="D37" s="34">
        <f>C38+C39</f>
        <v>0</v>
      </c>
      <c r="E37" s="34">
        <f t="shared" ref="E37:AE37" si="27">D38+D39</f>
        <v>0</v>
      </c>
      <c r="F37" s="34">
        <f t="shared" si="27"/>
        <v>0</v>
      </c>
      <c r="G37" s="34">
        <f t="shared" si="27"/>
        <v>0</v>
      </c>
      <c r="H37" s="34">
        <f t="shared" si="27"/>
        <v>0</v>
      </c>
      <c r="I37" s="34">
        <f t="shared" si="27"/>
        <v>0</v>
      </c>
      <c r="J37" s="34">
        <f t="shared" si="27"/>
        <v>0</v>
      </c>
      <c r="K37" s="34">
        <f t="shared" si="27"/>
        <v>0</v>
      </c>
      <c r="L37" s="34">
        <f t="shared" si="27"/>
        <v>0</v>
      </c>
      <c r="M37" s="34">
        <f t="shared" si="27"/>
        <v>0</v>
      </c>
      <c r="N37" s="34">
        <f t="shared" si="27"/>
        <v>0</v>
      </c>
      <c r="O37" s="34">
        <f t="shared" si="27"/>
        <v>0</v>
      </c>
      <c r="P37" s="34">
        <f t="shared" si="27"/>
        <v>0</v>
      </c>
      <c r="Q37" s="34">
        <f t="shared" si="27"/>
        <v>0</v>
      </c>
      <c r="R37" s="34">
        <f t="shared" si="27"/>
        <v>0</v>
      </c>
      <c r="S37" s="34">
        <f t="shared" si="27"/>
        <v>0</v>
      </c>
      <c r="T37" s="34">
        <f t="shared" si="27"/>
        <v>0</v>
      </c>
      <c r="U37" s="34">
        <f t="shared" si="27"/>
        <v>0</v>
      </c>
      <c r="V37" s="34">
        <f t="shared" si="27"/>
        <v>0</v>
      </c>
      <c r="W37" s="34">
        <f t="shared" si="27"/>
        <v>0</v>
      </c>
      <c r="X37" s="34">
        <f t="shared" si="27"/>
        <v>0</v>
      </c>
      <c r="Y37" s="34">
        <f t="shared" si="27"/>
        <v>0</v>
      </c>
      <c r="Z37" s="34">
        <f t="shared" si="27"/>
        <v>0</v>
      </c>
      <c r="AA37" s="34">
        <f t="shared" si="27"/>
        <v>0</v>
      </c>
      <c r="AB37" s="34">
        <f t="shared" si="27"/>
        <v>0</v>
      </c>
      <c r="AC37" s="34">
        <f t="shared" si="27"/>
        <v>0</v>
      </c>
      <c r="AD37" s="34">
        <f t="shared" si="27"/>
        <v>0</v>
      </c>
      <c r="AE37" s="34">
        <f t="shared" si="27"/>
        <v>0</v>
      </c>
      <c r="AF37" s="34">
        <f>AE38+AE39</f>
        <v>0</v>
      </c>
      <c r="AG37" s="34">
        <f t="shared" ref="AG37:AQ37" si="28">AF38+AF39</f>
        <v>0</v>
      </c>
      <c r="AH37" s="34">
        <f t="shared" si="28"/>
        <v>0</v>
      </c>
      <c r="AI37" s="34">
        <f t="shared" si="28"/>
        <v>0</v>
      </c>
      <c r="AJ37" s="34">
        <f t="shared" si="28"/>
        <v>0</v>
      </c>
      <c r="AK37" s="34">
        <f t="shared" si="28"/>
        <v>0</v>
      </c>
      <c r="AL37" s="34">
        <f t="shared" si="28"/>
        <v>0</v>
      </c>
      <c r="AM37" s="34">
        <f t="shared" si="28"/>
        <v>0</v>
      </c>
      <c r="AN37" s="34">
        <f t="shared" si="28"/>
        <v>0</v>
      </c>
      <c r="AO37" s="34">
        <f t="shared" si="28"/>
        <v>0</v>
      </c>
      <c r="AP37" s="34">
        <f t="shared" si="28"/>
        <v>0</v>
      </c>
      <c r="AQ37" s="165">
        <f t="shared" si="28"/>
        <v>0</v>
      </c>
      <c r="AR37" s="45"/>
      <c r="AS37" s="45"/>
      <c r="AT37" s="45"/>
      <c r="AU37" s="45"/>
      <c r="AV37" s="45"/>
      <c r="AW37" s="45"/>
      <c r="AX37" s="45"/>
      <c r="AY37" s="45"/>
      <c r="AZ37" s="45"/>
      <c r="BA37" s="45"/>
      <c r="BB37" s="7"/>
    </row>
    <row r="38" spans="1:54" ht="29" x14ac:dyDescent="0.35">
      <c r="A38" s="77" t="s">
        <v>214</v>
      </c>
      <c r="B38" s="13">
        <v>0</v>
      </c>
      <c r="C38" s="34">
        <f>(EXP(-$C$61))*B37</f>
        <v>0</v>
      </c>
      <c r="D38" s="34">
        <f>(EXP(-$C$61))*C37</f>
        <v>0</v>
      </c>
      <c r="E38" s="34">
        <f t="shared" ref="E38:AE38" si="29">(EXP(-$C$61))*D37</f>
        <v>0</v>
      </c>
      <c r="F38" s="34">
        <f t="shared" si="29"/>
        <v>0</v>
      </c>
      <c r="G38" s="34">
        <f t="shared" si="29"/>
        <v>0</v>
      </c>
      <c r="H38" s="34">
        <f t="shared" si="29"/>
        <v>0</v>
      </c>
      <c r="I38" s="34">
        <f t="shared" si="29"/>
        <v>0</v>
      </c>
      <c r="J38" s="34">
        <f t="shared" si="29"/>
        <v>0</v>
      </c>
      <c r="K38" s="34">
        <f t="shared" si="29"/>
        <v>0</v>
      </c>
      <c r="L38" s="34">
        <f t="shared" si="29"/>
        <v>0</v>
      </c>
      <c r="M38" s="34">
        <f t="shared" si="29"/>
        <v>0</v>
      </c>
      <c r="N38" s="34">
        <f t="shared" si="29"/>
        <v>0</v>
      </c>
      <c r="O38" s="34">
        <f t="shared" si="29"/>
        <v>0</v>
      </c>
      <c r="P38" s="34">
        <f t="shared" si="29"/>
        <v>0</v>
      </c>
      <c r="Q38" s="34">
        <f t="shared" si="29"/>
        <v>0</v>
      </c>
      <c r="R38" s="34">
        <f t="shared" si="29"/>
        <v>0</v>
      </c>
      <c r="S38" s="34">
        <f t="shared" si="29"/>
        <v>0</v>
      </c>
      <c r="T38" s="34">
        <f t="shared" si="29"/>
        <v>0</v>
      </c>
      <c r="U38" s="34">
        <f t="shared" si="29"/>
        <v>0</v>
      </c>
      <c r="V38" s="34">
        <f t="shared" si="29"/>
        <v>0</v>
      </c>
      <c r="W38" s="34">
        <f t="shared" si="29"/>
        <v>0</v>
      </c>
      <c r="X38" s="34">
        <f t="shared" si="29"/>
        <v>0</v>
      </c>
      <c r="Y38" s="34">
        <f t="shared" si="29"/>
        <v>0</v>
      </c>
      <c r="Z38" s="34">
        <f t="shared" si="29"/>
        <v>0</v>
      </c>
      <c r="AA38" s="34">
        <f t="shared" si="29"/>
        <v>0</v>
      </c>
      <c r="AB38" s="34">
        <f t="shared" si="29"/>
        <v>0</v>
      </c>
      <c r="AC38" s="34">
        <f t="shared" si="29"/>
        <v>0</v>
      </c>
      <c r="AD38" s="34">
        <f t="shared" si="29"/>
        <v>0</v>
      </c>
      <c r="AE38" s="34">
        <f t="shared" si="29"/>
        <v>0</v>
      </c>
      <c r="AF38" s="34">
        <f>(EXP(-$C$61))*AE37</f>
        <v>0</v>
      </c>
      <c r="AG38" s="34">
        <f t="shared" ref="AG38:AQ38" si="30">(EXP(-$C$61))*AF37</f>
        <v>0</v>
      </c>
      <c r="AH38" s="34">
        <f t="shared" si="30"/>
        <v>0</v>
      </c>
      <c r="AI38" s="34">
        <f t="shared" si="30"/>
        <v>0</v>
      </c>
      <c r="AJ38" s="34">
        <f t="shared" si="30"/>
        <v>0</v>
      </c>
      <c r="AK38" s="34">
        <f t="shared" si="30"/>
        <v>0</v>
      </c>
      <c r="AL38" s="34">
        <f t="shared" si="30"/>
        <v>0</v>
      </c>
      <c r="AM38" s="34">
        <f t="shared" si="30"/>
        <v>0</v>
      </c>
      <c r="AN38" s="34">
        <f t="shared" si="30"/>
        <v>0</v>
      </c>
      <c r="AO38" s="34">
        <f>(EXP(-$C$61))*AN37</f>
        <v>0</v>
      </c>
      <c r="AP38" s="34">
        <f t="shared" si="30"/>
        <v>0</v>
      </c>
      <c r="AQ38" s="165">
        <f t="shared" si="30"/>
        <v>0</v>
      </c>
      <c r="AR38" s="45"/>
      <c r="AS38" s="45"/>
      <c r="AT38" s="45"/>
      <c r="AU38" s="45"/>
      <c r="AV38" s="45"/>
      <c r="AW38" s="45"/>
      <c r="AX38" s="45"/>
      <c r="AY38" s="45"/>
      <c r="AZ38" s="45"/>
      <c r="BA38" s="45"/>
      <c r="BB38" s="7"/>
    </row>
    <row r="39" spans="1:54" ht="43.5" x14ac:dyDescent="0.35">
      <c r="A39" s="77" t="s">
        <v>213</v>
      </c>
      <c r="B39" s="13">
        <f>((1-EXP(-$C$61))/$C$61)*(B49*$C$56*$B$55)</f>
        <v>0</v>
      </c>
      <c r="C39" s="13">
        <f>((1-EXP(-$C$61))/$C$61)*(C49*$C$56*$B$55)</f>
        <v>0</v>
      </c>
      <c r="D39" s="13">
        <f>((1-EXP(-$C$61))/$C$61)*(D49*$C$56*$B$55)</f>
        <v>0</v>
      </c>
      <c r="E39" s="13">
        <f t="shared" ref="E39:AE39" si="31">((1-EXP(-$C$61))/$C$61)*(E49*$C$56*$B$55)</f>
        <v>0</v>
      </c>
      <c r="F39" s="13">
        <f t="shared" si="31"/>
        <v>0</v>
      </c>
      <c r="G39" s="13">
        <f t="shared" si="31"/>
        <v>0</v>
      </c>
      <c r="H39" s="13">
        <f t="shared" si="31"/>
        <v>0</v>
      </c>
      <c r="I39" s="13">
        <f t="shared" si="31"/>
        <v>0</v>
      </c>
      <c r="J39" s="13">
        <f t="shared" si="31"/>
        <v>0</v>
      </c>
      <c r="K39" s="13">
        <f t="shared" si="31"/>
        <v>0</v>
      </c>
      <c r="L39" s="13">
        <f t="shared" si="31"/>
        <v>0</v>
      </c>
      <c r="M39" s="13">
        <f t="shared" si="31"/>
        <v>0</v>
      </c>
      <c r="N39" s="13">
        <f t="shared" si="31"/>
        <v>0</v>
      </c>
      <c r="O39" s="13">
        <f t="shared" si="31"/>
        <v>0</v>
      </c>
      <c r="P39" s="13">
        <f t="shared" si="31"/>
        <v>0</v>
      </c>
      <c r="Q39" s="13">
        <f t="shared" si="31"/>
        <v>0</v>
      </c>
      <c r="R39" s="13">
        <f t="shared" si="31"/>
        <v>0</v>
      </c>
      <c r="S39" s="13">
        <f t="shared" si="31"/>
        <v>0</v>
      </c>
      <c r="T39" s="13">
        <f t="shared" si="31"/>
        <v>0</v>
      </c>
      <c r="U39" s="13">
        <f t="shared" si="31"/>
        <v>0</v>
      </c>
      <c r="V39" s="13">
        <f t="shared" si="31"/>
        <v>0</v>
      </c>
      <c r="W39" s="13">
        <f t="shared" si="31"/>
        <v>0</v>
      </c>
      <c r="X39" s="13">
        <f t="shared" si="31"/>
        <v>0</v>
      </c>
      <c r="Y39" s="13">
        <f t="shared" si="31"/>
        <v>0</v>
      </c>
      <c r="Z39" s="13">
        <f t="shared" si="31"/>
        <v>0</v>
      </c>
      <c r="AA39" s="13">
        <f t="shared" si="31"/>
        <v>0</v>
      </c>
      <c r="AB39" s="13">
        <f t="shared" si="31"/>
        <v>0</v>
      </c>
      <c r="AC39" s="13">
        <f t="shared" si="31"/>
        <v>0</v>
      </c>
      <c r="AD39" s="13">
        <f t="shared" si="31"/>
        <v>0</v>
      </c>
      <c r="AE39" s="13">
        <f t="shared" si="31"/>
        <v>0</v>
      </c>
      <c r="AF39" s="13">
        <f>((1-EXP(-$C$61))/$C$61)*(AF49*$C$56*$B$55)</f>
        <v>0</v>
      </c>
      <c r="AG39" s="13">
        <f t="shared" ref="AG39:AQ39" si="32">((1-EXP(-$C$61))/$C$61)*(AG49*$C$56*$B$55)</f>
        <v>0</v>
      </c>
      <c r="AH39" s="13">
        <f t="shared" si="32"/>
        <v>0</v>
      </c>
      <c r="AI39" s="13">
        <f t="shared" si="32"/>
        <v>0</v>
      </c>
      <c r="AJ39" s="13">
        <f t="shared" si="32"/>
        <v>0</v>
      </c>
      <c r="AK39" s="13">
        <f t="shared" si="32"/>
        <v>0</v>
      </c>
      <c r="AL39" s="13">
        <f t="shared" si="32"/>
        <v>0</v>
      </c>
      <c r="AM39" s="13">
        <f t="shared" si="32"/>
        <v>0</v>
      </c>
      <c r="AN39" s="13">
        <f t="shared" si="32"/>
        <v>0</v>
      </c>
      <c r="AO39" s="13">
        <f t="shared" si="32"/>
        <v>0</v>
      </c>
      <c r="AP39" s="13">
        <f t="shared" si="32"/>
        <v>0</v>
      </c>
      <c r="AQ39" s="30">
        <f t="shared" si="32"/>
        <v>0</v>
      </c>
      <c r="AR39" s="16"/>
      <c r="AS39" s="16"/>
      <c r="AT39" s="16"/>
      <c r="AU39" s="16"/>
      <c r="AV39" s="16"/>
      <c r="AW39" s="16"/>
      <c r="AX39" s="16"/>
      <c r="AY39" s="16"/>
      <c r="AZ39" s="16"/>
      <c r="BA39" s="16"/>
      <c r="BB39" s="7"/>
    </row>
    <row r="40" spans="1:54" x14ac:dyDescent="0.35">
      <c r="A40" s="78" t="s">
        <v>216</v>
      </c>
      <c r="B40" s="13">
        <v>0</v>
      </c>
      <c r="C40" s="34">
        <f>B41+B42</f>
        <v>0</v>
      </c>
      <c r="D40" s="34">
        <f>C41+C42</f>
        <v>0</v>
      </c>
      <c r="E40" s="34">
        <f t="shared" ref="E40:AF40" si="33">D41+D42</f>
        <v>0</v>
      </c>
      <c r="F40" s="34">
        <f t="shared" si="33"/>
        <v>0</v>
      </c>
      <c r="G40" s="34">
        <f t="shared" si="33"/>
        <v>0</v>
      </c>
      <c r="H40" s="34">
        <f t="shared" si="33"/>
        <v>0</v>
      </c>
      <c r="I40" s="34">
        <f t="shared" si="33"/>
        <v>0</v>
      </c>
      <c r="J40" s="34">
        <f t="shared" si="33"/>
        <v>0</v>
      </c>
      <c r="K40" s="34">
        <f t="shared" si="33"/>
        <v>0</v>
      </c>
      <c r="L40" s="34">
        <f t="shared" si="33"/>
        <v>0</v>
      </c>
      <c r="M40" s="34">
        <f t="shared" si="33"/>
        <v>0</v>
      </c>
      <c r="N40" s="34">
        <f t="shared" si="33"/>
        <v>0</v>
      </c>
      <c r="O40" s="34">
        <f t="shared" si="33"/>
        <v>0</v>
      </c>
      <c r="P40" s="34">
        <f t="shared" si="33"/>
        <v>0</v>
      </c>
      <c r="Q40" s="34">
        <f t="shared" si="33"/>
        <v>0</v>
      </c>
      <c r="R40" s="34">
        <f t="shared" si="33"/>
        <v>0</v>
      </c>
      <c r="S40" s="34">
        <f t="shared" si="33"/>
        <v>0</v>
      </c>
      <c r="T40" s="34">
        <f t="shared" si="33"/>
        <v>0</v>
      </c>
      <c r="U40" s="34">
        <f t="shared" si="33"/>
        <v>0</v>
      </c>
      <c r="V40" s="34">
        <f t="shared" si="33"/>
        <v>0</v>
      </c>
      <c r="W40" s="34">
        <f t="shared" si="33"/>
        <v>0</v>
      </c>
      <c r="X40" s="34">
        <f t="shared" si="33"/>
        <v>0</v>
      </c>
      <c r="Y40" s="34">
        <f t="shared" si="33"/>
        <v>0</v>
      </c>
      <c r="Z40" s="34">
        <f t="shared" si="33"/>
        <v>0</v>
      </c>
      <c r="AA40" s="34">
        <f t="shared" si="33"/>
        <v>0</v>
      </c>
      <c r="AB40" s="34">
        <f t="shared" si="33"/>
        <v>0</v>
      </c>
      <c r="AC40" s="34">
        <f t="shared" si="33"/>
        <v>0</v>
      </c>
      <c r="AD40" s="34">
        <f t="shared" si="33"/>
        <v>0</v>
      </c>
      <c r="AE40" s="34">
        <f t="shared" si="33"/>
        <v>0</v>
      </c>
      <c r="AF40" s="34">
        <f t="shared" si="33"/>
        <v>0</v>
      </c>
      <c r="AG40" s="34">
        <f t="shared" ref="AG40" si="34">AF41+AF42</f>
        <v>0</v>
      </c>
      <c r="AH40" s="34">
        <f t="shared" ref="AH40" si="35">AG41+AG42</f>
        <v>0</v>
      </c>
      <c r="AI40" s="34">
        <f t="shared" ref="AI40" si="36">AH41+AH42</f>
        <v>0</v>
      </c>
      <c r="AJ40" s="34">
        <f t="shared" ref="AJ40" si="37">AI41+AI42</f>
        <v>0</v>
      </c>
      <c r="AK40" s="34">
        <f t="shared" ref="AK40" si="38">AJ41+AJ42</f>
        <v>0</v>
      </c>
      <c r="AL40" s="34">
        <f t="shared" ref="AL40" si="39">AK41+AK42</f>
        <v>0</v>
      </c>
      <c r="AM40" s="34">
        <f t="shared" ref="AM40" si="40">AL41+AL42</f>
        <v>0</v>
      </c>
      <c r="AN40" s="34">
        <f t="shared" ref="AN40" si="41">AM41+AM42</f>
        <v>0</v>
      </c>
      <c r="AO40" s="34">
        <f t="shared" ref="AO40" si="42">AN41+AN42</f>
        <v>0</v>
      </c>
      <c r="AP40" s="34">
        <f t="shared" ref="AP40" si="43">AO41+AO42</f>
        <v>0</v>
      </c>
      <c r="AQ40" s="165">
        <f t="shared" ref="AQ40" si="44">AP41+AP42</f>
        <v>0</v>
      </c>
      <c r="AR40" s="45"/>
      <c r="AS40" s="45"/>
      <c r="AT40" s="45"/>
      <c r="AU40" s="45"/>
      <c r="AV40" s="45"/>
      <c r="AW40" s="45"/>
      <c r="AX40" s="45"/>
      <c r="AY40" s="45"/>
      <c r="AZ40" s="45"/>
      <c r="BA40" s="45"/>
      <c r="BB40" s="7"/>
    </row>
    <row r="41" spans="1:54" ht="29" x14ac:dyDescent="0.35">
      <c r="A41" s="78" t="s">
        <v>217</v>
      </c>
      <c r="B41" s="13">
        <v>0</v>
      </c>
      <c r="C41" s="34">
        <f>(EXP(-$C$62))*B40</f>
        <v>0</v>
      </c>
      <c r="D41" s="34">
        <f>(EXP(-$C$62))*C40</f>
        <v>0</v>
      </c>
      <c r="E41" s="34">
        <f t="shared" ref="E41:AF41" si="45">(EXP(-$C$62))*D40</f>
        <v>0</v>
      </c>
      <c r="F41" s="34">
        <f t="shared" si="45"/>
        <v>0</v>
      </c>
      <c r="G41" s="34">
        <f t="shared" si="45"/>
        <v>0</v>
      </c>
      <c r="H41" s="34">
        <f t="shared" si="45"/>
        <v>0</v>
      </c>
      <c r="I41" s="34">
        <f t="shared" si="45"/>
        <v>0</v>
      </c>
      <c r="J41" s="34">
        <f t="shared" si="45"/>
        <v>0</v>
      </c>
      <c r="K41" s="34">
        <f t="shared" si="45"/>
        <v>0</v>
      </c>
      <c r="L41" s="34">
        <f t="shared" si="45"/>
        <v>0</v>
      </c>
      <c r="M41" s="34">
        <f t="shared" si="45"/>
        <v>0</v>
      </c>
      <c r="N41" s="34">
        <f t="shared" si="45"/>
        <v>0</v>
      </c>
      <c r="O41" s="34">
        <f t="shared" si="45"/>
        <v>0</v>
      </c>
      <c r="P41" s="34">
        <f t="shared" si="45"/>
        <v>0</v>
      </c>
      <c r="Q41" s="34">
        <f t="shared" si="45"/>
        <v>0</v>
      </c>
      <c r="R41" s="34">
        <f t="shared" si="45"/>
        <v>0</v>
      </c>
      <c r="S41" s="34">
        <f t="shared" si="45"/>
        <v>0</v>
      </c>
      <c r="T41" s="34">
        <f t="shared" si="45"/>
        <v>0</v>
      </c>
      <c r="U41" s="34">
        <f t="shared" si="45"/>
        <v>0</v>
      </c>
      <c r="V41" s="34">
        <f t="shared" si="45"/>
        <v>0</v>
      </c>
      <c r="W41" s="34">
        <f t="shared" si="45"/>
        <v>0</v>
      </c>
      <c r="X41" s="34">
        <f t="shared" si="45"/>
        <v>0</v>
      </c>
      <c r="Y41" s="34">
        <f t="shared" si="45"/>
        <v>0</v>
      </c>
      <c r="Z41" s="34">
        <f t="shared" si="45"/>
        <v>0</v>
      </c>
      <c r="AA41" s="34">
        <f t="shared" si="45"/>
        <v>0</v>
      </c>
      <c r="AB41" s="34">
        <f t="shared" si="45"/>
        <v>0</v>
      </c>
      <c r="AC41" s="34">
        <f t="shared" si="45"/>
        <v>0</v>
      </c>
      <c r="AD41" s="34">
        <f t="shared" si="45"/>
        <v>0</v>
      </c>
      <c r="AE41" s="34">
        <f t="shared" si="45"/>
        <v>0</v>
      </c>
      <c r="AF41" s="34">
        <f t="shared" si="45"/>
        <v>0</v>
      </c>
      <c r="AG41" s="34">
        <f t="shared" ref="AG41" si="46">(EXP(-$C$62))*AF40</f>
        <v>0</v>
      </c>
      <c r="AH41" s="34">
        <f t="shared" ref="AH41" si="47">(EXP(-$C$62))*AG40</f>
        <v>0</v>
      </c>
      <c r="AI41" s="34">
        <f t="shared" ref="AI41" si="48">(EXP(-$C$62))*AH40</f>
        <v>0</v>
      </c>
      <c r="AJ41" s="34">
        <f t="shared" ref="AJ41" si="49">(EXP(-$C$62))*AI40</f>
        <v>0</v>
      </c>
      <c r="AK41" s="34">
        <f t="shared" ref="AK41" si="50">(EXP(-$C$62))*AJ40</f>
        <v>0</v>
      </c>
      <c r="AL41" s="34">
        <f t="shared" ref="AL41" si="51">(EXP(-$C$62))*AK40</f>
        <v>0</v>
      </c>
      <c r="AM41" s="34">
        <f t="shared" ref="AM41" si="52">(EXP(-$C$62))*AL40</f>
        <v>0</v>
      </c>
      <c r="AN41" s="34">
        <f t="shared" ref="AN41" si="53">(EXP(-$C$62))*AM40</f>
        <v>0</v>
      </c>
      <c r="AO41" s="34">
        <f t="shared" ref="AO41" si="54">(EXP(-$C$62))*AN40</f>
        <v>0</v>
      </c>
      <c r="AP41" s="34">
        <f t="shared" ref="AP41" si="55">(EXP(-$C$62))*AO40</f>
        <v>0</v>
      </c>
      <c r="AQ41" s="165">
        <f t="shared" ref="AQ41" si="56">(EXP(-$C$62))*AP40</f>
        <v>0</v>
      </c>
      <c r="AR41" s="45"/>
      <c r="AS41" s="45"/>
      <c r="AT41" s="45"/>
      <c r="AU41" s="45"/>
      <c r="AV41" s="45"/>
      <c r="AW41" s="45"/>
      <c r="AX41" s="45"/>
      <c r="AY41" s="45"/>
      <c r="AZ41" s="45"/>
      <c r="BA41" s="45"/>
      <c r="BB41" s="7"/>
    </row>
    <row r="42" spans="1:54" ht="43.5" x14ac:dyDescent="0.35">
      <c r="A42" s="78" t="s">
        <v>218</v>
      </c>
      <c r="B42" s="13">
        <f>((1-EXP(-$C$62))/$C$62)*(B50*$C$56*$B$55)</f>
        <v>0</v>
      </c>
      <c r="C42" s="13">
        <f>((1-EXP(-$C$62))/$C$62)*(C50*$C$56*$B$55)</f>
        <v>0</v>
      </c>
      <c r="D42" s="13">
        <f>((1-EXP(-$C$62))/$C$62)*(D50*$C$56*$B$55)</f>
        <v>0</v>
      </c>
      <c r="E42" s="13">
        <f t="shared" ref="E42:AF42" si="57">((1-EXP(-$C$62))/$C$62)*(E50*$C$56*$B$55)</f>
        <v>0</v>
      </c>
      <c r="F42" s="13">
        <f t="shared" si="57"/>
        <v>0</v>
      </c>
      <c r="G42" s="13">
        <f t="shared" si="57"/>
        <v>0</v>
      </c>
      <c r="H42" s="13">
        <f t="shared" si="57"/>
        <v>0</v>
      </c>
      <c r="I42" s="13">
        <f t="shared" si="57"/>
        <v>0</v>
      </c>
      <c r="J42" s="13">
        <f t="shared" si="57"/>
        <v>0</v>
      </c>
      <c r="K42" s="13">
        <f t="shared" si="57"/>
        <v>0</v>
      </c>
      <c r="L42" s="13">
        <f t="shared" si="57"/>
        <v>0</v>
      </c>
      <c r="M42" s="13">
        <f t="shared" si="57"/>
        <v>0</v>
      </c>
      <c r="N42" s="13">
        <f t="shared" si="57"/>
        <v>0</v>
      </c>
      <c r="O42" s="13">
        <f t="shared" si="57"/>
        <v>0</v>
      </c>
      <c r="P42" s="13">
        <f t="shared" si="57"/>
        <v>0</v>
      </c>
      <c r="Q42" s="13">
        <f t="shared" si="57"/>
        <v>0</v>
      </c>
      <c r="R42" s="13">
        <f t="shared" si="57"/>
        <v>0</v>
      </c>
      <c r="S42" s="13">
        <f t="shared" si="57"/>
        <v>0</v>
      </c>
      <c r="T42" s="13">
        <f t="shared" si="57"/>
        <v>0</v>
      </c>
      <c r="U42" s="13">
        <f t="shared" si="57"/>
        <v>0</v>
      </c>
      <c r="V42" s="13">
        <f t="shared" si="57"/>
        <v>0</v>
      </c>
      <c r="W42" s="13">
        <f t="shared" si="57"/>
        <v>0</v>
      </c>
      <c r="X42" s="13">
        <f t="shared" si="57"/>
        <v>0</v>
      </c>
      <c r="Y42" s="13">
        <f t="shared" si="57"/>
        <v>0</v>
      </c>
      <c r="Z42" s="13">
        <f t="shared" si="57"/>
        <v>0</v>
      </c>
      <c r="AA42" s="13">
        <f t="shared" si="57"/>
        <v>0</v>
      </c>
      <c r="AB42" s="13">
        <f t="shared" si="57"/>
        <v>0</v>
      </c>
      <c r="AC42" s="13">
        <f t="shared" si="57"/>
        <v>0</v>
      </c>
      <c r="AD42" s="13">
        <f t="shared" si="57"/>
        <v>0</v>
      </c>
      <c r="AE42" s="13">
        <f t="shared" si="57"/>
        <v>0</v>
      </c>
      <c r="AF42" s="13">
        <f t="shared" si="57"/>
        <v>0</v>
      </c>
      <c r="AG42" s="13">
        <f t="shared" ref="AG42:AQ42" si="58">((1-EXP(-$C$62))/$C$62)*(AG50*$C$56*$B$55)</f>
        <v>0</v>
      </c>
      <c r="AH42" s="13">
        <f t="shared" si="58"/>
        <v>0</v>
      </c>
      <c r="AI42" s="13">
        <f t="shared" si="58"/>
        <v>0</v>
      </c>
      <c r="AJ42" s="13">
        <f t="shared" si="58"/>
        <v>0</v>
      </c>
      <c r="AK42" s="13">
        <f t="shared" si="58"/>
        <v>0</v>
      </c>
      <c r="AL42" s="13">
        <f t="shared" si="58"/>
        <v>0</v>
      </c>
      <c r="AM42" s="13">
        <f t="shared" si="58"/>
        <v>0</v>
      </c>
      <c r="AN42" s="13">
        <f t="shared" si="58"/>
        <v>0</v>
      </c>
      <c r="AO42" s="13">
        <f t="shared" si="58"/>
        <v>0</v>
      </c>
      <c r="AP42" s="13">
        <f t="shared" si="58"/>
        <v>0</v>
      </c>
      <c r="AQ42" s="30">
        <f t="shared" si="58"/>
        <v>0</v>
      </c>
      <c r="AR42" s="16"/>
      <c r="AS42" s="16"/>
      <c r="AT42" s="16"/>
      <c r="AU42" s="16"/>
      <c r="AV42" s="16"/>
      <c r="AW42" s="16"/>
      <c r="AX42" s="16"/>
      <c r="AY42" s="16"/>
      <c r="AZ42" s="16"/>
      <c r="BA42" s="16"/>
      <c r="BB42" s="7"/>
    </row>
    <row r="43" spans="1:54" x14ac:dyDescent="0.35">
      <c r="A43" s="79" t="s">
        <v>219</v>
      </c>
      <c r="B43" s="13">
        <v>0</v>
      </c>
      <c r="C43" s="34">
        <f>B44+B45</f>
        <v>0</v>
      </c>
      <c r="D43" s="34">
        <f>C44+C45</f>
        <v>0</v>
      </c>
      <c r="E43" s="34">
        <f t="shared" ref="E43:AF43" si="59">D44+D45</f>
        <v>0</v>
      </c>
      <c r="F43" s="34">
        <f t="shared" si="59"/>
        <v>0</v>
      </c>
      <c r="G43" s="34">
        <f t="shared" si="59"/>
        <v>0</v>
      </c>
      <c r="H43" s="34">
        <f t="shared" si="59"/>
        <v>0</v>
      </c>
      <c r="I43" s="34">
        <f t="shared" si="59"/>
        <v>0</v>
      </c>
      <c r="J43" s="34">
        <f t="shared" si="59"/>
        <v>0</v>
      </c>
      <c r="K43" s="34">
        <f t="shared" si="59"/>
        <v>0</v>
      </c>
      <c r="L43" s="34">
        <f t="shared" si="59"/>
        <v>0</v>
      </c>
      <c r="M43" s="34">
        <f t="shared" si="59"/>
        <v>0</v>
      </c>
      <c r="N43" s="34">
        <f t="shared" si="59"/>
        <v>0</v>
      </c>
      <c r="O43" s="34">
        <f t="shared" si="59"/>
        <v>0</v>
      </c>
      <c r="P43" s="34">
        <f t="shared" si="59"/>
        <v>0</v>
      </c>
      <c r="Q43" s="34">
        <f t="shared" si="59"/>
        <v>0</v>
      </c>
      <c r="R43" s="34">
        <f t="shared" si="59"/>
        <v>0</v>
      </c>
      <c r="S43" s="34">
        <f t="shared" si="59"/>
        <v>0</v>
      </c>
      <c r="T43" s="34">
        <f t="shared" si="59"/>
        <v>0</v>
      </c>
      <c r="U43" s="34">
        <f t="shared" si="59"/>
        <v>0</v>
      </c>
      <c r="V43" s="34">
        <f t="shared" si="59"/>
        <v>0</v>
      </c>
      <c r="W43" s="34">
        <f t="shared" si="59"/>
        <v>0</v>
      </c>
      <c r="X43" s="34">
        <f t="shared" si="59"/>
        <v>0</v>
      </c>
      <c r="Y43" s="34">
        <f t="shared" si="59"/>
        <v>0</v>
      </c>
      <c r="Z43" s="34">
        <f t="shared" si="59"/>
        <v>0</v>
      </c>
      <c r="AA43" s="34">
        <f t="shared" si="59"/>
        <v>0</v>
      </c>
      <c r="AB43" s="34">
        <f t="shared" si="59"/>
        <v>0</v>
      </c>
      <c r="AC43" s="34">
        <f t="shared" si="59"/>
        <v>0</v>
      </c>
      <c r="AD43" s="34">
        <f t="shared" si="59"/>
        <v>0</v>
      </c>
      <c r="AE43" s="34">
        <f t="shared" si="59"/>
        <v>0</v>
      </c>
      <c r="AF43" s="34">
        <f t="shared" si="59"/>
        <v>0</v>
      </c>
      <c r="AG43" s="34">
        <f t="shared" ref="AG43" si="60">AF44+AF45</f>
        <v>0</v>
      </c>
      <c r="AH43" s="34">
        <f t="shared" ref="AH43" si="61">AG44+AG45</f>
        <v>0</v>
      </c>
      <c r="AI43" s="34">
        <f t="shared" ref="AI43" si="62">AH44+AH45</f>
        <v>0</v>
      </c>
      <c r="AJ43" s="34">
        <f t="shared" ref="AJ43" si="63">AI44+AI45</f>
        <v>0</v>
      </c>
      <c r="AK43" s="34">
        <f t="shared" ref="AK43" si="64">AJ44+AJ45</f>
        <v>0</v>
      </c>
      <c r="AL43" s="34">
        <f t="shared" ref="AL43" si="65">AK44+AK45</f>
        <v>0</v>
      </c>
      <c r="AM43" s="34">
        <f t="shared" ref="AM43" si="66">AL44+AL45</f>
        <v>0</v>
      </c>
      <c r="AN43" s="34">
        <f t="shared" ref="AN43" si="67">AM44+AM45</f>
        <v>0</v>
      </c>
      <c r="AO43" s="34">
        <f t="shared" ref="AO43" si="68">AN44+AN45</f>
        <v>0</v>
      </c>
      <c r="AP43" s="34">
        <f t="shared" ref="AP43" si="69">AO44+AO45</f>
        <v>0</v>
      </c>
      <c r="AQ43" s="165">
        <f t="shared" ref="AQ43" si="70">AP44+AP45</f>
        <v>0</v>
      </c>
      <c r="AR43" s="45"/>
      <c r="AS43" s="45"/>
      <c r="AT43" s="45"/>
      <c r="AU43" s="45"/>
      <c r="AV43" s="45"/>
      <c r="AW43" s="45"/>
      <c r="AX43" s="45"/>
      <c r="AY43" s="45"/>
      <c r="AZ43" s="45"/>
      <c r="BA43" s="45"/>
      <c r="BB43" s="7"/>
    </row>
    <row r="44" spans="1:54" ht="29" x14ac:dyDescent="0.35">
      <c r="A44" s="79" t="s">
        <v>220</v>
      </c>
      <c r="B44" s="13">
        <v>0</v>
      </c>
      <c r="C44" s="34">
        <f>(EXP(-$C$63))*B43</f>
        <v>0</v>
      </c>
      <c r="D44" s="34">
        <f>(EXP(-$C$63))*C43</f>
        <v>0</v>
      </c>
      <c r="E44" s="34">
        <f t="shared" ref="E44:AF44" si="71">(EXP(-$C$63))*D43</f>
        <v>0</v>
      </c>
      <c r="F44" s="34">
        <f t="shared" si="71"/>
        <v>0</v>
      </c>
      <c r="G44" s="34">
        <f t="shared" si="71"/>
        <v>0</v>
      </c>
      <c r="H44" s="34">
        <f t="shared" si="71"/>
        <v>0</v>
      </c>
      <c r="I44" s="34">
        <f t="shared" si="71"/>
        <v>0</v>
      </c>
      <c r="J44" s="34">
        <f t="shared" si="71"/>
        <v>0</v>
      </c>
      <c r="K44" s="34">
        <f t="shared" si="71"/>
        <v>0</v>
      </c>
      <c r="L44" s="34">
        <f t="shared" si="71"/>
        <v>0</v>
      </c>
      <c r="M44" s="34">
        <f t="shared" si="71"/>
        <v>0</v>
      </c>
      <c r="N44" s="34">
        <f t="shared" si="71"/>
        <v>0</v>
      </c>
      <c r="O44" s="34">
        <f t="shared" si="71"/>
        <v>0</v>
      </c>
      <c r="P44" s="34">
        <f t="shared" si="71"/>
        <v>0</v>
      </c>
      <c r="Q44" s="34">
        <f t="shared" si="71"/>
        <v>0</v>
      </c>
      <c r="R44" s="34">
        <f t="shared" si="71"/>
        <v>0</v>
      </c>
      <c r="S44" s="34">
        <f t="shared" si="71"/>
        <v>0</v>
      </c>
      <c r="T44" s="34">
        <f t="shared" si="71"/>
        <v>0</v>
      </c>
      <c r="U44" s="34">
        <f t="shared" si="71"/>
        <v>0</v>
      </c>
      <c r="V44" s="34">
        <f t="shared" si="71"/>
        <v>0</v>
      </c>
      <c r="W44" s="34">
        <f t="shared" si="71"/>
        <v>0</v>
      </c>
      <c r="X44" s="34">
        <f t="shared" si="71"/>
        <v>0</v>
      </c>
      <c r="Y44" s="34">
        <f t="shared" si="71"/>
        <v>0</v>
      </c>
      <c r="Z44" s="34">
        <f t="shared" si="71"/>
        <v>0</v>
      </c>
      <c r="AA44" s="34">
        <f t="shared" si="71"/>
        <v>0</v>
      </c>
      <c r="AB44" s="34">
        <f t="shared" si="71"/>
        <v>0</v>
      </c>
      <c r="AC44" s="34">
        <f t="shared" si="71"/>
        <v>0</v>
      </c>
      <c r="AD44" s="34">
        <f t="shared" si="71"/>
        <v>0</v>
      </c>
      <c r="AE44" s="34">
        <f t="shared" si="71"/>
        <v>0</v>
      </c>
      <c r="AF44" s="34">
        <f t="shared" si="71"/>
        <v>0</v>
      </c>
      <c r="AG44" s="34">
        <f t="shared" ref="AG44" si="72">(EXP(-$C$63))*AF43</f>
        <v>0</v>
      </c>
      <c r="AH44" s="34">
        <f t="shared" ref="AH44" si="73">(EXP(-$C$63))*AG43</f>
        <v>0</v>
      </c>
      <c r="AI44" s="34">
        <f t="shared" ref="AI44" si="74">(EXP(-$C$63))*AH43</f>
        <v>0</v>
      </c>
      <c r="AJ44" s="34">
        <f t="shared" ref="AJ44" si="75">(EXP(-$C$63))*AI43</f>
        <v>0</v>
      </c>
      <c r="AK44" s="34">
        <f t="shared" ref="AK44" si="76">(EXP(-$C$63))*AJ43</f>
        <v>0</v>
      </c>
      <c r="AL44" s="34">
        <f t="shared" ref="AL44" si="77">(EXP(-$C$63))*AK43</f>
        <v>0</v>
      </c>
      <c r="AM44" s="34">
        <f t="shared" ref="AM44" si="78">(EXP(-$C$63))*AL43</f>
        <v>0</v>
      </c>
      <c r="AN44" s="34">
        <f t="shared" ref="AN44" si="79">(EXP(-$C$63))*AM43</f>
        <v>0</v>
      </c>
      <c r="AO44" s="34">
        <f t="shared" ref="AO44" si="80">(EXP(-$C$63))*AN43</f>
        <v>0</v>
      </c>
      <c r="AP44" s="34">
        <f t="shared" ref="AP44" si="81">(EXP(-$C$63))*AO43</f>
        <v>0</v>
      </c>
      <c r="AQ44" s="165">
        <f t="shared" ref="AQ44" si="82">(EXP(-$C$63))*AP43</f>
        <v>0</v>
      </c>
      <c r="AR44" s="45"/>
      <c r="AS44" s="45"/>
      <c r="AT44" s="45"/>
      <c r="AU44" s="45"/>
      <c r="AV44" s="45"/>
      <c r="AW44" s="45"/>
      <c r="AX44" s="45"/>
      <c r="AY44" s="45"/>
      <c r="AZ44" s="45"/>
      <c r="BA44" s="45"/>
      <c r="BB44" s="7"/>
    </row>
    <row r="45" spans="1:54" ht="43.5" x14ac:dyDescent="0.35">
      <c r="A45" s="79" t="s">
        <v>221</v>
      </c>
      <c r="B45" s="13">
        <f>((1-EXP(-$C$63))/$C$63)*(B51*$C$56*$B$55)</f>
        <v>0</v>
      </c>
      <c r="C45" s="13">
        <f>((1-EXP(-$C$63))/$C$63)*(C51*$C$56*$B$55)</f>
        <v>0</v>
      </c>
      <c r="D45" s="13">
        <f>((1-EXP(-$C$63))/$C$63)*(D51*$C$56*$B$55)</f>
        <v>0</v>
      </c>
      <c r="E45" s="13">
        <f t="shared" ref="E45:AF45" si="83">((1-EXP(-$C$63))/$C$63)*(E51*$C$56*$B$55)</f>
        <v>0</v>
      </c>
      <c r="F45" s="13">
        <f t="shared" si="83"/>
        <v>0</v>
      </c>
      <c r="G45" s="13">
        <f t="shared" si="83"/>
        <v>0</v>
      </c>
      <c r="H45" s="13">
        <f t="shared" si="83"/>
        <v>0</v>
      </c>
      <c r="I45" s="13">
        <f t="shared" si="83"/>
        <v>0</v>
      </c>
      <c r="J45" s="13">
        <f t="shared" si="83"/>
        <v>0</v>
      </c>
      <c r="K45" s="13">
        <f t="shared" si="83"/>
        <v>0</v>
      </c>
      <c r="L45" s="13">
        <f t="shared" si="83"/>
        <v>0</v>
      </c>
      <c r="M45" s="13">
        <f t="shared" si="83"/>
        <v>0</v>
      </c>
      <c r="N45" s="13">
        <f t="shared" si="83"/>
        <v>0</v>
      </c>
      <c r="O45" s="13">
        <f t="shared" si="83"/>
        <v>0</v>
      </c>
      <c r="P45" s="13">
        <f t="shared" si="83"/>
        <v>0</v>
      </c>
      <c r="Q45" s="13">
        <f t="shared" si="83"/>
        <v>0</v>
      </c>
      <c r="R45" s="13">
        <f t="shared" si="83"/>
        <v>0</v>
      </c>
      <c r="S45" s="13">
        <f t="shared" si="83"/>
        <v>0</v>
      </c>
      <c r="T45" s="13">
        <f t="shared" si="83"/>
        <v>0</v>
      </c>
      <c r="U45" s="13">
        <f t="shared" si="83"/>
        <v>0</v>
      </c>
      <c r="V45" s="13">
        <f t="shared" si="83"/>
        <v>0</v>
      </c>
      <c r="W45" s="13">
        <f t="shared" si="83"/>
        <v>0</v>
      </c>
      <c r="X45" s="13">
        <f t="shared" si="83"/>
        <v>0</v>
      </c>
      <c r="Y45" s="13">
        <f t="shared" si="83"/>
        <v>0</v>
      </c>
      <c r="Z45" s="13">
        <f t="shared" si="83"/>
        <v>0</v>
      </c>
      <c r="AA45" s="13">
        <f t="shared" si="83"/>
        <v>0</v>
      </c>
      <c r="AB45" s="13">
        <f t="shared" si="83"/>
        <v>0</v>
      </c>
      <c r="AC45" s="13">
        <f t="shared" si="83"/>
        <v>0</v>
      </c>
      <c r="AD45" s="13">
        <f t="shared" si="83"/>
        <v>0</v>
      </c>
      <c r="AE45" s="13">
        <f t="shared" si="83"/>
        <v>0</v>
      </c>
      <c r="AF45" s="13">
        <f t="shared" si="83"/>
        <v>0</v>
      </c>
      <c r="AG45" s="13">
        <f t="shared" ref="AG45:AQ45" si="84">((1-EXP(-$C$63))/$C$63)*(AG51*$C$56*$B$55)</f>
        <v>0</v>
      </c>
      <c r="AH45" s="13">
        <f t="shared" si="84"/>
        <v>0</v>
      </c>
      <c r="AI45" s="13">
        <f t="shared" si="84"/>
        <v>0</v>
      </c>
      <c r="AJ45" s="13">
        <f t="shared" si="84"/>
        <v>0</v>
      </c>
      <c r="AK45" s="13">
        <f t="shared" si="84"/>
        <v>0</v>
      </c>
      <c r="AL45" s="13">
        <f t="shared" si="84"/>
        <v>0</v>
      </c>
      <c r="AM45" s="13">
        <f t="shared" si="84"/>
        <v>0</v>
      </c>
      <c r="AN45" s="13">
        <f t="shared" si="84"/>
        <v>0</v>
      </c>
      <c r="AO45" s="13">
        <f t="shared" si="84"/>
        <v>0</v>
      </c>
      <c r="AP45" s="13">
        <f t="shared" si="84"/>
        <v>0</v>
      </c>
      <c r="AQ45" s="30">
        <f t="shared" si="84"/>
        <v>0</v>
      </c>
      <c r="AR45" s="16"/>
      <c r="AS45" s="16"/>
      <c r="AT45" s="16"/>
      <c r="AU45" s="16"/>
      <c r="AV45" s="16"/>
      <c r="AW45" s="16"/>
      <c r="AX45" s="16"/>
      <c r="AY45" s="16"/>
      <c r="AZ45" s="16"/>
      <c r="BA45" s="16"/>
      <c r="BB45" s="7"/>
    </row>
    <row r="46" spans="1:54" x14ac:dyDescent="0.35">
      <c r="A46" s="108" t="s">
        <v>222</v>
      </c>
      <c r="B46" s="13">
        <v>0</v>
      </c>
      <c r="C46" s="34">
        <f>B47+B48</f>
        <v>0</v>
      </c>
      <c r="D46" s="34">
        <f t="shared" ref="D46:AE46" si="85">C47+C48</f>
        <v>0</v>
      </c>
      <c r="E46" s="34">
        <f t="shared" si="85"/>
        <v>0</v>
      </c>
      <c r="F46" s="34">
        <f t="shared" si="85"/>
        <v>0</v>
      </c>
      <c r="G46" s="34">
        <f t="shared" si="85"/>
        <v>0</v>
      </c>
      <c r="H46" s="34">
        <f t="shared" si="85"/>
        <v>0</v>
      </c>
      <c r="I46" s="34">
        <f t="shared" si="85"/>
        <v>0</v>
      </c>
      <c r="J46" s="34">
        <f t="shared" si="85"/>
        <v>0</v>
      </c>
      <c r="K46" s="34">
        <f t="shared" si="85"/>
        <v>0</v>
      </c>
      <c r="L46" s="34">
        <f t="shared" si="85"/>
        <v>0</v>
      </c>
      <c r="M46" s="34">
        <f t="shared" si="85"/>
        <v>0</v>
      </c>
      <c r="N46" s="34">
        <f t="shared" si="85"/>
        <v>0</v>
      </c>
      <c r="O46" s="34">
        <f t="shared" si="85"/>
        <v>0</v>
      </c>
      <c r="P46" s="34">
        <f t="shared" si="85"/>
        <v>0</v>
      </c>
      <c r="Q46" s="34">
        <f t="shared" si="85"/>
        <v>0</v>
      </c>
      <c r="R46" s="34">
        <f t="shared" si="85"/>
        <v>0</v>
      </c>
      <c r="S46" s="34">
        <f t="shared" si="85"/>
        <v>0</v>
      </c>
      <c r="T46" s="34">
        <f t="shared" si="85"/>
        <v>0</v>
      </c>
      <c r="U46" s="34">
        <f t="shared" si="85"/>
        <v>0</v>
      </c>
      <c r="V46" s="34">
        <f t="shared" si="85"/>
        <v>0</v>
      </c>
      <c r="W46" s="34">
        <f t="shared" si="85"/>
        <v>0</v>
      </c>
      <c r="X46" s="34">
        <f t="shared" si="85"/>
        <v>0</v>
      </c>
      <c r="Y46" s="34">
        <f t="shared" si="85"/>
        <v>0</v>
      </c>
      <c r="Z46" s="34">
        <f t="shared" si="85"/>
        <v>0</v>
      </c>
      <c r="AA46" s="34">
        <f t="shared" si="85"/>
        <v>0</v>
      </c>
      <c r="AB46" s="34">
        <f t="shared" si="85"/>
        <v>0</v>
      </c>
      <c r="AC46" s="34">
        <f t="shared" si="85"/>
        <v>0</v>
      </c>
      <c r="AD46" s="34">
        <f t="shared" si="85"/>
        <v>0</v>
      </c>
      <c r="AE46" s="34">
        <f t="shared" si="85"/>
        <v>0</v>
      </c>
      <c r="AF46" s="34">
        <f>AE47+AE48</f>
        <v>0</v>
      </c>
      <c r="AG46" s="34">
        <f t="shared" ref="AG46:AP46" si="86">AF47+AF48</f>
        <v>0</v>
      </c>
      <c r="AH46" s="34">
        <f t="shared" si="86"/>
        <v>0</v>
      </c>
      <c r="AI46" s="34">
        <f t="shared" si="86"/>
        <v>0</v>
      </c>
      <c r="AJ46" s="34">
        <f t="shared" si="86"/>
        <v>0</v>
      </c>
      <c r="AK46" s="34">
        <f t="shared" si="86"/>
        <v>0</v>
      </c>
      <c r="AL46" s="34">
        <f t="shared" si="86"/>
        <v>0</v>
      </c>
      <c r="AM46" s="34">
        <f t="shared" si="86"/>
        <v>0</v>
      </c>
      <c r="AN46" s="34">
        <f t="shared" si="86"/>
        <v>0</v>
      </c>
      <c r="AO46" s="34">
        <f t="shared" si="86"/>
        <v>0</v>
      </c>
      <c r="AP46" s="34">
        <f t="shared" si="86"/>
        <v>0</v>
      </c>
      <c r="AQ46" s="165">
        <f>AP47+AP48</f>
        <v>0</v>
      </c>
      <c r="AR46" s="45"/>
      <c r="AS46" s="45"/>
      <c r="AT46" s="45"/>
      <c r="AU46" s="45"/>
      <c r="AV46" s="45"/>
      <c r="AW46" s="45"/>
      <c r="AX46" s="45"/>
      <c r="AY46" s="45"/>
      <c r="AZ46" s="45"/>
      <c r="BA46" s="45"/>
      <c r="BB46" s="7"/>
    </row>
    <row r="47" spans="1:54" ht="29" x14ac:dyDescent="0.35">
      <c r="A47" s="108" t="s">
        <v>223</v>
      </c>
      <c r="B47" s="13">
        <v>0</v>
      </c>
      <c r="C47" s="34">
        <f>(EXP(-$C$64))*B46</f>
        <v>0</v>
      </c>
      <c r="D47" s="34">
        <f t="shared" ref="D47:AE47" si="87">(EXP(-$C$64))*C46</f>
        <v>0</v>
      </c>
      <c r="E47" s="34">
        <f t="shared" si="87"/>
        <v>0</v>
      </c>
      <c r="F47" s="34">
        <f t="shared" si="87"/>
        <v>0</v>
      </c>
      <c r="G47" s="34">
        <f t="shared" si="87"/>
        <v>0</v>
      </c>
      <c r="H47" s="34">
        <f t="shared" si="87"/>
        <v>0</v>
      </c>
      <c r="I47" s="34">
        <f t="shared" si="87"/>
        <v>0</v>
      </c>
      <c r="J47" s="34">
        <f t="shared" si="87"/>
        <v>0</v>
      </c>
      <c r="K47" s="34">
        <f t="shared" si="87"/>
        <v>0</v>
      </c>
      <c r="L47" s="34">
        <f t="shared" si="87"/>
        <v>0</v>
      </c>
      <c r="M47" s="34">
        <f t="shared" si="87"/>
        <v>0</v>
      </c>
      <c r="N47" s="34">
        <f t="shared" si="87"/>
        <v>0</v>
      </c>
      <c r="O47" s="34">
        <f t="shared" si="87"/>
        <v>0</v>
      </c>
      <c r="P47" s="34">
        <f t="shared" si="87"/>
        <v>0</v>
      </c>
      <c r="Q47" s="34">
        <f t="shared" si="87"/>
        <v>0</v>
      </c>
      <c r="R47" s="34">
        <f t="shared" si="87"/>
        <v>0</v>
      </c>
      <c r="S47" s="34">
        <f t="shared" si="87"/>
        <v>0</v>
      </c>
      <c r="T47" s="34">
        <f t="shared" si="87"/>
        <v>0</v>
      </c>
      <c r="U47" s="34">
        <f t="shared" si="87"/>
        <v>0</v>
      </c>
      <c r="V47" s="34">
        <f t="shared" si="87"/>
        <v>0</v>
      </c>
      <c r="W47" s="34">
        <f t="shared" si="87"/>
        <v>0</v>
      </c>
      <c r="X47" s="34">
        <f t="shared" si="87"/>
        <v>0</v>
      </c>
      <c r="Y47" s="34">
        <f t="shared" si="87"/>
        <v>0</v>
      </c>
      <c r="Z47" s="34">
        <f t="shared" si="87"/>
        <v>0</v>
      </c>
      <c r="AA47" s="34">
        <f t="shared" si="87"/>
        <v>0</v>
      </c>
      <c r="AB47" s="34">
        <f t="shared" si="87"/>
        <v>0</v>
      </c>
      <c r="AC47" s="34">
        <f t="shared" si="87"/>
        <v>0</v>
      </c>
      <c r="AD47" s="34">
        <f t="shared" si="87"/>
        <v>0</v>
      </c>
      <c r="AE47" s="34">
        <f t="shared" si="87"/>
        <v>0</v>
      </c>
      <c r="AF47" s="34">
        <f>(EXP(-$C$64))*AE46</f>
        <v>0</v>
      </c>
      <c r="AG47" s="34">
        <f t="shared" ref="AG47:AQ47" si="88">(EXP(-$C$64))*AF46</f>
        <v>0</v>
      </c>
      <c r="AH47" s="34">
        <f t="shared" si="88"/>
        <v>0</v>
      </c>
      <c r="AI47" s="34">
        <f t="shared" si="88"/>
        <v>0</v>
      </c>
      <c r="AJ47" s="34">
        <f t="shared" si="88"/>
        <v>0</v>
      </c>
      <c r="AK47" s="34">
        <f t="shared" si="88"/>
        <v>0</v>
      </c>
      <c r="AL47" s="34">
        <f t="shared" si="88"/>
        <v>0</v>
      </c>
      <c r="AM47" s="34">
        <f t="shared" si="88"/>
        <v>0</v>
      </c>
      <c r="AN47" s="34">
        <f t="shared" si="88"/>
        <v>0</v>
      </c>
      <c r="AO47" s="34">
        <f t="shared" si="88"/>
        <v>0</v>
      </c>
      <c r="AP47" s="34">
        <f t="shared" si="88"/>
        <v>0</v>
      </c>
      <c r="AQ47" s="165">
        <f t="shared" si="88"/>
        <v>0</v>
      </c>
      <c r="AR47" s="45"/>
      <c r="AS47" s="45"/>
      <c r="AT47" s="45"/>
      <c r="AU47" s="45"/>
      <c r="AV47" s="45"/>
      <c r="AW47" s="45"/>
      <c r="AX47" s="45"/>
      <c r="AY47" s="45"/>
      <c r="AZ47" s="45"/>
      <c r="BA47" s="45"/>
      <c r="BB47" s="7"/>
    </row>
    <row r="48" spans="1:54" ht="43.5" x14ac:dyDescent="0.35">
      <c r="A48" s="108" t="s">
        <v>224</v>
      </c>
      <c r="B48" s="13">
        <f>((1-EXP(-$C$64))/$C$64)*(B52*$C$56*$B$55)</f>
        <v>0</v>
      </c>
      <c r="C48" s="13">
        <f>((1-EXP(-$C$64))/$C$64)*(C52*$C$56*$B$55)</f>
        <v>0</v>
      </c>
      <c r="D48" s="13">
        <f t="shared" ref="D48:AE48" si="89">((1-EXP(-$C$64))/$C$64)*(D52*$C$56*$B$55)</f>
        <v>0</v>
      </c>
      <c r="E48" s="13">
        <f t="shared" si="89"/>
        <v>0</v>
      </c>
      <c r="F48" s="13">
        <f t="shared" si="89"/>
        <v>0</v>
      </c>
      <c r="G48" s="13">
        <f t="shared" si="89"/>
        <v>0</v>
      </c>
      <c r="H48" s="13">
        <f t="shared" si="89"/>
        <v>0</v>
      </c>
      <c r="I48" s="13">
        <f t="shared" si="89"/>
        <v>0</v>
      </c>
      <c r="J48" s="13">
        <f t="shared" si="89"/>
        <v>0</v>
      </c>
      <c r="K48" s="13">
        <f t="shared" si="89"/>
        <v>0</v>
      </c>
      <c r="L48" s="13">
        <f t="shared" si="89"/>
        <v>0</v>
      </c>
      <c r="M48" s="13">
        <f t="shared" si="89"/>
        <v>0</v>
      </c>
      <c r="N48" s="13">
        <f t="shared" si="89"/>
        <v>0</v>
      </c>
      <c r="O48" s="13">
        <f t="shared" si="89"/>
        <v>0</v>
      </c>
      <c r="P48" s="13">
        <f t="shared" si="89"/>
        <v>0</v>
      </c>
      <c r="Q48" s="13">
        <f t="shared" si="89"/>
        <v>0</v>
      </c>
      <c r="R48" s="13">
        <f t="shared" si="89"/>
        <v>0</v>
      </c>
      <c r="S48" s="13">
        <f t="shared" si="89"/>
        <v>0</v>
      </c>
      <c r="T48" s="13">
        <f t="shared" si="89"/>
        <v>0</v>
      </c>
      <c r="U48" s="13">
        <f t="shared" si="89"/>
        <v>0</v>
      </c>
      <c r="V48" s="13">
        <f t="shared" si="89"/>
        <v>0</v>
      </c>
      <c r="W48" s="13">
        <f t="shared" si="89"/>
        <v>0</v>
      </c>
      <c r="X48" s="13">
        <f t="shared" si="89"/>
        <v>0</v>
      </c>
      <c r="Y48" s="13">
        <f t="shared" si="89"/>
        <v>0</v>
      </c>
      <c r="Z48" s="13">
        <f t="shared" si="89"/>
        <v>0</v>
      </c>
      <c r="AA48" s="13">
        <f t="shared" si="89"/>
        <v>0</v>
      </c>
      <c r="AB48" s="13">
        <f t="shared" si="89"/>
        <v>0</v>
      </c>
      <c r="AC48" s="13">
        <f t="shared" si="89"/>
        <v>0</v>
      </c>
      <c r="AD48" s="13">
        <f t="shared" si="89"/>
        <v>0</v>
      </c>
      <c r="AE48" s="13">
        <f t="shared" si="89"/>
        <v>0</v>
      </c>
      <c r="AF48" s="13">
        <f>((1-EXP(-$C$64))/$C$64)*(AF52*$C$56*$B$55)</f>
        <v>0</v>
      </c>
      <c r="AG48" s="13">
        <f t="shared" ref="AG48:AQ48" si="90">((1-EXP(-$C$64))/$C$64)*(AG52*$C$56*$B$55)</f>
        <v>0</v>
      </c>
      <c r="AH48" s="13">
        <f t="shared" si="90"/>
        <v>0</v>
      </c>
      <c r="AI48" s="13">
        <f t="shared" si="90"/>
        <v>0</v>
      </c>
      <c r="AJ48" s="13">
        <f t="shared" si="90"/>
        <v>0</v>
      </c>
      <c r="AK48" s="13">
        <f t="shared" si="90"/>
        <v>0</v>
      </c>
      <c r="AL48" s="13">
        <f t="shared" si="90"/>
        <v>0</v>
      </c>
      <c r="AM48" s="13">
        <f t="shared" si="90"/>
        <v>0</v>
      </c>
      <c r="AN48" s="13">
        <f t="shared" si="90"/>
        <v>0</v>
      </c>
      <c r="AO48" s="13">
        <f t="shared" si="90"/>
        <v>0</v>
      </c>
      <c r="AP48" s="13">
        <f t="shared" si="90"/>
        <v>0</v>
      </c>
      <c r="AQ48" s="30">
        <f t="shared" si="90"/>
        <v>0</v>
      </c>
      <c r="AR48" s="16"/>
      <c r="AS48" s="16"/>
      <c r="AT48" s="16"/>
      <c r="AU48" s="16"/>
      <c r="AV48" s="16"/>
      <c r="AW48" s="16"/>
      <c r="AX48" s="16"/>
      <c r="AY48" s="16"/>
      <c r="AZ48" s="16"/>
      <c r="BA48" s="16"/>
      <c r="BB48" s="7"/>
    </row>
    <row r="49" spans="1:54" x14ac:dyDescent="0.35">
      <c r="A49" s="19" t="s">
        <v>209</v>
      </c>
      <c r="B49" s="12"/>
      <c r="C49" s="12"/>
      <c r="D49" s="12"/>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66"/>
      <c r="AR49" s="16"/>
      <c r="AS49" s="16"/>
      <c r="AT49" s="16"/>
      <c r="AU49" s="16"/>
      <c r="AV49" s="16"/>
      <c r="AW49" s="16"/>
      <c r="AX49" s="16"/>
      <c r="AY49" s="16"/>
      <c r="AZ49" s="16"/>
      <c r="BA49" s="16"/>
      <c r="BB49" s="7"/>
    </row>
    <row r="50" spans="1:54" ht="26.5" customHeight="1" x14ac:dyDescent="0.35">
      <c r="A50" s="19" t="s">
        <v>210</v>
      </c>
      <c r="B50" s="12"/>
      <c r="C50" s="12"/>
      <c r="D50" s="12"/>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66"/>
      <c r="AR50" s="16"/>
      <c r="AS50" s="16"/>
      <c r="AT50" s="16"/>
      <c r="AU50" s="16"/>
      <c r="AV50" s="16"/>
      <c r="AW50" s="16"/>
      <c r="AX50" s="16"/>
      <c r="AY50" s="16"/>
      <c r="AZ50" s="16"/>
      <c r="BA50" s="16"/>
      <c r="BB50" s="7"/>
    </row>
    <row r="51" spans="1:54" x14ac:dyDescent="0.35">
      <c r="A51" s="19" t="s">
        <v>211</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66"/>
      <c r="AR51" s="16"/>
      <c r="AS51" s="16"/>
      <c r="AT51" s="16"/>
      <c r="AU51" s="16"/>
      <c r="AV51" s="16"/>
      <c r="AW51" s="16"/>
      <c r="AX51" s="16"/>
      <c r="AY51" s="16"/>
      <c r="AZ51" s="16"/>
      <c r="BA51" s="16"/>
      <c r="BB51" s="7"/>
    </row>
    <row r="52" spans="1:54" ht="15" thickBot="1" x14ac:dyDescent="0.4">
      <c r="A52" s="19" t="s">
        <v>212</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25"/>
      <c r="AI52" s="25"/>
      <c r="AJ52" s="25"/>
      <c r="AK52" s="25"/>
      <c r="AL52" s="25"/>
      <c r="AM52" s="25"/>
      <c r="AN52" s="25"/>
      <c r="AO52" s="25"/>
      <c r="AP52" s="25"/>
      <c r="AQ52" s="168"/>
      <c r="AR52" s="16"/>
      <c r="AS52" s="16"/>
      <c r="AT52" s="16"/>
      <c r="AU52" s="16"/>
      <c r="AV52" s="16"/>
      <c r="AW52" s="16"/>
      <c r="AX52" s="16"/>
      <c r="AY52" s="16"/>
      <c r="AZ52" s="16"/>
      <c r="BA52" s="16"/>
      <c r="BB52" s="7"/>
    </row>
    <row r="53" spans="1:54" ht="15" thickBot="1" x14ac:dyDescent="0.4">
      <c r="A53" s="35" t="s">
        <v>227</v>
      </c>
      <c r="B53" s="13">
        <f t="shared" ref="B53:AE53" si="91">B18-B36</f>
        <v>0</v>
      </c>
      <c r="C53" s="36">
        <f t="shared" si="91"/>
        <v>0</v>
      </c>
      <c r="D53" s="26">
        <f t="shared" si="91"/>
        <v>0</v>
      </c>
      <c r="E53" s="36">
        <f t="shared" si="91"/>
        <v>0</v>
      </c>
      <c r="F53" s="26">
        <f t="shared" si="91"/>
        <v>0</v>
      </c>
      <c r="G53" s="26">
        <f t="shared" si="91"/>
        <v>0</v>
      </c>
      <c r="H53" s="26">
        <f t="shared" si="91"/>
        <v>0</v>
      </c>
      <c r="I53" s="26">
        <f t="shared" si="91"/>
        <v>0</v>
      </c>
      <c r="J53" s="26">
        <f t="shared" si="91"/>
        <v>0</v>
      </c>
      <c r="K53" s="26">
        <f t="shared" si="91"/>
        <v>0</v>
      </c>
      <c r="L53" s="26">
        <f t="shared" si="91"/>
        <v>0</v>
      </c>
      <c r="M53" s="26">
        <f t="shared" si="91"/>
        <v>0</v>
      </c>
      <c r="N53" s="26">
        <f t="shared" si="91"/>
        <v>4.8010766623476799</v>
      </c>
      <c r="O53" s="26">
        <f t="shared" si="91"/>
        <v>3.3948738649425212</v>
      </c>
      <c r="P53" s="26">
        <f t="shared" si="91"/>
        <v>2.4005383311738404</v>
      </c>
      <c r="Q53" s="26">
        <f t="shared" si="91"/>
        <v>1.6974369324712608</v>
      </c>
      <c r="R53" s="26">
        <f t="shared" si="91"/>
        <v>1.2002691655869204</v>
      </c>
      <c r="S53" s="26">
        <f t="shared" si="91"/>
        <v>0.84871846623563063</v>
      </c>
      <c r="T53" s="26">
        <f>T18-T36</f>
        <v>11.210983717985176</v>
      </c>
      <c r="U53" s="26">
        <f t="shared" si="91"/>
        <v>9.4646157604607399</v>
      </c>
      <c r="V53" s="26">
        <f t="shared" si="91"/>
        <v>8.1996025386145028</v>
      </c>
      <c r="W53" s="26">
        <f t="shared" si="91"/>
        <v>7.2755496316761796</v>
      </c>
      <c r="X53" s="26">
        <f t="shared" si="91"/>
        <v>18.940331615557962</v>
      </c>
      <c r="Y53" s="26">
        <f t="shared" si="91"/>
        <v>17.178017096579207</v>
      </c>
      <c r="Z53" s="26">
        <f t="shared" si="91"/>
        <v>15.857647475159421</v>
      </c>
      <c r="AA53" s="26">
        <f t="shared" si="91"/>
        <v>14.851235596151835</v>
      </c>
      <c r="AB53" s="26">
        <f t="shared" si="91"/>
        <v>14.068252332614708</v>
      </c>
      <c r="AC53" s="26">
        <f t="shared" si="91"/>
        <v>13.444655943043966</v>
      </c>
      <c r="AD53" s="26">
        <f t="shared" si="91"/>
        <v>12.935134644503343</v>
      </c>
      <c r="AE53" s="26">
        <f t="shared" si="91"/>
        <v>12.507621272720323</v>
      </c>
      <c r="AF53" s="36">
        <f>AF18-AF36</f>
        <v>12.139414550493997</v>
      </c>
      <c r="AG53" s="167">
        <f>AG18-AG36</f>
        <v>86.506427420939318</v>
      </c>
      <c r="AH53" s="169"/>
      <c r="AI53" s="170"/>
      <c r="AJ53" s="170"/>
      <c r="AK53" s="170"/>
      <c r="AL53" s="170"/>
      <c r="AM53" s="170"/>
      <c r="AN53" s="170"/>
      <c r="AO53" s="170"/>
      <c r="AP53" s="170"/>
      <c r="AQ53" s="170"/>
      <c r="AR53" s="7"/>
      <c r="AS53" s="7"/>
      <c r="AT53" s="7"/>
      <c r="AU53" s="7"/>
      <c r="AV53" s="7"/>
      <c r="AW53" s="7"/>
      <c r="AX53" s="7"/>
      <c r="AY53" s="7"/>
      <c r="AZ53" s="7"/>
      <c r="BA53" s="7"/>
      <c r="BB53" s="7"/>
    </row>
    <row r="54" spans="1:54" x14ac:dyDescent="0.35">
      <c r="A54" s="178" t="s">
        <v>11</v>
      </c>
      <c r="B54" s="190"/>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R54" s="7"/>
      <c r="AS54" s="7"/>
      <c r="AT54" s="7"/>
      <c r="AU54" s="7"/>
      <c r="AV54" s="7"/>
      <c r="AW54" s="7"/>
      <c r="AX54" s="7"/>
      <c r="AY54" s="7"/>
      <c r="AZ54" s="7"/>
      <c r="BA54" s="7"/>
      <c r="BB54" s="7"/>
    </row>
    <row r="55" spans="1:54" ht="29.5" thickBot="1" x14ac:dyDescent="0.4">
      <c r="A55" s="3" t="s">
        <v>4</v>
      </c>
      <c r="B55" s="30">
        <v>0.47499999999999998</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R55" s="7"/>
      <c r="AS55" s="7"/>
      <c r="AT55" s="7"/>
      <c r="AU55" s="7"/>
      <c r="AV55" s="7"/>
      <c r="AW55" s="7"/>
      <c r="AX55" s="7"/>
      <c r="AY55" s="7"/>
      <c r="AZ55" s="7"/>
      <c r="BA55" s="7"/>
      <c r="BB55" s="7"/>
    </row>
    <row r="56" spans="1:54" ht="29.5" thickBot="1" x14ac:dyDescent="0.4">
      <c r="A56" s="3" t="s">
        <v>6</v>
      </c>
      <c r="B56" s="25" t="s">
        <v>62</v>
      </c>
      <c r="C56" s="27">
        <f>IF(B56="Alisier torminal",0.62,IF(B56="Arbousier",0.64,IF(B56="Aulne vert",0.42,IF(B56="Grands aulnes",0.42,IF(B56="Bouleaux",0.52,IF(B56="Cèdre de l’Atlas",0.36,IF(B56="Charme",0.61,IF(B56="Charme-houblon",0.66,IF(B56="Châtaignier",0.47,IF(B56="Chêne chevelu",0.67,IF(B56="Chêne-liège",0.7,IF(B56="Chêne pédonculé",0.54,IF(B56="Chêne pubescent",0.65,IF(B56="Chêne rouge d’Amérique",0.56,IF(B56="Chêne rouvre (sessile)",0.58,IF(B56="Chêne tauzin",0.64,IF(B56="Chêne vert",0.73,IF(B56="Chênes indifférenciés",0.56,IF(B56="Cornouiller mâle",0.74,IF(B56="Cyprès",0.4,IF(B56="Cytise aubour",0.6,IF(B56="Douglas",0.43,IF(B56="Epicéa commun",0.37,IF(B56="Epicéa de Sitka",0.36,IF(B56="Grands érables",0.51,IF(B56="Petits érables",0.56,IF(B56="Eucalyptus",0.56,IF(B56="Genévrier thurifère",0.48,IF(B56="Hêtre",0.55,IF(B56="Frênes",0.56,IF(B56="Fruitiers",0.58,IF(B56="If",0.58,IF(B56="Mélèze d’Europe",0.48,IF(B56="Mélèze du Japon",0.42,IF(B56="Merisier",0.5,IF(B56="Micocoulier",0.55,IF(B56="Mûrier",0.53,IF(B56="Noisetier",0.52,IF(B56="Noyer",0.52,IF(B56="Olivier",0.75,IF(B56="Ormes",0.52,IF(B56="Peupliers cultivés",0.35,IF(B56="Peupliers non cultivés",0.37,IF(B56="Pin d'Alep",0.45,IF(B56="Pin cembro",0.39,IF(B56="Pin à crochets",0.44,IF(B56="Pin laricio",0.46,IF(B56="Pin maritime",0.46,IF(B56="Pin mugho",0.44,IF(B56="Pin noir d'Autriche",0.46,IF(B56="Pin pignon",0.48,IF(B56="Pin sylvestre",0.44,IF(B56="Pin Weymouth",0.34,IF(B56="Platanes",0.5,IF(B56="Robinier faux acacia",0.58,IF(B56="Sapin méditerranéen",0.37,IF(B56="Sapin de Nordmann",0.37,IF(B56="Sapin pectiné",0.38,IF(B56="Sapin de Vancouver",0.36,IF(B56="Saules",0.37,IF(B56="Tamaris",0.53,IF(B56="Tilleuls",0.43,IF(B56="Tremble",0.38,IF(B56="Conifères (moyenne)",0.42,IF(B56="Feuillus (moyenne)",0.57,0)))))))))))))))))))))))))))))))))))))))))))))))))))))))))))))))))</f>
        <v>0.46</v>
      </c>
      <c r="D56" s="28" t="s">
        <v>28</v>
      </c>
      <c r="E56" s="29">
        <f>IF(D56="Alisier torminal",0.62,IF(D56="Arbousier",0.64,IF(D56="Aulne vert",0.42,IF(D56="Grands aulnes",0.42,IF(D56="Bouleaux",0.52,IF(D56="Cèdre de l’Atlas",0.36,IF(D56="Charme",0.61,IF(D56="Charme-houblon",0.66,IF(D56="Châtaignier",0.47,IF(D56="Chêne chevelu",0.67,IF(D56="Chêne-liège",0.7,IF(D56="Chêne pédonculé",0.54,IF(D56="Chêne pubescent",0.65,IF(D56="Chêne rouge d’Amérique",0.56,IF(D56="Chêne rouvre (sessile)",0.58,IF(D56="Chêne tauzin",0.64,IF(D56="Chêne vert",0.73,IF(D56="Chênes indifférenciés",0.56,IF(D56="Cornouiller mâle",0.74,IF(D56="Cyprès",0.4,IF(D56="Cytise aubour",0.6,IF(D56="Douglas",0.43,IF(D56="Epicéa commun",0.37,IF(D56="Epicéa de Sitka",0.36,IF(D56="Grands érables",0.51,IF(D56="Petits érables",0.56,IF(D56="Eucalyptus",0.56,IF(D56="Genévrier thurifère",0.48,IF(D56="Hêtre",0.55,IF(D56="Frênes",0.56,IF(D56="Fruitiers",0.58,IF(D56="If",0.58,IF(D56="Mélèze d’Europe",0.48,IF(D56="Mélèze du Japon",0.42,IF(D56="Merisier",0.5,IF(D56="Micocoulier",0.55,IF(D56="Mûrier",0.53,IF(D56="Noisetier",0.52,IF(D56="Noyer",0.52,IF(D56="Olivier",0.75,IF(D56="Ormes",0.52,IF(D56="Peupliers cultivés",0.35,IF(D56="Peupliers non cultivés",0.37,IF(D56="Pin d'Alep",0.45,IF(D56="Pin cembro",0.39,IF(D56="Pin à crochets",0.44,IF(D56="Pin laricio",0.46,IF(D56="Pin maritime",0.46,IF(D56="Pin mugho",0.44,IF(D56="Pin noir d'Autriche",0.46,IF(D56="Pin pignon",0.48,IF(D56="Pin sylvestre",0.44,IF(D56="Pin Weymouth",0.34,IF(D56="Platanes",0.5,IF(D56="Robinier faux acacia",0.58,IF(D56="Sapin méditerranéen",0.37,IF(D56="Sapin de Nordmann",0.37,IF(D56="Sapin pectiné",0.38,IF(D56="Sapin de Vancouver",0.36,IF(D56="Saules",0.37,IF(D56="Tamaris",0.53,IF(D56="Tilleuls",0.43,IF(D56="Tremble",0.38,IF(D56="Conifères (moyenne)",0.42,IF(D56="Feuillus (moyenne)",0.57,0)))))))))))))))))))))))))))))))))))))))))))))))))))))))))))))))))</f>
        <v>0.47</v>
      </c>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54" ht="14.5" customHeight="1" x14ac:dyDescent="0.35">
      <c r="A57" s="186" t="s">
        <v>91</v>
      </c>
      <c r="B57" s="13" t="s">
        <v>94</v>
      </c>
      <c r="C57" s="30">
        <v>35</v>
      </c>
      <c r="D57" s="16"/>
      <c r="E57" s="16"/>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54" x14ac:dyDescent="0.35">
      <c r="A58" s="187"/>
      <c r="B58" s="13" t="s">
        <v>95</v>
      </c>
      <c r="C58" s="30">
        <v>25</v>
      </c>
      <c r="D58" s="16"/>
      <c r="E58" s="16"/>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54" x14ac:dyDescent="0.35">
      <c r="A59" s="187"/>
      <c r="B59" s="13" t="s">
        <v>96</v>
      </c>
      <c r="C59" s="30">
        <v>2</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54" x14ac:dyDescent="0.35">
      <c r="A60" s="189"/>
      <c r="B60" s="31" t="s">
        <v>158</v>
      </c>
      <c r="C60" s="69">
        <v>5</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54" ht="29" customHeight="1" x14ac:dyDescent="0.35">
      <c r="A61" s="186" t="s">
        <v>97</v>
      </c>
      <c r="B61" s="31" t="s">
        <v>94</v>
      </c>
      <c r="C61" s="32">
        <f>LN(2)/C57</f>
        <v>1.980420515885558E-2</v>
      </c>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row>
    <row r="62" spans="1:54" x14ac:dyDescent="0.35">
      <c r="A62" s="187"/>
      <c r="B62" s="13" t="s">
        <v>95</v>
      </c>
      <c r="C62" s="32">
        <f>LN(2)/C58</f>
        <v>2.7725887222397813E-2</v>
      </c>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row>
    <row r="63" spans="1:54" x14ac:dyDescent="0.35">
      <c r="A63" s="187"/>
      <c r="B63" s="70" t="s">
        <v>96</v>
      </c>
      <c r="C63" s="71">
        <f>LN(2)/C59</f>
        <v>0.34657359027997264</v>
      </c>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row>
    <row r="64" spans="1:54" ht="15" thickBot="1" x14ac:dyDescent="0.4">
      <c r="A64" s="188"/>
      <c r="B64" s="26" t="s">
        <v>158</v>
      </c>
      <c r="C64" s="33">
        <f>LN(2)/C60</f>
        <v>0.13862943611198905</v>
      </c>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row>
    <row r="65" spans="1:32" ht="58" x14ac:dyDescent="0.35">
      <c r="A65" s="2" t="s">
        <v>237</v>
      </c>
      <c r="B65" s="112">
        <f>(SUM(B53:AF53)/30)*(44/12)</f>
        <v>22.295285906461235</v>
      </c>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row>
    <row r="66" spans="1:32" ht="44" thickBot="1" x14ac:dyDescent="0.4">
      <c r="A66" s="4" t="s">
        <v>238</v>
      </c>
      <c r="B66" s="113">
        <f>B65*B10</f>
        <v>111.47642953230617</v>
      </c>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row>
    <row r="67" spans="1:32" ht="58" x14ac:dyDescent="0.35">
      <c r="A67" s="2" t="s">
        <v>239</v>
      </c>
      <c r="B67" s="112">
        <f>((SUM(B18:AG18)/B11)-(SUM(B36:AQ36)/B12))*(44/12)</f>
        <v>32.868293702353817</v>
      </c>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row>
    <row r="68" spans="1:32" ht="58.5" thickBot="1" x14ac:dyDescent="0.4">
      <c r="A68" s="4" t="s">
        <v>240</v>
      </c>
      <c r="B68" s="113">
        <f>B67*B10</f>
        <v>164.34146851176908</v>
      </c>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c r="AE68" s="121"/>
      <c r="AF68" s="121"/>
    </row>
  </sheetData>
  <sheetProtection algorithmName="SHA-512" hashValue="MSY3eP3nMfdVSy/42yDBthpucK4cPGKaxkKo/RqkbCSKjZbAhBt2bO1b3150/loBKKfbpcH2U0ZzM/+BpncOkQ==" saltValue="vg+WfdhQWT+tszQG4bay5g==" spinCount="100000" sheet="1" objects="1" scenarios="1"/>
  <mergeCells count="6">
    <mergeCell ref="A61:A64"/>
    <mergeCell ref="A57:A60"/>
    <mergeCell ref="A9:B9"/>
    <mergeCell ref="A54:B54"/>
    <mergeCell ref="A15:AQ15"/>
    <mergeCell ref="A35:AQ35"/>
  </mergeCells>
  <conditionalFormatting sqref="B18:AO34">
    <cfRule type="cellIs" dxfId="2" priority="3" operator="greaterThan">
      <formula>0</formula>
    </cfRule>
  </conditionalFormatting>
  <conditionalFormatting sqref="B36:BA52">
    <cfRule type="cellIs" dxfId="1" priority="2" operator="greaterThan">
      <formula>0</formula>
    </cfRule>
  </conditionalFormatting>
  <conditionalFormatting sqref="B53:AG53">
    <cfRule type="cellIs" dxfId="0" priority="1" operator="greaterThan">
      <formula>0</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D56:D58</xm:sqref>
        </x14:dataValidation>
        <x14:dataValidation type="list" showInputMessage="1" showErrorMessage="1" prompt="Choisir l'essence pour avoir la di pour le scénario de projet">
          <x14:formula1>
            <xm:f>'Listes choix'!$C$2:$C$66</xm:f>
          </x14:formula1>
          <xm:sqref>B56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U44"/>
  <sheetViews>
    <sheetView topLeftCell="A25" zoomScale="77" workbookViewId="0">
      <pane xSplit="1" topLeftCell="B1" activePane="topRight" state="frozen"/>
      <selection activeCell="A14" sqref="A14"/>
      <selection pane="topRight" activeCell="A21" sqref="A21"/>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20"/>
      <c r="B4" s="7"/>
    </row>
    <row r="5" spans="1:32" ht="16" thickBot="1" x14ac:dyDescent="0.4">
      <c r="A5" s="21" t="s">
        <v>199</v>
      </c>
      <c r="B5" s="126">
        <f>SUM(B25:AE25)</f>
        <v>265.43999999999994</v>
      </c>
    </row>
    <row r="6" spans="1:32" ht="16" thickBot="1" x14ac:dyDescent="0.4">
      <c r="A6" s="21" t="s">
        <v>98</v>
      </c>
      <c r="B6" s="126">
        <f>B5*B10</f>
        <v>1327.1999999999998</v>
      </c>
    </row>
    <row r="8" spans="1:32" ht="15" thickBot="1" x14ac:dyDescent="0.4"/>
    <row r="9" spans="1:32" ht="15" thickBot="1" x14ac:dyDescent="0.4">
      <c r="A9" s="176" t="s">
        <v>14</v>
      </c>
      <c r="B9" s="177"/>
    </row>
    <row r="10" spans="1:32" x14ac:dyDescent="0.35">
      <c r="A10" s="2" t="s">
        <v>7</v>
      </c>
      <c r="B10" s="109">
        <v>5</v>
      </c>
    </row>
    <row r="11" spans="1:32" x14ac:dyDescent="0.35">
      <c r="A11" s="116" t="s">
        <v>17</v>
      </c>
      <c r="B11" s="122">
        <v>30</v>
      </c>
    </row>
    <row r="12" spans="1:32" ht="43.5" x14ac:dyDescent="0.35">
      <c r="A12" s="3" t="s">
        <v>111</v>
      </c>
      <c r="B12" s="42" t="s">
        <v>113</v>
      </c>
    </row>
    <row r="13" spans="1:32" x14ac:dyDescent="0.35">
      <c r="A13" s="3" t="s">
        <v>118</v>
      </c>
      <c r="B13" s="42" t="s">
        <v>20</v>
      </c>
    </row>
    <row r="14" spans="1:32" ht="36" customHeight="1" x14ac:dyDescent="0.35">
      <c r="A14" s="3" t="s">
        <v>176</v>
      </c>
      <c r="B14" s="30">
        <f>IF(B12="Feuillus",C41,IF(B12="Peuplier",C42,IF(B12="Résineux",C44,IF(B12="Pin maritime en gestion dynamique (3 éclaircies durant les 30 1ères années)",C43,0))))</f>
        <v>0.56999999999999995</v>
      </c>
    </row>
    <row r="15" spans="1:32" ht="29.5" thickBot="1" x14ac:dyDescent="0.4">
      <c r="A15" s="4" t="s">
        <v>117</v>
      </c>
      <c r="B15" s="49">
        <f>IF(B13="Feuillus",0,IF(B13="Résineux pionniers (PM, PA, PS…)",0.43,0))</f>
        <v>0</v>
      </c>
    </row>
    <row r="16" spans="1:32" ht="15" thickBot="1" x14ac:dyDescent="0.4">
      <c r="AF16" s="7"/>
    </row>
    <row r="17" spans="1:177" s="5" customFormat="1" ht="15.5" x14ac:dyDescent="0.35">
      <c r="A17" s="180" t="s">
        <v>99</v>
      </c>
      <c r="B17" s="181"/>
      <c r="C17" s="181"/>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2"/>
      <c r="AF17" s="20"/>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3" t="s">
        <v>18</v>
      </c>
      <c r="B18" s="13">
        <v>1</v>
      </c>
      <c r="C18" s="13">
        <v>2</v>
      </c>
      <c r="D18" s="13">
        <v>3</v>
      </c>
      <c r="E18" s="13">
        <v>4</v>
      </c>
      <c r="F18" s="13">
        <v>5</v>
      </c>
      <c r="G18" s="13">
        <v>6</v>
      </c>
      <c r="H18" s="13">
        <v>7</v>
      </c>
      <c r="I18" s="13">
        <v>8</v>
      </c>
      <c r="J18" s="13">
        <v>9</v>
      </c>
      <c r="K18" s="13">
        <v>10</v>
      </c>
      <c r="L18" s="124">
        <v>11</v>
      </c>
      <c r="M18" s="13">
        <v>12</v>
      </c>
      <c r="N18" s="13">
        <v>13</v>
      </c>
      <c r="O18" s="13">
        <v>14</v>
      </c>
      <c r="P18" s="13">
        <v>15</v>
      </c>
      <c r="Q18" s="13">
        <v>16</v>
      </c>
      <c r="R18" s="124">
        <v>17</v>
      </c>
      <c r="S18" s="13">
        <v>18</v>
      </c>
      <c r="T18" s="13">
        <v>19</v>
      </c>
      <c r="U18" s="13">
        <v>20</v>
      </c>
      <c r="V18" s="124">
        <v>21</v>
      </c>
      <c r="W18" s="13">
        <v>22</v>
      </c>
      <c r="X18" s="13">
        <v>23</v>
      </c>
      <c r="Y18" s="13">
        <v>24</v>
      </c>
      <c r="Z18" s="13">
        <v>25</v>
      </c>
      <c r="AA18" s="13">
        <v>26</v>
      </c>
      <c r="AB18" s="13">
        <v>27</v>
      </c>
      <c r="AC18" s="13">
        <v>28</v>
      </c>
      <c r="AD18" s="13">
        <v>29</v>
      </c>
      <c r="AE18" s="172">
        <v>30</v>
      </c>
      <c r="AF18" s="16"/>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s="5" customFormat="1" x14ac:dyDescent="0.35">
      <c r="A19" s="198" t="s">
        <v>3</v>
      </c>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200"/>
      <c r="AF19" s="6"/>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5" customFormat="1" x14ac:dyDescent="0.35">
      <c r="A20" s="81" t="s">
        <v>232</v>
      </c>
      <c r="B20" s="80">
        <f>($B$27*C37)+($B$28*C38)+($B$29*C39)+($B$30*C40)</f>
        <v>0</v>
      </c>
      <c r="C20" s="80">
        <f>$B$14*C21</f>
        <v>0</v>
      </c>
      <c r="D20" s="80">
        <f>$B$14*D21</f>
        <v>0</v>
      </c>
      <c r="E20" s="80">
        <f t="shared" ref="E20:AD20" si="0">$B$14*E21</f>
        <v>0</v>
      </c>
      <c r="F20" s="80">
        <f t="shared" si="0"/>
        <v>0</v>
      </c>
      <c r="G20" s="80">
        <f t="shared" si="0"/>
        <v>0</v>
      </c>
      <c r="H20" s="80">
        <f t="shared" si="0"/>
        <v>0</v>
      </c>
      <c r="I20" s="80">
        <f t="shared" si="0"/>
        <v>0</v>
      </c>
      <c r="J20" s="80">
        <f t="shared" si="0"/>
        <v>0</v>
      </c>
      <c r="K20" s="80">
        <f t="shared" si="0"/>
        <v>0</v>
      </c>
      <c r="L20" s="80">
        <f>$B$14*L21</f>
        <v>14.819999999999999</v>
      </c>
      <c r="M20" s="80">
        <f t="shared" si="0"/>
        <v>0</v>
      </c>
      <c r="N20" s="80">
        <f>$B$14*N21</f>
        <v>0</v>
      </c>
      <c r="O20" s="80">
        <f t="shared" si="0"/>
        <v>0</v>
      </c>
      <c r="P20" s="80">
        <f t="shared" si="0"/>
        <v>0</v>
      </c>
      <c r="Q20" s="80">
        <f t="shared" si="0"/>
        <v>0</v>
      </c>
      <c r="R20" s="80">
        <f t="shared" si="0"/>
        <v>30.209999999999997</v>
      </c>
      <c r="S20" s="80">
        <f t="shared" si="0"/>
        <v>0</v>
      </c>
      <c r="T20" s="80">
        <f t="shared" si="0"/>
        <v>0</v>
      </c>
      <c r="U20" s="80">
        <f t="shared" si="0"/>
        <v>0</v>
      </c>
      <c r="V20" s="80">
        <f t="shared" si="0"/>
        <v>34.199999999999996</v>
      </c>
      <c r="W20" s="80">
        <f t="shared" si="0"/>
        <v>0</v>
      </c>
      <c r="X20" s="80">
        <f t="shared" si="0"/>
        <v>0</v>
      </c>
      <c r="Y20" s="80">
        <f t="shared" si="0"/>
        <v>0</v>
      </c>
      <c r="Z20" s="80">
        <f t="shared" si="0"/>
        <v>0</v>
      </c>
      <c r="AA20" s="80">
        <f t="shared" si="0"/>
        <v>0</v>
      </c>
      <c r="AB20" s="80">
        <f t="shared" si="0"/>
        <v>0</v>
      </c>
      <c r="AC20" s="80">
        <f t="shared" si="0"/>
        <v>0</v>
      </c>
      <c r="AD20" s="80">
        <f t="shared" si="0"/>
        <v>0</v>
      </c>
      <c r="AE20" s="82">
        <f>$B$14*AE21</f>
        <v>201.20999999999998</v>
      </c>
      <c r="AF20" s="6"/>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3" t="s">
        <v>233</v>
      </c>
      <c r="B21" s="13"/>
      <c r="C21" s="137"/>
      <c r="D21" s="137"/>
      <c r="E21" s="137"/>
      <c r="F21" s="137"/>
      <c r="G21" s="137"/>
      <c r="H21" s="137"/>
      <c r="I21" s="137"/>
      <c r="J21" s="137"/>
      <c r="K21" s="137"/>
      <c r="L21" s="137">
        <v>26</v>
      </c>
      <c r="M21" s="137"/>
      <c r="N21" s="137"/>
      <c r="O21" s="137"/>
      <c r="P21" s="137"/>
      <c r="Q21" s="137"/>
      <c r="R21" s="137">
        <v>53</v>
      </c>
      <c r="S21" s="137"/>
      <c r="T21" s="137"/>
      <c r="U21" s="137"/>
      <c r="V21" s="137">
        <v>60</v>
      </c>
      <c r="W21" s="137"/>
      <c r="X21" s="137"/>
      <c r="Y21" s="137"/>
      <c r="Z21" s="137"/>
      <c r="AA21" s="137"/>
      <c r="AB21" s="137"/>
      <c r="AC21" s="137"/>
      <c r="AD21" s="137"/>
      <c r="AE21" s="138">
        <v>353</v>
      </c>
      <c r="AF21" s="45"/>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198" t="s">
        <v>2</v>
      </c>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200"/>
      <c r="AF22" s="6"/>
    </row>
    <row r="23" spans="1:177" x14ac:dyDescent="0.35">
      <c r="A23" s="81" t="s">
        <v>235</v>
      </c>
      <c r="B23" s="80">
        <f>($B$32*C37)+($B$33*C38)+($B$34*C39)+($B$35*C40)</f>
        <v>15</v>
      </c>
      <c r="C23" s="80">
        <f>$B$15*C24</f>
        <v>0</v>
      </c>
      <c r="D23" s="80">
        <f t="shared" ref="D23:AD23" si="1">$B$15*D24</f>
        <v>0</v>
      </c>
      <c r="E23" s="80">
        <f t="shared" si="1"/>
        <v>0</v>
      </c>
      <c r="F23" s="80">
        <f t="shared" si="1"/>
        <v>0</v>
      </c>
      <c r="G23" s="80">
        <f t="shared" si="1"/>
        <v>0</v>
      </c>
      <c r="H23" s="80">
        <f t="shared" si="1"/>
        <v>0</v>
      </c>
      <c r="I23" s="80">
        <f t="shared" si="1"/>
        <v>0</v>
      </c>
      <c r="J23" s="80">
        <f t="shared" si="1"/>
        <v>0</v>
      </c>
      <c r="K23" s="80">
        <f t="shared" si="1"/>
        <v>0</v>
      </c>
      <c r="L23" s="80">
        <f>$B$15*L24</f>
        <v>0</v>
      </c>
      <c r="M23" s="80">
        <f t="shared" si="1"/>
        <v>0</v>
      </c>
      <c r="N23" s="80">
        <f t="shared" si="1"/>
        <v>0</v>
      </c>
      <c r="O23" s="80">
        <f t="shared" si="1"/>
        <v>0</v>
      </c>
      <c r="P23" s="80">
        <f t="shared" si="1"/>
        <v>0</v>
      </c>
      <c r="Q23" s="80">
        <f t="shared" si="1"/>
        <v>0</v>
      </c>
      <c r="R23" s="80">
        <f t="shared" si="1"/>
        <v>0</v>
      </c>
      <c r="S23" s="80">
        <f t="shared" si="1"/>
        <v>0</v>
      </c>
      <c r="T23" s="80">
        <f t="shared" si="1"/>
        <v>0</v>
      </c>
      <c r="U23" s="80">
        <f t="shared" si="1"/>
        <v>0</v>
      </c>
      <c r="V23" s="80">
        <f t="shared" si="1"/>
        <v>0</v>
      </c>
      <c r="W23" s="80">
        <f t="shared" si="1"/>
        <v>0</v>
      </c>
      <c r="X23" s="80">
        <f t="shared" si="1"/>
        <v>0</v>
      </c>
      <c r="Y23" s="80">
        <f t="shared" si="1"/>
        <v>0</v>
      </c>
      <c r="Z23" s="80">
        <f t="shared" si="1"/>
        <v>0</v>
      </c>
      <c r="AA23" s="80">
        <f t="shared" si="1"/>
        <v>0</v>
      </c>
      <c r="AB23" s="80">
        <f t="shared" si="1"/>
        <v>0</v>
      </c>
      <c r="AC23" s="80">
        <f t="shared" si="1"/>
        <v>0</v>
      </c>
      <c r="AD23" s="80">
        <f t="shared" si="1"/>
        <v>0</v>
      </c>
      <c r="AE23" s="82">
        <f>$B$15*AE24</f>
        <v>0</v>
      </c>
      <c r="AF23" s="6"/>
    </row>
    <row r="24" spans="1:177" x14ac:dyDescent="0.35">
      <c r="A24" s="3" t="s">
        <v>234</v>
      </c>
      <c r="B24" s="13"/>
      <c r="C24" s="18"/>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66"/>
      <c r="AF24" s="45"/>
    </row>
    <row r="25" spans="1:177" ht="29.5" thickBot="1" x14ac:dyDescent="0.4">
      <c r="A25" s="50" t="s">
        <v>236</v>
      </c>
      <c r="B25" s="13">
        <f>B20-B23</f>
        <v>-15</v>
      </c>
      <c r="C25" s="26">
        <f>C20-C23</f>
        <v>0</v>
      </c>
      <c r="D25" s="26">
        <f t="shared" ref="D25:AD25" si="2">D20-D23</f>
        <v>0</v>
      </c>
      <c r="E25" s="26">
        <f t="shared" si="2"/>
        <v>0</v>
      </c>
      <c r="F25" s="26">
        <f t="shared" si="2"/>
        <v>0</v>
      </c>
      <c r="G25" s="26">
        <f t="shared" si="2"/>
        <v>0</v>
      </c>
      <c r="H25" s="26">
        <f t="shared" si="2"/>
        <v>0</v>
      </c>
      <c r="I25" s="26">
        <f t="shared" si="2"/>
        <v>0</v>
      </c>
      <c r="J25" s="26">
        <f t="shared" si="2"/>
        <v>0</v>
      </c>
      <c r="K25" s="26">
        <f t="shared" si="2"/>
        <v>0</v>
      </c>
      <c r="L25" s="26">
        <f t="shared" si="2"/>
        <v>14.819999999999999</v>
      </c>
      <c r="M25" s="26">
        <f t="shared" si="2"/>
        <v>0</v>
      </c>
      <c r="N25" s="26">
        <f t="shared" si="2"/>
        <v>0</v>
      </c>
      <c r="O25" s="26">
        <f t="shared" si="2"/>
        <v>0</v>
      </c>
      <c r="P25" s="26">
        <f t="shared" si="2"/>
        <v>0</v>
      </c>
      <c r="Q25" s="26">
        <f t="shared" si="2"/>
        <v>0</v>
      </c>
      <c r="R25" s="26">
        <f t="shared" si="2"/>
        <v>30.209999999999997</v>
      </c>
      <c r="S25" s="26">
        <f t="shared" si="2"/>
        <v>0</v>
      </c>
      <c r="T25" s="26">
        <f t="shared" si="2"/>
        <v>0</v>
      </c>
      <c r="U25" s="26">
        <f t="shared" si="2"/>
        <v>0</v>
      </c>
      <c r="V25" s="26">
        <f t="shared" si="2"/>
        <v>34.199999999999996</v>
      </c>
      <c r="W25" s="26">
        <f t="shared" si="2"/>
        <v>0</v>
      </c>
      <c r="X25" s="26">
        <f t="shared" si="2"/>
        <v>0</v>
      </c>
      <c r="Y25" s="26">
        <f t="shared" si="2"/>
        <v>0</v>
      </c>
      <c r="Z25" s="26">
        <f t="shared" si="2"/>
        <v>0</v>
      </c>
      <c r="AA25" s="26">
        <f t="shared" si="2"/>
        <v>0</v>
      </c>
      <c r="AB25" s="26">
        <f t="shared" si="2"/>
        <v>0</v>
      </c>
      <c r="AC25" s="26">
        <f t="shared" si="2"/>
        <v>0</v>
      </c>
      <c r="AD25" s="26">
        <f t="shared" si="2"/>
        <v>0</v>
      </c>
      <c r="AE25" s="49">
        <f>AE20-AE23</f>
        <v>201.20999999999998</v>
      </c>
      <c r="AF25" s="16"/>
    </row>
    <row r="26" spans="1:177" ht="43.5" x14ac:dyDescent="0.35">
      <c r="A26" s="47" t="s">
        <v>114</v>
      </c>
      <c r="B26" s="51" t="s">
        <v>115</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45"/>
    </row>
    <row r="27" spans="1:177" x14ac:dyDescent="0.35">
      <c r="A27" s="46" t="s">
        <v>228</v>
      </c>
      <c r="B27" s="4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45"/>
    </row>
    <row r="28" spans="1:177" x14ac:dyDescent="0.35">
      <c r="A28" s="46" t="s">
        <v>229</v>
      </c>
      <c r="B28" s="4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45"/>
    </row>
    <row r="29" spans="1:177" x14ac:dyDescent="0.35">
      <c r="A29" s="46" t="s">
        <v>230</v>
      </c>
      <c r="B29" s="4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45"/>
    </row>
    <row r="30" spans="1:177" x14ac:dyDescent="0.35">
      <c r="A30" s="46" t="s">
        <v>231</v>
      </c>
      <c r="B30" s="4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45"/>
    </row>
    <row r="31" spans="1:177" ht="58" customHeight="1" x14ac:dyDescent="0.35">
      <c r="A31" s="196" t="s">
        <v>116</v>
      </c>
      <c r="B31" s="197"/>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45"/>
    </row>
    <row r="32" spans="1:177" x14ac:dyDescent="0.35">
      <c r="A32" s="46" t="s">
        <v>228</v>
      </c>
      <c r="B32" s="4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45"/>
    </row>
    <row r="33" spans="1:32" x14ac:dyDescent="0.35">
      <c r="A33" s="46" t="s">
        <v>229</v>
      </c>
      <c r="B33" s="4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45"/>
    </row>
    <row r="34" spans="1:32" x14ac:dyDescent="0.35">
      <c r="A34" s="46" t="s">
        <v>230</v>
      </c>
      <c r="B34" s="4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45"/>
    </row>
    <row r="35" spans="1:32" x14ac:dyDescent="0.35">
      <c r="A35" s="46" t="s">
        <v>231</v>
      </c>
      <c r="B35" s="48">
        <v>60</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45"/>
    </row>
    <row r="36" spans="1:32" ht="15" thickBot="1" x14ac:dyDescent="0.4">
      <c r="A36" s="178" t="s">
        <v>11</v>
      </c>
      <c r="B36" s="190"/>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35">
      <c r="A37" s="186" t="s">
        <v>101</v>
      </c>
      <c r="B37" s="13" t="s">
        <v>102</v>
      </c>
      <c r="C37" s="39">
        <v>1.52</v>
      </c>
      <c r="D37" s="16"/>
      <c r="E37" s="16"/>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187"/>
      <c r="B38" s="13" t="s">
        <v>104</v>
      </c>
      <c r="C38" s="30">
        <v>0</v>
      </c>
      <c r="D38" s="16"/>
      <c r="E38" s="16"/>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x14ac:dyDescent="0.35">
      <c r="A39" s="187"/>
      <c r="B39" s="13" t="s">
        <v>105</v>
      </c>
      <c r="C39" s="30">
        <v>0.77</v>
      </c>
      <c r="D39" s="16"/>
      <c r="E39" s="16"/>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35">
      <c r="A40" s="187"/>
      <c r="B40" s="13" t="s">
        <v>103</v>
      </c>
      <c r="C40" s="30">
        <v>0.25</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x14ac:dyDescent="0.35">
      <c r="A41" s="194" t="s">
        <v>106</v>
      </c>
      <c r="B41" s="31" t="s">
        <v>107</v>
      </c>
      <c r="C41" s="43">
        <v>0.25</v>
      </c>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row>
    <row r="42" spans="1:32" x14ac:dyDescent="0.35">
      <c r="A42" s="194"/>
      <c r="B42" s="31" t="s">
        <v>108</v>
      </c>
      <c r="C42" s="43">
        <v>0.96</v>
      </c>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row>
    <row r="43" spans="1:32" ht="29" x14ac:dyDescent="0.35">
      <c r="A43" s="194"/>
      <c r="B43" s="40" t="s">
        <v>109</v>
      </c>
      <c r="C43" s="43">
        <v>0.56999999999999995</v>
      </c>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row>
    <row r="44" spans="1:32" ht="15" thickBot="1" x14ac:dyDescent="0.4">
      <c r="A44" s="195"/>
      <c r="B44" s="26" t="s">
        <v>110</v>
      </c>
      <c r="C44" s="44">
        <v>0.43</v>
      </c>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row>
  </sheetData>
  <sheetProtection algorithmName="SHA-512" hashValue="dYU8G6QNp8toufrGQcax3lMB0Fq5wdqdIAt1vZ5vhsrqBfeglt9f03GPWvyaBmiWANehlsBDvn8qZgdmH+oQpQ==" saltValue="4UZwXkZJxKRmglsY7swMPA==" spinCount="100000" sheet="1" objects="1" scenarios="1"/>
  <mergeCells count="8">
    <mergeCell ref="A41:A44"/>
    <mergeCell ref="A31:B31"/>
    <mergeCell ref="A9:B9"/>
    <mergeCell ref="A36:B36"/>
    <mergeCell ref="A37:A40"/>
    <mergeCell ref="A17:AE17"/>
    <mergeCell ref="A19:AE19"/>
    <mergeCell ref="A22:AE2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D37:D39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76" workbookViewId="0">
      <selection activeCell="E25" sqref="E25"/>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52" t="s">
        <v>122</v>
      </c>
      <c r="B2" s="128" t="s">
        <v>121</v>
      </c>
      <c r="C2" s="127"/>
      <c r="D2" s="127"/>
    </row>
    <row r="3" spans="1:4" ht="15.5" x14ac:dyDescent="0.35">
      <c r="A3" s="37" t="s">
        <v>123</v>
      </c>
      <c r="B3" s="139">
        <f>SUM(B4,B6)</f>
        <v>672.76478896647177</v>
      </c>
      <c r="C3" s="127"/>
      <c r="D3" s="127"/>
    </row>
    <row r="4" spans="1:4" ht="15.5" x14ac:dyDescent="0.35">
      <c r="A4" s="53" t="s">
        <v>124</v>
      </c>
      <c r="B4" s="140">
        <f>REAforêtMReboisement!B6</f>
        <v>561.28835943416561</v>
      </c>
      <c r="C4" s="127"/>
      <c r="D4" s="127"/>
    </row>
    <row r="5" spans="1:4" ht="15.5" x14ac:dyDescent="0.35">
      <c r="A5" s="143" t="s">
        <v>128</v>
      </c>
      <c r="B5" s="144">
        <f>B4*(1-C15)*(1-C17)*(1-C18)*(1-C19)*(1-C21)</f>
        <v>386.44703547042303</v>
      </c>
      <c r="C5" s="127"/>
      <c r="D5" s="127"/>
    </row>
    <row r="6" spans="1:4" ht="15.5" x14ac:dyDescent="0.35">
      <c r="A6" s="53" t="s">
        <v>125</v>
      </c>
      <c r="B6" s="140">
        <f>REAproduitsMReboisement!B6</f>
        <v>111.47642953230617</v>
      </c>
      <c r="C6" s="127"/>
      <c r="D6" s="127"/>
    </row>
    <row r="7" spans="1:4" ht="15.5" x14ac:dyDescent="0.35">
      <c r="A7" s="143" t="s">
        <v>129</v>
      </c>
      <c r="B7" s="144">
        <f>B6*(1-C15)*(1-C17)*(1-C18)*(1-C19)*(1-C21)</f>
        <v>76.751521732992799</v>
      </c>
      <c r="C7" s="127"/>
      <c r="D7" s="127"/>
    </row>
    <row r="8" spans="1:4" ht="15.5" x14ac:dyDescent="0.35">
      <c r="A8" s="53" t="s">
        <v>126</v>
      </c>
      <c r="B8" s="140">
        <f>REEsubsMReboisement!B6</f>
        <v>1327.1999999999998</v>
      </c>
      <c r="C8" s="127"/>
      <c r="D8" s="127"/>
    </row>
    <row r="9" spans="1:4" ht="16" thickBot="1" x14ac:dyDescent="0.4">
      <c r="A9" s="145" t="s">
        <v>130</v>
      </c>
      <c r="B9" s="146">
        <f>B8*(1-C15)*(1-C17)*(1-C18)*(1-C19)*(1-C21)</f>
        <v>913.77719999999988</v>
      </c>
      <c r="C9" s="127"/>
      <c r="D9" s="127"/>
    </row>
    <row r="10" spans="1:4" ht="15.5" x14ac:dyDescent="0.35">
      <c r="A10" s="54" t="s">
        <v>127</v>
      </c>
      <c r="B10" s="141">
        <f>SUM(B3,B8)</f>
        <v>1999.9647889664716</v>
      </c>
      <c r="C10" s="16"/>
      <c r="D10" s="16"/>
    </row>
    <row r="11" spans="1:4" ht="16" thickBot="1" x14ac:dyDescent="0.4">
      <c r="A11" s="55" t="s">
        <v>131</v>
      </c>
      <c r="B11" s="142">
        <f>SUM(B5,B7,B9)</f>
        <v>1376.9757572034157</v>
      </c>
      <c r="C11" s="16"/>
      <c r="D11" s="16"/>
    </row>
    <row r="13" spans="1:4" ht="15" thickBot="1" x14ac:dyDescent="0.4"/>
    <row r="14" spans="1:4" ht="16" thickBot="1" x14ac:dyDescent="0.4">
      <c r="A14" s="57" t="s">
        <v>132</v>
      </c>
      <c r="B14" s="83" t="s">
        <v>133</v>
      </c>
      <c r="C14" s="107" t="s">
        <v>140</v>
      </c>
    </row>
    <row r="15" spans="1:4" x14ac:dyDescent="0.35">
      <c r="A15" s="201" t="s">
        <v>162</v>
      </c>
      <c r="B15" s="60" t="s">
        <v>192</v>
      </c>
      <c r="C15" s="62">
        <f>IF(B15="Réalisée",0,IF(B15="Pas réalisée",0.1,""))</f>
        <v>0.1</v>
      </c>
    </row>
    <row r="16" spans="1:4" x14ac:dyDescent="0.35">
      <c r="A16" s="189"/>
      <c r="B16" s="67"/>
      <c r="C16" s="68" t="str">
        <f>IF(B16="Réalisée",0,IF(B16="Pas réalisée",0.05,""))</f>
        <v/>
      </c>
    </row>
    <row r="17" spans="1:5" ht="29" x14ac:dyDescent="0.35">
      <c r="A17" s="24" t="s">
        <v>164</v>
      </c>
      <c r="B17" s="61" t="s">
        <v>147</v>
      </c>
      <c r="C17" s="63">
        <f>IF(B17="Effectuée par un professionnel forestier",0,IF(B17="Effectuée par le propriétaire",0.05,""))</f>
        <v>0</v>
      </c>
    </row>
    <row r="18" spans="1:5" ht="29" x14ac:dyDescent="0.35">
      <c r="A18" s="24" t="s">
        <v>163</v>
      </c>
      <c r="B18" s="59" t="s">
        <v>137</v>
      </c>
      <c r="C18" s="63">
        <v>0.1</v>
      </c>
      <c r="D18" s="56"/>
    </row>
    <row r="19" spans="1:5" ht="29" x14ac:dyDescent="0.35">
      <c r="A19" s="186" t="s">
        <v>166</v>
      </c>
      <c r="B19" s="61" t="s">
        <v>144</v>
      </c>
      <c r="C19" s="63">
        <f>IF(B19="Départements sans risque ou risque négligeable",0,IF(B19="Départements avec risque très faible ou faible",0.05,IF(B19="Départements avec risque moyen",0.1,IF(B19="Départements avec risque fort ou très fort", 0.15,""))))</f>
        <v>0.15</v>
      </c>
      <c r="D19" s="56"/>
    </row>
    <row r="20" spans="1:5" x14ac:dyDescent="0.35">
      <c r="A20" s="189"/>
      <c r="B20" s="72"/>
      <c r="C20" s="73" t="str">
        <f>IF(B20="Départements avec risque négligeable, très faible, faible ou moyen",0,IF(B20="Départements avec risque fort ou très fort",0.05,""))</f>
        <v/>
      </c>
    </row>
    <row r="21" spans="1:5" ht="29" x14ac:dyDescent="0.35">
      <c r="A21" s="74" t="s">
        <v>165</v>
      </c>
      <c r="B21" s="72" t="s">
        <v>146</v>
      </c>
      <c r="C21" s="73">
        <f>IF(B21="Démontrée",0,IF(B21="Non démontrée",0.1,""))</f>
        <v>0</v>
      </c>
    </row>
    <row r="22" spans="1:5" x14ac:dyDescent="0.35">
      <c r="A22" s="64"/>
      <c r="B22" s="16"/>
      <c r="C22" s="16"/>
      <c r="D22" s="64"/>
      <c r="E22" s="105"/>
    </row>
    <row r="23" spans="1:5" x14ac:dyDescent="0.35">
      <c r="A23" s="64"/>
      <c r="B23" s="16"/>
      <c r="C23" s="16"/>
      <c r="D23" s="64"/>
      <c r="E23" s="105"/>
    </row>
    <row r="24" spans="1:5" x14ac:dyDescent="0.35">
      <c r="A24" s="64"/>
      <c r="B24" s="16"/>
      <c r="C24" s="16"/>
      <c r="D24" s="64"/>
      <c r="E24" s="105"/>
    </row>
    <row r="25" spans="1:5" x14ac:dyDescent="0.35">
      <c r="A25" s="64"/>
      <c r="B25" s="16"/>
      <c r="C25" s="65"/>
      <c r="D25" s="64"/>
    </row>
    <row r="26" spans="1:5" x14ac:dyDescent="0.35">
      <c r="A26" s="64"/>
      <c r="B26" s="64"/>
      <c r="C26" s="64"/>
      <c r="D26" s="64"/>
    </row>
    <row r="27" spans="1:5" x14ac:dyDescent="0.35">
      <c r="A27" s="64"/>
      <c r="B27" s="64"/>
      <c r="C27" s="64"/>
      <c r="D27" s="64"/>
    </row>
    <row r="28" spans="1:5" x14ac:dyDescent="0.35">
      <c r="A28" s="64"/>
      <c r="B28" s="64"/>
      <c r="C28" s="64"/>
      <c r="D28" s="64"/>
    </row>
    <row r="29" spans="1:5" x14ac:dyDescent="0.35">
      <c r="A29" s="64"/>
      <c r="B29" s="64"/>
      <c r="C29" s="64"/>
      <c r="D29" s="64"/>
    </row>
  </sheetData>
  <sheetProtection algorithmName="SHA-512" hashValue="Qe+E191pZQQ3RvRUcihuvW2+Z7KAiK3/gYGYM/oW5TDLGsEfbdptZ/YfKGe3n0kM7pi5u7z95CJyXOmVV0fHDA==" saltValue="rhT7WjBzoL32UiXY+Lo9jw==" spinCount="100000" sheet="1" objects="1" scenarios="1"/>
  <mergeCells count="2">
    <mergeCell ref="A15:A16"/>
    <mergeCell ref="A19:A20"/>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6">
        <x14:dataValidation type="list" showInputMessage="1" showErrorMessage="1" prompt="Choisir une des deux options (Méthode Reboisement)">
          <x14:formula1>
            <xm:f>'Listes choix'!$J$2:$K$2</xm:f>
          </x14:formula1>
          <xm:sqref>B15</xm:sqref>
        </x14:dataValidation>
        <x14:dataValidation type="list" showInputMessage="1" showErrorMessage="1" prompt="Choisir une des deux options">
          <x14:formula1>
            <xm:f>'Listes choix'!$J$3:$K$3</xm:f>
          </x14:formula1>
          <xm:sqref>B17</xm:sqref>
        </x14:dataValidation>
        <x14:dataValidation type="list" showInputMessage="1" showErrorMessage="1" prompt="Choisir une des deux options (Méthode Balivage)">
          <x14:formula1>
            <xm:f>'Listes choix'!$P$2:$P$3</xm:f>
          </x14:formula1>
          <xm:sqref>B20</xm:sqref>
        </x14:dataValidation>
        <x14:dataValidation type="list" showInputMessage="1" showErrorMessage="1" prompt="Choisir une des deux options">
          <x14:formula1>
            <xm:f>'Listes choix'!$J$9:$K$9</xm:f>
          </x14:formula1>
          <xm:sqref>B21</xm:sqref>
        </x14:dataValidation>
        <x14:dataValidation type="list" showInputMessage="1" showErrorMessage="1" prompt="Choisir une des deux options (Méthodes Boisement &amp; Balivage)">
          <x14:formula1>
            <xm:f>'Listes choix'!$L$2:$M$2</xm:f>
          </x14:formula1>
          <xm:sqref>B16</xm:sqref>
        </x14:dataValidation>
        <x14:dataValidation type="list" showInputMessage="1" showErrorMessage="1" prompt="Choisir une des quatre options (Méthodes Reboisement et Boisement)">
          <x14:formula1>
            <xm:f>'Listes choix'!$K$5:$K$8</xm:f>
          </x14:formula1>
          <xm:sqref>B19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0"/>
  <sheetViews>
    <sheetView topLeftCell="E1" zoomScale="105" workbookViewId="0">
      <selection activeCell="L3" sqref="L3"/>
    </sheetView>
  </sheetViews>
  <sheetFormatPr baseColWidth="10" defaultRowHeight="14.5" x14ac:dyDescent="0.35"/>
  <cols>
    <col min="1" max="1" width="23.1796875" style="56" customWidth="1"/>
    <col min="2" max="2" width="10.90625" style="56"/>
    <col min="3" max="3" width="22.08984375" style="56" customWidth="1"/>
    <col min="4" max="6" width="10.90625" style="56"/>
    <col min="7" max="7" width="14.90625" style="56" customWidth="1"/>
    <col min="8" max="8" width="16.7265625" style="56" customWidth="1"/>
    <col min="9" max="9" width="22.26953125" style="56" customWidth="1"/>
    <col min="10" max="10" width="25" style="56" customWidth="1"/>
    <col min="11" max="11" width="26.90625" style="56" customWidth="1"/>
    <col min="12" max="15" width="10.90625" style="56"/>
    <col min="16" max="16" width="13.6328125" style="56" customWidth="1"/>
    <col min="17" max="16384" width="10.90625" style="56"/>
  </cols>
  <sheetData>
    <row r="1" spans="1:19" ht="44" thickBot="1" x14ac:dyDescent="0.4">
      <c r="A1" s="87" t="s">
        <v>9</v>
      </c>
      <c r="B1" s="87" t="s">
        <v>19</v>
      </c>
      <c r="C1" s="91" t="s">
        <v>57</v>
      </c>
      <c r="D1" s="92" t="s">
        <v>22</v>
      </c>
      <c r="E1" s="91" t="s">
        <v>92</v>
      </c>
      <c r="F1" s="91" t="s">
        <v>93</v>
      </c>
      <c r="G1" s="91" t="s">
        <v>112</v>
      </c>
      <c r="H1" s="91" t="s">
        <v>119</v>
      </c>
      <c r="I1" s="100" t="s">
        <v>132</v>
      </c>
      <c r="J1" s="202" t="s">
        <v>133</v>
      </c>
      <c r="K1" s="203"/>
      <c r="L1" s="10"/>
      <c r="M1" s="10"/>
      <c r="N1" s="91" t="s">
        <v>57</v>
      </c>
      <c r="O1" s="91" t="s">
        <v>159</v>
      </c>
      <c r="P1" s="92" t="s">
        <v>167</v>
      </c>
      <c r="Q1" s="204" t="s">
        <v>178</v>
      </c>
      <c r="R1" s="205"/>
      <c r="S1" s="206"/>
    </row>
    <row r="2" spans="1:19" ht="87.5" thickBot="1" x14ac:dyDescent="0.4">
      <c r="A2" s="84" t="s">
        <v>170</v>
      </c>
      <c r="B2" s="89" t="s">
        <v>21</v>
      </c>
      <c r="C2" s="93" t="s">
        <v>23</v>
      </c>
      <c r="D2" s="96">
        <v>0.62</v>
      </c>
      <c r="E2" s="93" t="s">
        <v>94</v>
      </c>
      <c r="F2" s="96">
        <v>35</v>
      </c>
      <c r="G2" s="89" t="s">
        <v>20</v>
      </c>
      <c r="H2" s="89" t="s">
        <v>20</v>
      </c>
      <c r="I2" s="93" t="s">
        <v>134</v>
      </c>
      <c r="J2" s="101" t="s">
        <v>141</v>
      </c>
      <c r="K2" s="101" t="s">
        <v>192</v>
      </c>
      <c r="L2" s="104" t="s">
        <v>141</v>
      </c>
      <c r="M2" s="103" t="s">
        <v>192</v>
      </c>
      <c r="N2" s="89" t="s">
        <v>23</v>
      </c>
      <c r="O2" s="89" t="s">
        <v>160</v>
      </c>
      <c r="P2" s="88" t="s">
        <v>168</v>
      </c>
      <c r="Q2" s="91" t="s">
        <v>177</v>
      </c>
      <c r="R2" s="91" t="s">
        <v>179</v>
      </c>
      <c r="S2" s="92" t="s">
        <v>180</v>
      </c>
    </row>
    <row r="3" spans="1:19" ht="102" thickBot="1" x14ac:dyDescent="0.4">
      <c r="A3" s="85" t="s">
        <v>171</v>
      </c>
      <c r="B3" s="90" t="s">
        <v>20</v>
      </c>
      <c r="C3" s="75" t="s">
        <v>79</v>
      </c>
      <c r="D3" s="97">
        <v>0.64</v>
      </c>
      <c r="E3" s="75" t="s">
        <v>95</v>
      </c>
      <c r="F3" s="97">
        <v>25</v>
      </c>
      <c r="G3" s="99" t="s">
        <v>108</v>
      </c>
      <c r="H3" s="90" t="s">
        <v>120</v>
      </c>
      <c r="I3" s="75" t="s">
        <v>135</v>
      </c>
      <c r="J3" s="58" t="s">
        <v>147</v>
      </c>
      <c r="K3" s="94" t="s">
        <v>149</v>
      </c>
      <c r="L3" s="10"/>
      <c r="M3" s="10"/>
      <c r="N3" s="99" t="s">
        <v>24</v>
      </c>
      <c r="O3" s="99" t="s">
        <v>28</v>
      </c>
      <c r="P3" s="90" t="s">
        <v>144</v>
      </c>
      <c r="Q3" s="89" t="s">
        <v>181</v>
      </c>
      <c r="R3" s="89" t="s">
        <v>190</v>
      </c>
      <c r="S3" s="88" t="s">
        <v>184</v>
      </c>
    </row>
    <row r="4" spans="1:19" ht="87.5" thickBot="1" x14ac:dyDescent="0.4">
      <c r="A4" s="85" t="s">
        <v>172</v>
      </c>
      <c r="B4" s="10"/>
      <c r="C4" s="75" t="s">
        <v>24</v>
      </c>
      <c r="D4" s="97">
        <v>0.42</v>
      </c>
      <c r="E4" s="76" t="s">
        <v>96</v>
      </c>
      <c r="F4" s="98">
        <v>2</v>
      </c>
      <c r="G4" s="85" t="s">
        <v>110</v>
      </c>
      <c r="H4" s="10"/>
      <c r="I4" s="75" t="s">
        <v>136</v>
      </c>
      <c r="J4" s="58" t="s">
        <v>137</v>
      </c>
      <c r="K4" s="94" t="s">
        <v>137</v>
      </c>
      <c r="L4" s="10"/>
      <c r="M4" s="10"/>
      <c r="N4" s="99" t="s">
        <v>80</v>
      </c>
      <c r="O4" s="86" t="s">
        <v>161</v>
      </c>
      <c r="P4" s="10"/>
      <c r="Q4" s="99" t="s">
        <v>182</v>
      </c>
      <c r="R4" s="90" t="s">
        <v>183</v>
      </c>
      <c r="S4" s="85" t="s">
        <v>185</v>
      </c>
    </row>
    <row r="5" spans="1:19" ht="87.5" thickBot="1" x14ac:dyDescent="0.4">
      <c r="A5" s="86" t="s">
        <v>174</v>
      </c>
      <c r="B5" s="10"/>
      <c r="C5" s="75" t="s">
        <v>80</v>
      </c>
      <c r="D5" s="94">
        <v>0.42</v>
      </c>
      <c r="E5" s="10"/>
      <c r="F5" s="10"/>
      <c r="G5" s="86" t="s">
        <v>113</v>
      </c>
      <c r="H5" s="10"/>
      <c r="I5" s="186" t="s">
        <v>138</v>
      </c>
      <c r="J5" s="58"/>
      <c r="K5" s="94" t="s">
        <v>148</v>
      </c>
      <c r="L5" s="10"/>
      <c r="M5" s="10"/>
      <c r="N5" s="85" t="s">
        <v>26</v>
      </c>
      <c r="O5" s="10"/>
      <c r="P5" s="10"/>
      <c r="Q5" s="86" t="s">
        <v>189</v>
      </c>
      <c r="S5" s="85" t="s">
        <v>186</v>
      </c>
    </row>
    <row r="6" spans="1:19" ht="72.5" x14ac:dyDescent="0.35">
      <c r="A6" s="10"/>
      <c r="B6" s="10"/>
      <c r="C6" s="75" t="s">
        <v>81</v>
      </c>
      <c r="D6" s="94">
        <v>0.52</v>
      </c>
      <c r="E6" s="10"/>
      <c r="F6" s="10"/>
      <c r="G6" s="10"/>
      <c r="H6" s="10"/>
      <c r="I6" s="187"/>
      <c r="J6" s="58"/>
      <c r="K6" s="94" t="s">
        <v>142</v>
      </c>
      <c r="L6" s="10"/>
      <c r="M6" s="10"/>
      <c r="N6" s="85" t="s">
        <v>27</v>
      </c>
      <c r="O6" s="10"/>
      <c r="P6" s="10"/>
      <c r="S6" s="85" t="s">
        <v>187</v>
      </c>
    </row>
    <row r="7" spans="1:19" ht="101.5" x14ac:dyDescent="0.35">
      <c r="A7" s="10"/>
      <c r="B7" s="10"/>
      <c r="C7" s="75" t="s">
        <v>25</v>
      </c>
      <c r="D7" s="94">
        <v>0.36</v>
      </c>
      <c r="E7" s="10"/>
      <c r="F7" s="10"/>
      <c r="G7" s="10"/>
      <c r="H7" s="10"/>
      <c r="I7" s="187"/>
      <c r="J7" s="58"/>
      <c r="K7" s="94" t="s">
        <v>143</v>
      </c>
      <c r="L7" s="10"/>
      <c r="M7" s="10"/>
      <c r="N7" s="85" t="s">
        <v>28</v>
      </c>
      <c r="O7" s="10"/>
      <c r="P7" s="10"/>
      <c r="S7" s="106" t="s">
        <v>188</v>
      </c>
    </row>
    <row r="8" spans="1:19" ht="29.5" thickBot="1" x14ac:dyDescent="0.4">
      <c r="A8" s="10"/>
      <c r="B8" s="10"/>
      <c r="C8" s="75" t="s">
        <v>26</v>
      </c>
      <c r="D8" s="94">
        <v>0.61</v>
      </c>
      <c r="E8" s="10"/>
      <c r="F8" s="10"/>
      <c r="G8" s="10"/>
      <c r="H8" s="10"/>
      <c r="I8" s="189"/>
      <c r="J8" s="58"/>
      <c r="K8" s="94" t="s">
        <v>144</v>
      </c>
      <c r="L8" s="10"/>
      <c r="M8" s="10"/>
      <c r="N8" s="85" t="s">
        <v>29</v>
      </c>
      <c r="O8" s="10"/>
      <c r="P8" s="10"/>
      <c r="S8" s="86" t="s">
        <v>191</v>
      </c>
    </row>
    <row r="9" spans="1:19" ht="29.5" thickBot="1" x14ac:dyDescent="0.4">
      <c r="A9" s="10"/>
      <c r="B9" s="10"/>
      <c r="C9" s="75" t="s">
        <v>27</v>
      </c>
      <c r="D9" s="94">
        <v>0.66</v>
      </c>
      <c r="E9" s="10"/>
      <c r="F9" s="10"/>
      <c r="G9" s="10"/>
      <c r="H9" s="10"/>
      <c r="I9" s="76" t="s">
        <v>139</v>
      </c>
      <c r="J9" s="102" t="s">
        <v>146</v>
      </c>
      <c r="K9" s="95" t="s">
        <v>145</v>
      </c>
      <c r="L9" s="10"/>
      <c r="M9" s="10"/>
      <c r="N9" s="85" t="s">
        <v>30</v>
      </c>
      <c r="O9" s="10"/>
      <c r="P9" s="10"/>
    </row>
    <row r="10" spans="1:19" ht="29" x14ac:dyDescent="0.35">
      <c r="A10" s="10"/>
      <c r="B10" s="10"/>
      <c r="C10" s="75" t="s">
        <v>28</v>
      </c>
      <c r="D10" s="94">
        <v>0.47</v>
      </c>
      <c r="E10" s="10"/>
      <c r="F10" s="10"/>
      <c r="G10" s="10"/>
      <c r="H10" s="10"/>
      <c r="I10" s="10"/>
      <c r="J10" s="10"/>
      <c r="K10" s="10"/>
      <c r="L10" s="10"/>
      <c r="M10" s="10"/>
      <c r="N10" s="85" t="s">
        <v>31</v>
      </c>
      <c r="O10" s="10"/>
      <c r="P10" s="10"/>
    </row>
    <row r="11" spans="1:19" ht="29" x14ac:dyDescent="0.35">
      <c r="A11" s="10"/>
      <c r="B11" s="10"/>
      <c r="C11" s="75" t="s">
        <v>29</v>
      </c>
      <c r="D11" s="94">
        <v>0.67</v>
      </c>
      <c r="E11" s="10"/>
      <c r="F11" s="10"/>
      <c r="G11" s="10"/>
      <c r="H11" s="10"/>
      <c r="I11" s="10"/>
      <c r="J11" s="10"/>
      <c r="K11" s="10"/>
      <c r="L11" s="10"/>
      <c r="M11" s="10"/>
      <c r="N11" s="85" t="s">
        <v>32</v>
      </c>
      <c r="O11" s="10"/>
      <c r="P11" s="10"/>
    </row>
    <row r="12" spans="1:19" ht="43.5" x14ac:dyDescent="0.35">
      <c r="A12" s="10"/>
      <c r="B12" s="10"/>
      <c r="C12" s="75" t="s">
        <v>30</v>
      </c>
      <c r="D12" s="94">
        <v>0.7</v>
      </c>
      <c r="E12" s="10"/>
      <c r="F12" s="10"/>
      <c r="G12" s="10"/>
      <c r="H12" s="10"/>
      <c r="I12" s="10"/>
      <c r="J12" s="10"/>
      <c r="K12" s="10"/>
      <c r="L12" s="10"/>
      <c r="M12" s="10"/>
      <c r="N12" s="85" t="s">
        <v>33</v>
      </c>
      <c r="O12" s="10"/>
      <c r="P12" s="10"/>
    </row>
    <row r="13" spans="1:19" ht="29" x14ac:dyDescent="0.35">
      <c r="A13" s="10"/>
      <c r="B13" s="10"/>
      <c r="C13" s="75" t="s">
        <v>31</v>
      </c>
      <c r="D13" s="94">
        <v>0.54</v>
      </c>
      <c r="E13" s="10"/>
      <c r="F13" s="10"/>
      <c r="G13" s="10"/>
      <c r="H13" s="10"/>
      <c r="I13" s="10"/>
      <c r="J13" s="10"/>
      <c r="K13" s="10"/>
      <c r="L13" s="10"/>
      <c r="M13" s="10"/>
      <c r="N13" s="85" t="s">
        <v>34</v>
      </c>
      <c r="O13" s="10"/>
      <c r="P13" s="10"/>
    </row>
    <row r="14" spans="1:19" x14ac:dyDescent="0.35">
      <c r="A14" s="10"/>
      <c r="B14" s="10"/>
      <c r="C14" s="75" t="s">
        <v>32</v>
      </c>
      <c r="D14" s="94">
        <v>0.65</v>
      </c>
      <c r="E14" s="10"/>
      <c r="F14" s="10"/>
      <c r="G14" s="10"/>
      <c r="H14" s="10"/>
      <c r="I14" s="10"/>
      <c r="J14" s="10"/>
      <c r="K14" s="10"/>
      <c r="L14" s="10"/>
      <c r="M14" s="10"/>
      <c r="N14" s="85" t="s">
        <v>35</v>
      </c>
      <c r="O14" s="10"/>
      <c r="P14" s="10"/>
    </row>
    <row r="15" spans="1:19" ht="43.5" x14ac:dyDescent="0.35">
      <c r="A15" s="10"/>
      <c r="B15" s="10"/>
      <c r="C15" s="75" t="s">
        <v>82</v>
      </c>
      <c r="D15" s="94">
        <v>0.56000000000000005</v>
      </c>
      <c r="E15" s="10"/>
      <c r="F15" s="10"/>
      <c r="G15" s="10"/>
      <c r="H15" s="10"/>
      <c r="I15" s="10"/>
      <c r="J15" s="10"/>
      <c r="K15" s="10"/>
      <c r="L15" s="10"/>
      <c r="M15" s="10"/>
      <c r="N15" s="85" t="s">
        <v>36</v>
      </c>
      <c r="O15" s="10"/>
      <c r="P15" s="10"/>
    </row>
    <row r="16" spans="1:19" ht="29" x14ac:dyDescent="0.35">
      <c r="A16" s="10"/>
      <c r="B16" s="10"/>
      <c r="C16" s="75" t="s">
        <v>33</v>
      </c>
      <c r="D16" s="94">
        <v>0.57999999999999996</v>
      </c>
      <c r="E16" s="10"/>
      <c r="F16" s="10"/>
      <c r="G16" s="10"/>
      <c r="H16" s="10"/>
      <c r="I16" s="10"/>
      <c r="J16" s="10"/>
      <c r="K16" s="10"/>
      <c r="L16" s="10"/>
      <c r="M16" s="10"/>
      <c r="N16" s="85" t="s">
        <v>43</v>
      </c>
      <c r="O16" s="10"/>
      <c r="P16" s="10"/>
    </row>
    <row r="17" spans="1:16" ht="29" x14ac:dyDescent="0.35">
      <c r="A17" s="10"/>
      <c r="B17" s="10"/>
      <c r="C17" s="75" t="s">
        <v>34</v>
      </c>
      <c r="D17" s="94">
        <v>0.64</v>
      </c>
      <c r="E17" s="10"/>
      <c r="F17" s="10"/>
      <c r="G17" s="10"/>
      <c r="H17" s="10"/>
      <c r="I17" s="10"/>
      <c r="J17" s="10"/>
      <c r="K17" s="10"/>
      <c r="L17" s="10"/>
      <c r="M17" s="10"/>
      <c r="N17" s="85" t="s">
        <v>44</v>
      </c>
      <c r="O17" s="10"/>
      <c r="P17" s="10"/>
    </row>
    <row r="18" spans="1:16" x14ac:dyDescent="0.35">
      <c r="A18" s="10"/>
      <c r="B18" s="10"/>
      <c r="C18" s="75" t="s">
        <v>35</v>
      </c>
      <c r="D18" s="94">
        <v>0.73</v>
      </c>
      <c r="E18" s="10"/>
      <c r="F18" s="10"/>
      <c r="G18" s="10"/>
      <c r="H18" s="10"/>
      <c r="I18" s="10"/>
      <c r="J18" s="10"/>
      <c r="K18" s="10"/>
      <c r="L18" s="10"/>
      <c r="M18" s="10"/>
      <c r="N18" s="85" t="s">
        <v>46</v>
      </c>
      <c r="O18" s="10"/>
      <c r="P18" s="10"/>
    </row>
    <row r="19" spans="1:16" x14ac:dyDescent="0.35">
      <c r="A19" s="10"/>
      <c r="B19" s="10"/>
      <c r="C19" s="75" t="s">
        <v>36</v>
      </c>
      <c r="D19" s="94">
        <v>0.56000000000000005</v>
      </c>
      <c r="E19" s="10"/>
      <c r="F19" s="10"/>
      <c r="G19" s="10"/>
      <c r="H19" s="10"/>
      <c r="I19" s="10"/>
      <c r="J19" s="10"/>
      <c r="K19" s="10"/>
      <c r="L19" s="10"/>
      <c r="M19" s="10"/>
      <c r="N19" s="85" t="s">
        <v>84</v>
      </c>
      <c r="O19" s="10"/>
      <c r="P19" s="10"/>
    </row>
    <row r="20" spans="1:16" x14ac:dyDescent="0.35">
      <c r="A20" s="10"/>
      <c r="B20" s="10"/>
      <c r="C20" s="75" t="s">
        <v>37</v>
      </c>
      <c r="D20" s="94">
        <v>0.74</v>
      </c>
      <c r="E20" s="10"/>
      <c r="F20" s="10"/>
      <c r="G20" s="10"/>
      <c r="H20" s="10"/>
      <c r="I20" s="10"/>
      <c r="J20" s="10"/>
      <c r="K20" s="10"/>
      <c r="L20" s="10"/>
      <c r="M20" s="10"/>
      <c r="N20" s="85" t="s">
        <v>87</v>
      </c>
      <c r="O20" s="10"/>
      <c r="P20" s="10"/>
    </row>
    <row r="21" spans="1:16" x14ac:dyDescent="0.35">
      <c r="A21" s="10"/>
      <c r="B21" s="10"/>
      <c r="C21" s="75" t="s">
        <v>38</v>
      </c>
      <c r="D21" s="94">
        <v>0.4</v>
      </c>
      <c r="E21" s="10"/>
      <c r="F21" s="10"/>
      <c r="G21" s="10"/>
      <c r="H21" s="10"/>
      <c r="I21" s="10"/>
      <c r="J21" s="10"/>
      <c r="K21" s="10"/>
      <c r="L21" s="10"/>
      <c r="M21" s="10"/>
      <c r="N21" s="85" t="s">
        <v>54</v>
      </c>
      <c r="O21" s="10"/>
      <c r="P21" s="10"/>
    </row>
    <row r="22" spans="1:16" x14ac:dyDescent="0.35">
      <c r="A22" s="10"/>
      <c r="B22" s="10"/>
      <c r="C22" s="75" t="s">
        <v>39</v>
      </c>
      <c r="D22" s="94">
        <v>0.6</v>
      </c>
      <c r="E22" s="10"/>
      <c r="F22" s="10"/>
      <c r="G22" s="10"/>
      <c r="H22" s="10"/>
      <c r="I22" s="10"/>
      <c r="J22" s="10"/>
      <c r="K22" s="10"/>
      <c r="L22" s="10"/>
      <c r="M22" s="10"/>
      <c r="N22" s="85" t="s">
        <v>67</v>
      </c>
      <c r="O22" s="10"/>
      <c r="P22" s="10"/>
    </row>
    <row r="23" spans="1:16" ht="29" x14ac:dyDescent="0.35">
      <c r="A23" s="10"/>
      <c r="B23" s="10"/>
      <c r="C23" s="75" t="s">
        <v>40</v>
      </c>
      <c r="D23" s="94">
        <v>0.43</v>
      </c>
      <c r="E23" s="10"/>
      <c r="F23" s="10"/>
      <c r="G23" s="10"/>
      <c r="H23" s="10"/>
      <c r="I23" s="10"/>
      <c r="J23" s="10"/>
      <c r="K23" s="10"/>
      <c r="L23" s="10"/>
      <c r="M23" s="10"/>
      <c r="N23" s="85" t="s">
        <v>88</v>
      </c>
      <c r="O23" s="10"/>
      <c r="P23" s="10"/>
    </row>
    <row r="24" spans="1:16" x14ac:dyDescent="0.35">
      <c r="A24" s="10"/>
      <c r="B24" s="10"/>
      <c r="C24" s="75" t="s">
        <v>41</v>
      </c>
      <c r="D24" s="94">
        <v>0.37</v>
      </c>
      <c r="E24" s="10"/>
      <c r="F24" s="10"/>
      <c r="G24" s="10"/>
      <c r="H24" s="10"/>
      <c r="I24" s="10"/>
      <c r="J24" s="10"/>
      <c r="K24" s="10"/>
      <c r="L24" s="10"/>
      <c r="M24" s="10"/>
      <c r="N24" s="85" t="s">
        <v>74</v>
      </c>
      <c r="O24" s="10"/>
      <c r="P24" s="10"/>
    </row>
    <row r="25" spans="1:16" ht="29.5" thickBot="1" x14ac:dyDescent="0.4">
      <c r="A25" s="10"/>
      <c r="B25" s="10"/>
      <c r="C25" s="75" t="s">
        <v>42</v>
      </c>
      <c r="D25" s="94">
        <v>0.36</v>
      </c>
      <c r="E25" s="10"/>
      <c r="F25" s="10"/>
      <c r="G25" s="10"/>
      <c r="H25" s="10"/>
      <c r="I25" s="10"/>
      <c r="J25" s="10"/>
      <c r="K25" s="10"/>
      <c r="L25" s="10"/>
      <c r="M25" s="10"/>
      <c r="N25" s="86" t="s">
        <v>77</v>
      </c>
      <c r="O25" s="10"/>
      <c r="P25" s="10"/>
    </row>
    <row r="26" spans="1:16" x14ac:dyDescent="0.35">
      <c r="A26" s="10"/>
      <c r="B26" s="10"/>
      <c r="C26" s="75" t="s">
        <v>43</v>
      </c>
      <c r="D26" s="94">
        <v>0.51</v>
      </c>
      <c r="E26" s="10"/>
      <c r="F26" s="10"/>
      <c r="G26" s="10"/>
      <c r="H26" s="10"/>
      <c r="I26" s="10"/>
      <c r="J26" s="10"/>
      <c r="K26" s="10"/>
      <c r="L26" s="10"/>
      <c r="M26" s="10"/>
      <c r="N26" s="10"/>
      <c r="O26" s="10"/>
      <c r="P26" s="10"/>
    </row>
    <row r="27" spans="1:16" x14ac:dyDescent="0.35">
      <c r="A27" s="10"/>
      <c r="B27" s="10"/>
      <c r="C27" s="75" t="s">
        <v>44</v>
      </c>
      <c r="D27" s="94">
        <v>0.56000000000000005</v>
      </c>
      <c r="E27" s="10"/>
      <c r="F27" s="10"/>
      <c r="G27" s="10"/>
      <c r="H27" s="10"/>
      <c r="I27" s="10"/>
      <c r="J27" s="10"/>
      <c r="K27" s="10"/>
      <c r="L27" s="10"/>
      <c r="M27" s="10"/>
      <c r="N27" s="10"/>
      <c r="O27" s="10"/>
      <c r="P27" s="10"/>
    </row>
    <row r="28" spans="1:16" x14ac:dyDescent="0.35">
      <c r="A28" s="10"/>
      <c r="B28" s="10"/>
      <c r="C28" s="75" t="s">
        <v>45</v>
      </c>
      <c r="D28" s="94">
        <v>0.56000000000000005</v>
      </c>
      <c r="E28" s="10"/>
      <c r="F28" s="10"/>
      <c r="G28" s="10"/>
      <c r="H28" s="10"/>
      <c r="I28" s="10"/>
      <c r="J28" s="10"/>
      <c r="K28" s="10"/>
      <c r="L28" s="10"/>
      <c r="M28" s="10"/>
      <c r="N28" s="10"/>
      <c r="O28" s="10"/>
      <c r="P28" s="10"/>
    </row>
    <row r="29" spans="1:16" x14ac:dyDescent="0.35">
      <c r="A29" s="10"/>
      <c r="B29" s="10"/>
      <c r="C29" s="75" t="s">
        <v>83</v>
      </c>
      <c r="D29" s="94">
        <v>0.48</v>
      </c>
      <c r="E29" s="10"/>
      <c r="F29" s="10"/>
      <c r="G29" s="10"/>
      <c r="H29" s="10"/>
      <c r="I29" s="10"/>
      <c r="J29" s="10"/>
      <c r="K29" s="10"/>
      <c r="L29" s="10"/>
      <c r="M29" s="10"/>
      <c r="N29" s="10"/>
      <c r="O29" s="10"/>
      <c r="P29" s="10"/>
    </row>
    <row r="30" spans="1:16" x14ac:dyDescent="0.35">
      <c r="A30" s="10"/>
      <c r="B30" s="10"/>
      <c r="C30" s="75" t="s">
        <v>46</v>
      </c>
      <c r="D30" s="94">
        <v>0.55000000000000004</v>
      </c>
      <c r="E30" s="10"/>
      <c r="F30" s="10"/>
      <c r="G30" s="10"/>
      <c r="H30" s="10"/>
      <c r="I30" s="10"/>
      <c r="J30" s="10"/>
      <c r="K30" s="10"/>
      <c r="L30" s="10"/>
      <c r="M30" s="10"/>
      <c r="N30" s="10"/>
      <c r="O30" s="10"/>
      <c r="P30" s="10"/>
    </row>
    <row r="31" spans="1:16" x14ac:dyDescent="0.35">
      <c r="A31" s="10"/>
      <c r="B31" s="10"/>
      <c r="C31" s="75" t="s">
        <v>84</v>
      </c>
      <c r="D31" s="94">
        <v>0.56000000000000005</v>
      </c>
      <c r="E31" s="10"/>
      <c r="F31" s="10"/>
      <c r="G31" s="10"/>
      <c r="H31" s="10"/>
      <c r="I31" s="10"/>
      <c r="J31" s="10"/>
      <c r="K31" s="10"/>
      <c r="L31" s="10"/>
      <c r="M31" s="10"/>
      <c r="N31" s="10"/>
      <c r="O31" s="10"/>
      <c r="P31" s="10"/>
    </row>
    <row r="32" spans="1:16" x14ac:dyDescent="0.35">
      <c r="A32" s="10"/>
      <c r="B32" s="10"/>
      <c r="C32" s="75" t="s">
        <v>47</v>
      </c>
      <c r="D32" s="94">
        <v>0.57999999999999996</v>
      </c>
      <c r="E32" s="10"/>
      <c r="F32" s="10"/>
      <c r="G32" s="10"/>
      <c r="H32" s="10"/>
      <c r="I32" s="10"/>
      <c r="J32" s="10"/>
      <c r="K32" s="10"/>
      <c r="L32" s="10"/>
      <c r="M32" s="10"/>
      <c r="N32" s="10"/>
      <c r="O32" s="10"/>
      <c r="P32" s="10"/>
    </row>
    <row r="33" spans="1:16" x14ac:dyDescent="0.35">
      <c r="A33" s="10"/>
      <c r="B33" s="10"/>
      <c r="C33" s="75" t="s">
        <v>48</v>
      </c>
      <c r="D33" s="94">
        <v>0.57999999999999996</v>
      </c>
      <c r="E33" s="10"/>
      <c r="F33" s="10"/>
      <c r="G33" s="10"/>
      <c r="H33" s="10"/>
      <c r="I33" s="10"/>
      <c r="J33" s="10"/>
      <c r="K33" s="10"/>
      <c r="L33" s="10"/>
      <c r="M33" s="10"/>
      <c r="N33" s="10"/>
      <c r="O33" s="10"/>
      <c r="P33" s="10"/>
    </row>
    <row r="34" spans="1:16" x14ac:dyDescent="0.35">
      <c r="A34" s="10"/>
      <c r="B34" s="10"/>
      <c r="C34" s="75" t="s">
        <v>49</v>
      </c>
      <c r="D34" s="94">
        <v>0.48</v>
      </c>
      <c r="E34" s="10"/>
      <c r="F34" s="10"/>
      <c r="G34" s="10"/>
      <c r="H34" s="10"/>
      <c r="I34" s="10"/>
      <c r="J34" s="10"/>
      <c r="K34" s="10"/>
      <c r="L34" s="10"/>
      <c r="M34" s="10"/>
      <c r="N34" s="10"/>
      <c r="O34" s="10"/>
      <c r="P34" s="10"/>
    </row>
    <row r="35" spans="1:16" x14ac:dyDescent="0.35">
      <c r="A35" s="10"/>
      <c r="B35" s="10"/>
      <c r="C35" s="75" t="s">
        <v>50</v>
      </c>
      <c r="D35" s="94">
        <v>0.42</v>
      </c>
      <c r="E35" s="10"/>
      <c r="F35" s="10"/>
      <c r="G35" s="10"/>
      <c r="H35" s="10"/>
      <c r="I35" s="10"/>
      <c r="J35" s="10"/>
      <c r="K35" s="10"/>
      <c r="L35" s="10"/>
      <c r="M35" s="10"/>
      <c r="N35" s="10"/>
      <c r="O35" s="10"/>
      <c r="P35" s="10"/>
    </row>
    <row r="36" spans="1:16" x14ac:dyDescent="0.35">
      <c r="A36" s="10"/>
      <c r="B36" s="10"/>
      <c r="C36" s="75" t="s">
        <v>85</v>
      </c>
      <c r="D36" s="94">
        <v>0.5</v>
      </c>
      <c r="E36" s="10"/>
      <c r="F36" s="10"/>
      <c r="G36" s="10"/>
      <c r="H36" s="10"/>
      <c r="I36" s="10"/>
      <c r="J36" s="10"/>
      <c r="K36" s="10"/>
      <c r="L36" s="10"/>
      <c r="M36" s="10"/>
      <c r="N36" s="10"/>
      <c r="O36" s="10"/>
      <c r="P36" s="10"/>
    </row>
    <row r="37" spans="1:16" x14ac:dyDescent="0.35">
      <c r="A37" s="10"/>
      <c r="B37" s="10"/>
      <c r="C37" s="75" t="s">
        <v>51</v>
      </c>
      <c r="D37" s="94">
        <v>0.55000000000000004</v>
      </c>
      <c r="E37" s="10"/>
      <c r="F37" s="10"/>
      <c r="G37" s="10"/>
      <c r="H37" s="10"/>
      <c r="I37" s="10"/>
      <c r="J37" s="10"/>
      <c r="K37" s="10"/>
      <c r="L37" s="10"/>
      <c r="M37" s="10"/>
      <c r="N37" s="10"/>
      <c r="O37" s="10"/>
      <c r="P37" s="10"/>
    </row>
    <row r="38" spans="1:16" x14ac:dyDescent="0.35">
      <c r="A38" s="10"/>
      <c r="B38" s="10"/>
      <c r="C38" s="75" t="s">
        <v>86</v>
      </c>
      <c r="D38" s="94">
        <v>0.53</v>
      </c>
      <c r="E38" s="10"/>
      <c r="F38" s="10"/>
      <c r="G38" s="10"/>
      <c r="H38" s="10"/>
      <c r="I38" s="10"/>
      <c r="J38" s="10"/>
      <c r="K38" s="10"/>
      <c r="L38" s="10"/>
      <c r="M38" s="10"/>
      <c r="N38" s="10"/>
      <c r="O38" s="10"/>
      <c r="P38" s="10"/>
    </row>
    <row r="39" spans="1:16" x14ac:dyDescent="0.35">
      <c r="A39" s="10"/>
      <c r="B39" s="10"/>
      <c r="C39" s="75" t="s">
        <v>87</v>
      </c>
      <c r="D39" s="94">
        <v>0.52</v>
      </c>
      <c r="E39" s="10"/>
      <c r="F39" s="10"/>
      <c r="G39" s="10"/>
      <c r="H39" s="10"/>
      <c r="I39" s="10"/>
      <c r="J39" s="10"/>
      <c r="K39" s="10"/>
      <c r="L39" s="10"/>
      <c r="M39" s="10"/>
      <c r="N39" s="10"/>
      <c r="O39" s="10"/>
      <c r="P39" s="10"/>
    </row>
    <row r="40" spans="1:16" x14ac:dyDescent="0.35">
      <c r="A40" s="10"/>
      <c r="B40" s="10"/>
      <c r="C40" s="75" t="s">
        <v>52</v>
      </c>
      <c r="D40" s="94">
        <v>0.52</v>
      </c>
      <c r="E40" s="10"/>
      <c r="F40" s="10"/>
      <c r="G40" s="10"/>
      <c r="H40" s="10"/>
      <c r="I40" s="10"/>
      <c r="J40" s="10"/>
      <c r="K40" s="10"/>
      <c r="L40" s="10"/>
      <c r="M40" s="10"/>
      <c r="N40" s="10"/>
      <c r="O40" s="10"/>
      <c r="P40" s="10"/>
    </row>
    <row r="41" spans="1:16" x14ac:dyDescent="0.35">
      <c r="A41" s="10"/>
      <c r="B41" s="10"/>
      <c r="C41" s="75" t="s">
        <v>53</v>
      </c>
      <c r="D41" s="94">
        <v>0.75</v>
      </c>
      <c r="E41" s="10"/>
      <c r="F41" s="10"/>
      <c r="G41" s="10"/>
      <c r="H41" s="10"/>
      <c r="I41" s="10"/>
      <c r="J41" s="10"/>
      <c r="K41" s="10"/>
      <c r="L41" s="10"/>
      <c r="M41" s="10"/>
      <c r="N41" s="10"/>
      <c r="O41" s="10"/>
      <c r="P41" s="10"/>
    </row>
    <row r="42" spans="1:16" x14ac:dyDescent="0.35">
      <c r="A42" s="10"/>
      <c r="B42" s="10"/>
      <c r="C42" s="75" t="s">
        <v>54</v>
      </c>
      <c r="D42" s="94">
        <v>0.52</v>
      </c>
      <c r="E42" s="10"/>
      <c r="F42" s="10"/>
      <c r="G42" s="10"/>
      <c r="H42" s="10"/>
      <c r="I42" s="10"/>
      <c r="J42" s="10"/>
      <c r="K42" s="10"/>
      <c r="L42" s="10"/>
      <c r="M42" s="10"/>
      <c r="N42" s="10"/>
      <c r="O42" s="10"/>
      <c r="P42" s="10"/>
    </row>
    <row r="43" spans="1:16" x14ac:dyDescent="0.35">
      <c r="A43" s="10"/>
      <c r="B43" s="10"/>
      <c r="C43" s="75" t="s">
        <v>55</v>
      </c>
      <c r="D43" s="94">
        <v>0.35</v>
      </c>
      <c r="E43" s="10"/>
      <c r="F43" s="10"/>
      <c r="G43" s="10"/>
      <c r="H43" s="10"/>
      <c r="I43" s="10"/>
      <c r="J43" s="10"/>
      <c r="K43" s="10"/>
      <c r="L43" s="10"/>
      <c r="M43" s="10"/>
      <c r="N43" s="10"/>
      <c r="O43" s="10"/>
      <c r="P43" s="10"/>
    </row>
    <row r="44" spans="1:16" x14ac:dyDescent="0.35">
      <c r="A44" s="10"/>
      <c r="B44" s="10"/>
      <c r="C44" s="75" t="s">
        <v>56</v>
      </c>
      <c r="D44" s="94">
        <v>0.37</v>
      </c>
      <c r="E44" s="10"/>
      <c r="F44" s="10"/>
      <c r="G44" s="10"/>
      <c r="H44" s="10"/>
      <c r="I44" s="10"/>
      <c r="J44" s="10"/>
      <c r="K44" s="10"/>
      <c r="L44" s="10"/>
      <c r="M44" s="10"/>
      <c r="N44" s="10"/>
      <c r="O44" s="10"/>
      <c r="P44" s="10"/>
    </row>
    <row r="45" spans="1:16" x14ac:dyDescent="0.35">
      <c r="A45" s="10"/>
      <c r="B45" s="10"/>
      <c r="C45" s="75" t="s">
        <v>58</v>
      </c>
      <c r="D45" s="94">
        <v>0.45</v>
      </c>
      <c r="E45" s="10"/>
      <c r="F45" s="10"/>
      <c r="G45" s="10"/>
      <c r="H45" s="10"/>
      <c r="I45" s="10"/>
      <c r="J45" s="10"/>
      <c r="K45" s="10"/>
      <c r="L45" s="10"/>
      <c r="M45" s="10"/>
      <c r="N45" s="10"/>
      <c r="O45" s="10"/>
      <c r="P45" s="10"/>
    </row>
    <row r="46" spans="1:16" x14ac:dyDescent="0.35">
      <c r="A46" s="10"/>
      <c r="B46" s="10"/>
      <c r="C46" s="75" t="s">
        <v>59</v>
      </c>
      <c r="D46" s="94">
        <v>0.39</v>
      </c>
      <c r="E46" s="10"/>
      <c r="F46" s="10"/>
      <c r="G46" s="10"/>
      <c r="H46" s="10"/>
      <c r="I46" s="10"/>
      <c r="J46" s="10"/>
      <c r="K46" s="10"/>
      <c r="L46" s="10"/>
      <c r="M46" s="10"/>
      <c r="N46" s="10"/>
      <c r="O46" s="10"/>
      <c r="P46" s="10"/>
    </row>
    <row r="47" spans="1:16" x14ac:dyDescent="0.35">
      <c r="A47" s="10"/>
      <c r="B47" s="10"/>
      <c r="C47" s="75" t="s">
        <v>60</v>
      </c>
      <c r="D47" s="94">
        <v>0.44</v>
      </c>
      <c r="E47" s="10"/>
      <c r="F47" s="10"/>
      <c r="G47" s="10"/>
      <c r="H47" s="10"/>
      <c r="I47" s="10"/>
      <c r="J47" s="10"/>
      <c r="K47" s="10"/>
      <c r="L47" s="10"/>
      <c r="M47" s="10"/>
      <c r="N47" s="10"/>
      <c r="O47" s="10"/>
      <c r="P47" s="10"/>
    </row>
    <row r="48" spans="1:16" x14ac:dyDescent="0.35">
      <c r="A48" s="10"/>
      <c r="B48" s="10"/>
      <c r="C48" s="75" t="s">
        <v>61</v>
      </c>
      <c r="D48" s="94">
        <v>0.46</v>
      </c>
      <c r="E48" s="10"/>
      <c r="F48" s="10"/>
      <c r="G48" s="10"/>
      <c r="H48" s="10"/>
      <c r="I48" s="10"/>
      <c r="J48" s="10"/>
      <c r="K48" s="10"/>
      <c r="L48" s="10"/>
      <c r="M48" s="10"/>
      <c r="N48" s="10"/>
      <c r="O48" s="10"/>
      <c r="P48" s="10"/>
    </row>
    <row r="49" spans="1:16" x14ac:dyDescent="0.35">
      <c r="A49" s="10"/>
      <c r="B49" s="10"/>
      <c r="C49" s="75" t="s">
        <v>62</v>
      </c>
      <c r="D49" s="94">
        <v>0.46</v>
      </c>
      <c r="E49" s="10"/>
      <c r="F49" s="10"/>
      <c r="G49" s="10"/>
      <c r="H49" s="10"/>
      <c r="I49" s="10"/>
      <c r="J49" s="10"/>
      <c r="K49" s="10"/>
      <c r="L49" s="10"/>
      <c r="M49" s="10"/>
      <c r="N49" s="10"/>
      <c r="O49" s="10"/>
      <c r="P49" s="10"/>
    </row>
    <row r="50" spans="1:16" x14ac:dyDescent="0.35">
      <c r="A50" s="10"/>
      <c r="B50" s="10"/>
      <c r="C50" s="75" t="s">
        <v>63</v>
      </c>
      <c r="D50" s="94">
        <v>0.44</v>
      </c>
      <c r="E50" s="10"/>
      <c r="F50" s="10"/>
      <c r="G50" s="10"/>
      <c r="H50" s="10"/>
      <c r="I50" s="10"/>
      <c r="J50" s="10"/>
      <c r="K50" s="10"/>
      <c r="L50" s="10"/>
      <c r="M50" s="10"/>
      <c r="N50" s="10"/>
      <c r="O50" s="10"/>
      <c r="P50" s="10"/>
    </row>
    <row r="51" spans="1:16" x14ac:dyDescent="0.35">
      <c r="A51" s="10"/>
      <c r="B51" s="10"/>
      <c r="C51" s="75" t="s">
        <v>64</v>
      </c>
      <c r="D51" s="94">
        <v>0.46</v>
      </c>
      <c r="E51" s="10"/>
      <c r="F51" s="10"/>
      <c r="G51" s="10"/>
      <c r="H51" s="10"/>
      <c r="I51" s="10"/>
      <c r="J51" s="10"/>
      <c r="K51" s="10"/>
      <c r="L51" s="10"/>
      <c r="M51" s="10"/>
      <c r="N51" s="10"/>
      <c r="O51" s="10"/>
      <c r="P51" s="10"/>
    </row>
    <row r="52" spans="1:16" x14ac:dyDescent="0.35">
      <c r="A52" s="10"/>
      <c r="B52" s="10"/>
      <c r="C52" s="75" t="s">
        <v>78</v>
      </c>
      <c r="D52" s="94">
        <v>0.48</v>
      </c>
      <c r="E52" s="10"/>
      <c r="F52" s="10"/>
      <c r="G52" s="10"/>
      <c r="H52" s="10"/>
      <c r="I52" s="10"/>
      <c r="J52" s="10"/>
      <c r="K52" s="10"/>
      <c r="L52" s="10"/>
      <c r="M52" s="10"/>
      <c r="N52" s="10"/>
      <c r="O52" s="10"/>
      <c r="P52" s="10"/>
    </row>
    <row r="53" spans="1:16" x14ac:dyDescent="0.35">
      <c r="A53" s="10"/>
      <c r="B53" s="10"/>
      <c r="C53" s="75" t="s">
        <v>65</v>
      </c>
      <c r="D53" s="94">
        <v>0.44</v>
      </c>
      <c r="E53" s="10"/>
      <c r="F53" s="10"/>
      <c r="G53" s="10"/>
      <c r="H53" s="10"/>
      <c r="I53" s="10"/>
      <c r="J53" s="10"/>
      <c r="K53" s="10"/>
      <c r="L53" s="10"/>
      <c r="M53" s="10"/>
      <c r="N53" s="10"/>
      <c r="O53" s="10"/>
      <c r="P53" s="10"/>
    </row>
    <row r="54" spans="1:16" x14ac:dyDescent="0.35">
      <c r="A54" s="10"/>
      <c r="B54" s="10"/>
      <c r="C54" s="75" t="s">
        <v>66</v>
      </c>
      <c r="D54" s="94">
        <v>0.34</v>
      </c>
      <c r="E54" s="10"/>
      <c r="F54" s="10"/>
      <c r="G54" s="10"/>
      <c r="H54" s="10"/>
      <c r="I54" s="10"/>
      <c r="J54" s="10"/>
      <c r="K54" s="10"/>
      <c r="L54" s="10"/>
      <c r="M54" s="10"/>
      <c r="N54" s="10"/>
      <c r="O54" s="10"/>
      <c r="P54" s="10"/>
    </row>
    <row r="55" spans="1:16" x14ac:dyDescent="0.35">
      <c r="A55" s="10"/>
      <c r="B55" s="10"/>
      <c r="C55" s="75" t="s">
        <v>67</v>
      </c>
      <c r="D55" s="94">
        <v>0.5</v>
      </c>
      <c r="E55" s="10"/>
      <c r="F55" s="10"/>
      <c r="G55" s="10"/>
      <c r="H55" s="10"/>
      <c r="I55" s="10"/>
      <c r="J55" s="10"/>
      <c r="K55" s="10"/>
      <c r="L55" s="10"/>
      <c r="M55" s="10"/>
      <c r="N55" s="10"/>
      <c r="O55" s="10"/>
      <c r="P55" s="10"/>
    </row>
    <row r="56" spans="1:16" x14ac:dyDescent="0.35">
      <c r="A56" s="10"/>
      <c r="B56" s="10"/>
      <c r="C56" s="75" t="s">
        <v>88</v>
      </c>
      <c r="D56" s="94">
        <v>0.57999999999999996</v>
      </c>
      <c r="E56" s="10"/>
      <c r="F56" s="10"/>
      <c r="G56" s="10"/>
      <c r="H56" s="10"/>
      <c r="I56" s="10"/>
      <c r="J56" s="10"/>
      <c r="K56" s="10"/>
      <c r="L56" s="10"/>
      <c r="M56" s="10"/>
      <c r="N56" s="10"/>
      <c r="O56" s="10"/>
      <c r="P56" s="10"/>
    </row>
    <row r="57" spans="1:16" x14ac:dyDescent="0.35">
      <c r="A57" s="10"/>
      <c r="B57" s="10"/>
      <c r="C57" s="75" t="s">
        <v>68</v>
      </c>
      <c r="D57" s="94">
        <v>0.37</v>
      </c>
      <c r="E57" s="10"/>
      <c r="F57" s="10"/>
      <c r="G57" s="10"/>
      <c r="H57" s="10"/>
      <c r="I57" s="10"/>
      <c r="J57" s="10"/>
      <c r="K57" s="10"/>
      <c r="L57" s="10"/>
      <c r="M57" s="10"/>
      <c r="N57" s="10"/>
      <c r="O57" s="10"/>
      <c r="P57" s="10"/>
    </row>
    <row r="58" spans="1:16" x14ac:dyDescent="0.35">
      <c r="A58" s="10"/>
      <c r="B58" s="10"/>
      <c r="C58" s="75" t="s">
        <v>69</v>
      </c>
      <c r="D58" s="94">
        <v>0.37</v>
      </c>
      <c r="E58" s="10"/>
      <c r="F58" s="10"/>
      <c r="G58" s="10"/>
      <c r="H58" s="10"/>
      <c r="I58" s="10"/>
      <c r="J58" s="10"/>
      <c r="K58" s="10"/>
      <c r="L58" s="10"/>
      <c r="M58" s="10"/>
      <c r="N58" s="10"/>
      <c r="O58" s="10"/>
      <c r="P58" s="10"/>
    </row>
    <row r="59" spans="1:16" x14ac:dyDescent="0.35">
      <c r="A59" s="10"/>
      <c r="B59" s="10"/>
      <c r="C59" s="75" t="s">
        <v>70</v>
      </c>
      <c r="D59" s="94">
        <v>0.38</v>
      </c>
      <c r="E59" s="10"/>
      <c r="F59" s="10"/>
      <c r="G59" s="10"/>
      <c r="H59" s="10"/>
      <c r="I59" s="10"/>
      <c r="J59" s="10"/>
      <c r="K59" s="10"/>
      <c r="L59" s="10"/>
      <c r="M59" s="10"/>
      <c r="N59" s="10"/>
      <c r="O59" s="10"/>
      <c r="P59" s="10"/>
    </row>
    <row r="60" spans="1:16" x14ac:dyDescent="0.35">
      <c r="A60" s="10"/>
      <c r="B60" s="10"/>
      <c r="C60" s="75" t="s">
        <v>71</v>
      </c>
      <c r="D60" s="94">
        <v>0.36</v>
      </c>
      <c r="E60" s="10"/>
      <c r="F60" s="10"/>
      <c r="G60" s="10"/>
      <c r="H60" s="10"/>
      <c r="I60" s="10"/>
      <c r="J60" s="10"/>
      <c r="K60" s="10"/>
      <c r="L60" s="10"/>
      <c r="M60" s="10"/>
      <c r="N60" s="10"/>
      <c r="O60" s="10"/>
      <c r="P60" s="10"/>
    </row>
    <row r="61" spans="1:16" x14ac:dyDescent="0.35">
      <c r="A61" s="10"/>
      <c r="B61" s="10"/>
      <c r="C61" s="75" t="s">
        <v>72</v>
      </c>
      <c r="D61" s="94">
        <v>0.37</v>
      </c>
      <c r="E61" s="10"/>
      <c r="F61" s="10"/>
      <c r="G61" s="10"/>
      <c r="H61" s="10"/>
      <c r="I61" s="10"/>
      <c r="J61" s="10"/>
      <c r="K61" s="10"/>
      <c r="L61" s="10"/>
      <c r="M61" s="10"/>
      <c r="N61" s="10"/>
      <c r="O61" s="10"/>
      <c r="P61" s="10"/>
    </row>
    <row r="62" spans="1:16" x14ac:dyDescent="0.35">
      <c r="A62" s="10"/>
      <c r="B62" s="10"/>
      <c r="C62" s="75" t="s">
        <v>73</v>
      </c>
      <c r="D62" s="94">
        <v>0.53</v>
      </c>
      <c r="E62" s="10"/>
      <c r="F62" s="10"/>
      <c r="G62" s="10"/>
      <c r="H62" s="10"/>
      <c r="I62" s="10"/>
      <c r="J62" s="10"/>
      <c r="K62" s="10"/>
      <c r="L62" s="10"/>
      <c r="M62" s="10"/>
      <c r="N62" s="10"/>
      <c r="O62" s="10"/>
      <c r="P62" s="10"/>
    </row>
    <row r="63" spans="1:16" x14ac:dyDescent="0.35">
      <c r="A63" s="10"/>
      <c r="B63" s="10"/>
      <c r="C63" s="75" t="s">
        <v>74</v>
      </c>
      <c r="D63" s="94">
        <v>0.43</v>
      </c>
      <c r="E63" s="10"/>
      <c r="F63" s="10"/>
      <c r="G63" s="10"/>
      <c r="H63" s="10"/>
      <c r="I63" s="10"/>
      <c r="J63" s="10"/>
      <c r="K63" s="10"/>
      <c r="L63" s="10"/>
      <c r="M63" s="10"/>
      <c r="N63" s="10"/>
      <c r="O63" s="10"/>
      <c r="P63" s="10"/>
    </row>
    <row r="64" spans="1:16" x14ac:dyDescent="0.35">
      <c r="A64" s="10"/>
      <c r="B64" s="10"/>
      <c r="C64" s="75" t="s">
        <v>75</v>
      </c>
      <c r="D64" s="94">
        <v>0.38</v>
      </c>
      <c r="E64" s="10"/>
      <c r="F64" s="10"/>
      <c r="G64" s="10"/>
      <c r="H64" s="10"/>
      <c r="I64" s="10"/>
      <c r="J64" s="10"/>
      <c r="K64" s="10"/>
      <c r="L64" s="10"/>
      <c r="M64" s="10"/>
      <c r="N64" s="10"/>
      <c r="O64" s="10"/>
      <c r="P64" s="10"/>
    </row>
    <row r="65" spans="1:16" x14ac:dyDescent="0.35">
      <c r="A65" s="10"/>
      <c r="B65" s="10"/>
      <c r="C65" s="75" t="s">
        <v>76</v>
      </c>
      <c r="D65" s="94">
        <v>0.42</v>
      </c>
      <c r="E65" s="10"/>
      <c r="F65" s="10"/>
      <c r="G65" s="10"/>
      <c r="H65" s="10"/>
      <c r="I65" s="10"/>
      <c r="J65" s="10"/>
      <c r="K65" s="10"/>
      <c r="L65" s="10"/>
      <c r="M65" s="10"/>
      <c r="N65" s="10"/>
      <c r="O65" s="10"/>
      <c r="P65" s="10"/>
    </row>
    <row r="66" spans="1:16" ht="15" thickBot="1" x14ac:dyDescent="0.4">
      <c r="A66" s="10"/>
      <c r="B66" s="10"/>
      <c r="C66" s="76" t="s">
        <v>77</v>
      </c>
      <c r="D66" s="95">
        <v>0.56999999999999995</v>
      </c>
      <c r="E66" s="10"/>
      <c r="F66" s="10"/>
      <c r="G66" s="10"/>
      <c r="H66" s="10"/>
      <c r="I66" s="10"/>
      <c r="J66" s="10"/>
      <c r="K66" s="10"/>
      <c r="L66" s="10"/>
      <c r="M66" s="10"/>
      <c r="N66" s="10"/>
      <c r="O66" s="10"/>
      <c r="P66" s="10"/>
    </row>
    <row r="67" spans="1:16" x14ac:dyDescent="0.35">
      <c r="A67" s="10"/>
      <c r="B67" s="10"/>
      <c r="C67" s="10"/>
      <c r="D67" s="10"/>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91" t="s">
        <v>151</v>
      </c>
      <c r="B70" s="10"/>
      <c r="C70" s="10"/>
      <c r="D70" s="10"/>
      <c r="E70" s="10"/>
      <c r="F70" s="10"/>
      <c r="G70" s="10"/>
      <c r="H70" s="10"/>
      <c r="I70" s="10"/>
      <c r="J70" s="10"/>
      <c r="K70" s="10"/>
      <c r="L70" s="10"/>
      <c r="M70" s="10"/>
      <c r="N70" s="10"/>
      <c r="O70" s="10"/>
      <c r="P70" s="10"/>
    </row>
    <row r="71" spans="1:16" x14ac:dyDescent="0.35">
      <c r="A71" s="88" t="s">
        <v>152</v>
      </c>
      <c r="B71" s="10"/>
      <c r="C71" s="10"/>
      <c r="D71" s="10"/>
      <c r="E71" s="10"/>
      <c r="F71" s="10"/>
      <c r="G71" s="10"/>
      <c r="H71" s="10"/>
      <c r="I71" s="10"/>
      <c r="J71" s="10"/>
      <c r="K71" s="10"/>
      <c r="L71" s="10"/>
      <c r="M71" s="10"/>
      <c r="N71" s="10"/>
      <c r="O71" s="10"/>
      <c r="P71" s="10"/>
    </row>
    <row r="72" spans="1:16" x14ac:dyDescent="0.35">
      <c r="A72" s="85" t="s">
        <v>153</v>
      </c>
      <c r="B72" s="10"/>
      <c r="C72" s="10"/>
      <c r="D72" s="10"/>
      <c r="E72" s="10"/>
      <c r="F72" s="10"/>
      <c r="G72" s="10"/>
      <c r="H72" s="10"/>
      <c r="I72" s="10"/>
      <c r="J72" s="10"/>
      <c r="K72" s="10"/>
      <c r="L72" s="10"/>
      <c r="M72" s="10"/>
      <c r="N72" s="10"/>
      <c r="O72" s="10"/>
      <c r="P72" s="10"/>
    </row>
    <row r="73" spans="1:16" ht="29.5" thickBot="1" x14ac:dyDescent="0.4">
      <c r="A73" s="86" t="s">
        <v>154</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2020-09-17T15:35:28Z</dcterms:modified>
</cp:coreProperties>
</file>