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Calculs carbone\Gabriel\"/>
    </mc:Choice>
  </mc:AlternateContent>
  <bookViews>
    <workbookView xWindow="0" yWindow="0" windowWidth="24000" windowHeight="9735"/>
  </bookViews>
  <sheets>
    <sheet name="Tableau calculs" sheetId="2" r:id="rId1"/>
    <sheet name="Paramètres" sheetId="3" r:id="rId2"/>
    <sheet name="Interpolation linéaire" sheetId="1" r:id="rId3"/>
    <sheet name="Table de production" sheetId="4" r:id="rId4"/>
  </sheets>
  <externalReferences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J3" i="2" s="1"/>
  <c r="K3" i="2" s="1"/>
  <c r="H4" i="2"/>
  <c r="I4" i="2" s="1"/>
  <c r="J4" i="2" s="1"/>
  <c r="K4" i="2" s="1"/>
  <c r="L4" i="2"/>
  <c r="H5" i="2"/>
  <c r="I5" i="2" s="1"/>
  <c r="L5" i="2"/>
  <c r="H6" i="2"/>
  <c r="I6" i="2" s="1"/>
  <c r="J6" i="2" s="1"/>
  <c r="K6" i="2" s="1"/>
  <c r="L6" i="2"/>
  <c r="H7" i="2"/>
  <c r="I7" i="2" s="1"/>
  <c r="L7" i="2"/>
  <c r="H8" i="2"/>
  <c r="I8" i="2" s="1"/>
  <c r="L8" i="2"/>
  <c r="H9" i="2"/>
  <c r="J9" i="2" s="1"/>
  <c r="K9" i="2" s="1"/>
  <c r="I9" i="2"/>
  <c r="L9" i="2"/>
  <c r="H10" i="2"/>
  <c r="I10" i="2"/>
  <c r="J10" i="2" s="1"/>
  <c r="K10" i="2" s="1"/>
  <c r="L10" i="2"/>
  <c r="H11" i="2"/>
  <c r="I11" i="2"/>
  <c r="J11" i="2" s="1"/>
  <c r="K11" i="2" s="1"/>
  <c r="L11" i="2"/>
  <c r="H12" i="2"/>
  <c r="I12" i="2" s="1"/>
  <c r="J12" i="2" s="1"/>
  <c r="K12" i="2" s="1"/>
  <c r="L12" i="2"/>
  <c r="H13" i="2"/>
  <c r="I13" i="2" s="1"/>
  <c r="J13" i="2" s="1"/>
  <c r="K13" i="2" s="1"/>
  <c r="L13" i="2"/>
  <c r="H14" i="2"/>
  <c r="I14" i="2" s="1"/>
  <c r="J14" i="2" s="1"/>
  <c r="K14" i="2" s="1"/>
  <c r="L14" i="2"/>
  <c r="H15" i="2"/>
  <c r="I15" i="2" s="1"/>
  <c r="L15" i="2"/>
  <c r="H16" i="2"/>
  <c r="I16" i="2" s="1"/>
  <c r="L16" i="2"/>
  <c r="H17" i="2"/>
  <c r="J17" i="2" s="1"/>
  <c r="K17" i="2" s="1"/>
  <c r="I17" i="2"/>
  <c r="L17" i="2"/>
  <c r="H18" i="2"/>
  <c r="J18" i="2" s="1"/>
  <c r="K18" i="2" s="1"/>
  <c r="I18" i="2"/>
  <c r="L18" i="2"/>
  <c r="H19" i="2"/>
  <c r="I19" i="2"/>
  <c r="J19" i="2" s="1"/>
  <c r="K19" i="2" s="1"/>
  <c r="L19" i="2"/>
  <c r="H20" i="2"/>
  <c r="I20" i="2" s="1"/>
  <c r="J20" i="2" s="1"/>
  <c r="K20" i="2" s="1"/>
  <c r="L20" i="2"/>
  <c r="H21" i="2"/>
  <c r="I21" i="2" s="1"/>
  <c r="J21" i="2" s="1"/>
  <c r="K21" i="2" s="1"/>
  <c r="L21" i="2"/>
  <c r="H22" i="2"/>
  <c r="I22" i="2" s="1"/>
  <c r="J22" i="2" s="1"/>
  <c r="K22" i="2" s="1"/>
  <c r="L22" i="2"/>
  <c r="H23" i="2"/>
  <c r="I23" i="2" s="1"/>
  <c r="L23" i="2"/>
  <c r="H24" i="2"/>
  <c r="I24" i="2" s="1"/>
  <c r="L24" i="2"/>
  <c r="H25" i="2"/>
  <c r="J25" i="2" s="1"/>
  <c r="K25" i="2" s="1"/>
  <c r="I25" i="2"/>
  <c r="L25" i="2"/>
  <c r="H26" i="2"/>
  <c r="J26" i="2" s="1"/>
  <c r="K26" i="2" s="1"/>
  <c r="I26" i="2"/>
  <c r="L26" i="2"/>
  <c r="H27" i="2"/>
  <c r="I27" i="2"/>
  <c r="J27" i="2" s="1"/>
  <c r="K27" i="2" s="1"/>
  <c r="L27" i="2"/>
  <c r="H28" i="2"/>
  <c r="I28" i="2" s="1"/>
  <c r="J28" i="2" s="1"/>
  <c r="K28" i="2" s="1"/>
  <c r="L28" i="2"/>
  <c r="H29" i="2"/>
  <c r="I29" i="2" s="1"/>
  <c r="J29" i="2" s="1"/>
  <c r="K29" i="2" s="1"/>
  <c r="L29" i="2"/>
  <c r="H30" i="2"/>
  <c r="I30" i="2" s="1"/>
  <c r="J30" i="2" s="1"/>
  <c r="K30" i="2" s="1"/>
  <c r="L30" i="2"/>
  <c r="H31" i="2"/>
  <c r="I31" i="2" s="1"/>
  <c r="L31" i="2"/>
  <c r="H32" i="2"/>
  <c r="I32" i="2" s="1"/>
  <c r="L32" i="2"/>
  <c r="H33" i="2"/>
  <c r="J33" i="2" s="1"/>
  <c r="K33" i="2" s="1"/>
  <c r="I33" i="2"/>
  <c r="L33" i="2"/>
  <c r="H34" i="2"/>
  <c r="J34" i="2" s="1"/>
  <c r="K34" i="2" s="1"/>
  <c r="I34" i="2"/>
  <c r="L34" i="2"/>
  <c r="H35" i="2"/>
  <c r="I35" i="2"/>
  <c r="J35" i="2" s="1"/>
  <c r="K35" i="2" s="1"/>
  <c r="L35" i="2"/>
  <c r="H36" i="2"/>
  <c r="I36" i="2" s="1"/>
  <c r="J36" i="2" s="1"/>
  <c r="K36" i="2" s="1"/>
  <c r="V6" i="2" s="1"/>
  <c r="L36" i="2"/>
  <c r="H37" i="2"/>
  <c r="I37" i="2" s="1"/>
  <c r="J37" i="2" s="1"/>
  <c r="K37" i="2" s="1"/>
  <c r="L37" i="2"/>
  <c r="H38" i="2"/>
  <c r="I38" i="2" s="1"/>
  <c r="J38" i="2" s="1"/>
  <c r="K38" i="2" s="1"/>
  <c r="L38" i="2"/>
  <c r="H39" i="2"/>
  <c r="I39" i="2" s="1"/>
  <c r="L39" i="2"/>
  <c r="H40" i="2"/>
  <c r="I40" i="2" s="1"/>
  <c r="L40" i="2"/>
  <c r="H41" i="2"/>
  <c r="J41" i="2" s="1"/>
  <c r="K41" i="2" s="1"/>
  <c r="I41" i="2"/>
  <c r="L41" i="2"/>
  <c r="H42" i="2"/>
  <c r="J42" i="2" s="1"/>
  <c r="K42" i="2" s="1"/>
  <c r="I42" i="2"/>
  <c r="L42" i="2"/>
  <c r="H43" i="2"/>
  <c r="I43" i="2"/>
  <c r="J43" i="2" s="1"/>
  <c r="K43" i="2" s="1"/>
  <c r="L43" i="2"/>
  <c r="H44" i="2"/>
  <c r="I44" i="2" s="1"/>
  <c r="J44" i="2" s="1"/>
  <c r="K44" i="2" s="1"/>
  <c r="L44" i="2"/>
  <c r="H45" i="2"/>
  <c r="I45" i="2" s="1"/>
  <c r="J45" i="2" s="1"/>
  <c r="K45" i="2" s="1"/>
  <c r="L45" i="2"/>
  <c r="H46" i="2"/>
  <c r="I46" i="2" s="1"/>
  <c r="J46" i="2" s="1"/>
  <c r="K46" i="2" s="1"/>
  <c r="L46" i="2"/>
  <c r="H47" i="2"/>
  <c r="I47" i="2" s="1"/>
  <c r="L47" i="2"/>
  <c r="H48" i="2"/>
  <c r="I48" i="2" s="1"/>
  <c r="L48" i="2"/>
  <c r="H49" i="2"/>
  <c r="I49" i="2"/>
  <c r="J49" i="2" s="1"/>
  <c r="K49" i="2" s="1"/>
  <c r="L49" i="2"/>
  <c r="H50" i="2"/>
  <c r="J50" i="2" s="1"/>
  <c r="K50" i="2" s="1"/>
  <c r="I50" i="2"/>
  <c r="L50" i="2"/>
  <c r="H51" i="2"/>
  <c r="I51" i="2"/>
  <c r="J51" i="2" s="1"/>
  <c r="K51" i="2" s="1"/>
  <c r="L51" i="2"/>
  <c r="H52" i="2"/>
  <c r="I52" i="2" s="1"/>
  <c r="J52" i="2" s="1"/>
  <c r="K52" i="2" s="1"/>
  <c r="L52" i="2"/>
  <c r="H53" i="2"/>
  <c r="I53" i="2" s="1"/>
  <c r="L53" i="2"/>
  <c r="H54" i="2"/>
  <c r="I54" i="2" s="1"/>
  <c r="J54" i="2" s="1"/>
  <c r="K54" i="2" s="1"/>
  <c r="L54" i="2"/>
  <c r="H55" i="2"/>
  <c r="I55" i="2" s="1"/>
  <c r="L55" i="2"/>
  <c r="H56" i="2"/>
  <c r="I56" i="2" s="1"/>
  <c r="L56" i="2"/>
  <c r="H57" i="2"/>
  <c r="J57" i="2" s="1"/>
  <c r="K57" i="2" s="1"/>
  <c r="I57" i="2"/>
  <c r="L57" i="2"/>
  <c r="H58" i="2"/>
  <c r="J58" i="2" s="1"/>
  <c r="K58" i="2" s="1"/>
  <c r="I58" i="2"/>
  <c r="L58" i="2"/>
  <c r="H59" i="2"/>
  <c r="I59" i="2"/>
  <c r="J59" i="2" s="1"/>
  <c r="K59" i="2" s="1"/>
  <c r="L59" i="2"/>
  <c r="H60" i="2"/>
  <c r="I60" i="2" s="1"/>
  <c r="J60" i="2" s="1"/>
  <c r="K60" i="2" s="1"/>
  <c r="L60" i="2"/>
  <c r="H61" i="2"/>
  <c r="I61" i="2" s="1"/>
  <c r="L61" i="2"/>
  <c r="H62" i="2"/>
  <c r="I62" i="2" s="1"/>
  <c r="J62" i="2" s="1"/>
  <c r="K62" i="2" s="1"/>
  <c r="L62" i="2"/>
  <c r="H63" i="2"/>
  <c r="I63" i="2" s="1"/>
  <c r="L63" i="2"/>
  <c r="H64" i="2"/>
  <c r="I64" i="2" s="1"/>
  <c r="L64" i="2"/>
  <c r="H65" i="2"/>
  <c r="I65" i="2" s="1"/>
  <c r="L65" i="2"/>
  <c r="H66" i="2"/>
  <c r="I66" i="2"/>
  <c r="L66" i="2"/>
  <c r="H67" i="2"/>
  <c r="I67" i="2" s="1"/>
  <c r="J67" i="2" s="1"/>
  <c r="K67" i="2" s="1"/>
  <c r="L67" i="2"/>
  <c r="H68" i="2"/>
  <c r="I68" i="2" s="1"/>
  <c r="J68" i="2" s="1"/>
  <c r="K68" i="2" s="1"/>
  <c r="L68" i="2"/>
  <c r="H69" i="2"/>
  <c r="I69" i="2" s="1"/>
  <c r="L69" i="2"/>
  <c r="H70" i="2"/>
  <c r="I70" i="2" s="1"/>
  <c r="J70" i="2" s="1"/>
  <c r="K70" i="2" s="1"/>
  <c r="L70" i="2"/>
  <c r="H71" i="2"/>
  <c r="I71" i="2" s="1"/>
  <c r="L71" i="2"/>
  <c r="H72" i="2"/>
  <c r="I72" i="2" s="1"/>
  <c r="L72" i="2"/>
  <c r="V4" i="2"/>
  <c r="J66" i="2" l="1"/>
  <c r="K66" i="2" s="1"/>
  <c r="J65" i="2"/>
  <c r="K65" i="2" s="1"/>
  <c r="J71" i="2"/>
  <c r="K71" i="2" s="1"/>
  <c r="J63" i="2"/>
  <c r="K63" i="2" s="1"/>
  <c r="J55" i="2"/>
  <c r="K55" i="2" s="1"/>
  <c r="J47" i="2"/>
  <c r="K47" i="2" s="1"/>
  <c r="J39" i="2"/>
  <c r="K39" i="2" s="1"/>
  <c r="J31" i="2"/>
  <c r="K31" i="2" s="1"/>
  <c r="J23" i="2"/>
  <c r="K23" i="2" s="1"/>
  <c r="J15" i="2"/>
  <c r="K15" i="2" s="1"/>
  <c r="J7" i="2"/>
  <c r="K7" i="2" s="1"/>
  <c r="J61" i="2"/>
  <c r="K61" i="2" s="1"/>
  <c r="J5" i="2"/>
  <c r="K5" i="2" s="1"/>
  <c r="V3" i="2" s="1"/>
  <c r="J69" i="2"/>
  <c r="K69" i="2" s="1"/>
  <c r="J53" i="2"/>
  <c r="K53" i="2" s="1"/>
  <c r="J72" i="2"/>
  <c r="K72" i="2" s="1"/>
  <c r="J64" i="2"/>
  <c r="K64" i="2" s="1"/>
  <c r="J56" i="2"/>
  <c r="K56" i="2" s="1"/>
  <c r="J48" i="2"/>
  <c r="K48" i="2" s="1"/>
  <c r="J40" i="2"/>
  <c r="K40" i="2" s="1"/>
  <c r="J32" i="2"/>
  <c r="K32" i="2" s="1"/>
  <c r="J24" i="2"/>
  <c r="K24" i="2" s="1"/>
  <c r="J16" i="2"/>
  <c r="K16" i="2" s="1"/>
  <c r="J8" i="2"/>
  <c r="K8" i="2" s="1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3" i="2"/>
  <c r="Q4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C8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76" i="1"/>
  <c r="D88" i="1"/>
  <c r="D89" i="1"/>
  <c r="D90" i="1"/>
  <c r="D91" i="1"/>
  <c r="D92" i="1"/>
  <c r="D9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3" i="1"/>
  <c r="J86" i="2" l="1"/>
  <c r="K86" i="2" s="1"/>
  <c r="J80" i="2"/>
  <c r="K80" i="2" s="1"/>
  <c r="J92" i="2"/>
  <c r="K92" i="2" s="1"/>
  <c r="J90" i="2"/>
  <c r="K90" i="2" s="1"/>
  <c r="J74" i="2"/>
  <c r="K74" i="2" s="1"/>
  <c r="J84" i="2"/>
  <c r="K84" i="2" s="1"/>
  <c r="J82" i="2"/>
  <c r="K82" i="2" s="1"/>
  <c r="J76" i="2"/>
  <c r="K76" i="2" s="1"/>
  <c r="J94" i="2"/>
  <c r="K94" i="2" s="1"/>
  <c r="J78" i="2"/>
  <c r="K78" i="2" s="1"/>
  <c r="J88" i="2"/>
  <c r="K88" i="2" s="1"/>
  <c r="I82" i="2"/>
  <c r="J93" i="2"/>
  <c r="K93" i="2" s="1"/>
  <c r="J91" i="2"/>
  <c r="K91" i="2" s="1"/>
  <c r="J89" i="2"/>
  <c r="K89" i="2" s="1"/>
  <c r="J87" i="2"/>
  <c r="K87" i="2" s="1"/>
  <c r="J85" i="2"/>
  <c r="K85" i="2" s="1"/>
  <c r="J83" i="2"/>
  <c r="K83" i="2" s="1"/>
  <c r="J81" i="2"/>
  <c r="K81" i="2" s="1"/>
  <c r="J79" i="2"/>
  <c r="K79" i="2" s="1"/>
  <c r="J77" i="2"/>
  <c r="K77" i="2" s="1"/>
  <c r="J75" i="2"/>
  <c r="K75" i="2" s="1"/>
  <c r="J73" i="2"/>
  <c r="K73" i="2" s="1"/>
  <c r="V13" i="2"/>
  <c r="T3" i="2"/>
  <c r="S4" i="2"/>
  <c r="R4" i="2"/>
  <c r="C4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3" i="1"/>
  <c r="C90" i="1"/>
  <c r="C91" i="1"/>
  <c r="C92" i="1"/>
  <c r="C89" i="1"/>
  <c r="C84" i="1"/>
  <c r="C85" i="1"/>
  <c r="D86" i="1" s="1"/>
  <c r="C86" i="1"/>
  <c r="D87" i="1" s="1"/>
  <c r="C83" i="1"/>
  <c r="C72" i="1"/>
  <c r="D73" i="1" s="1"/>
  <c r="C73" i="1"/>
  <c r="C74" i="1"/>
  <c r="D75" i="1" s="1"/>
  <c r="C71" i="1"/>
  <c r="C67" i="1"/>
  <c r="D68" i="1" s="1"/>
  <c r="C68" i="1"/>
  <c r="D69" i="1" s="1"/>
  <c r="C60" i="1"/>
  <c r="C61" i="1"/>
  <c r="C62" i="1"/>
  <c r="C59" i="1"/>
  <c r="C54" i="1"/>
  <c r="C55" i="1"/>
  <c r="C56" i="1"/>
  <c r="C53" i="1"/>
  <c r="C48" i="1"/>
  <c r="C49" i="1"/>
  <c r="C50" i="1"/>
  <c r="C47" i="1"/>
  <c r="C42" i="1"/>
  <c r="C43" i="1"/>
  <c r="C44" i="1"/>
  <c r="C41" i="1"/>
  <c r="C36" i="1"/>
  <c r="C37" i="1"/>
  <c r="C38" i="1"/>
  <c r="C35" i="1"/>
  <c r="C30" i="1"/>
  <c r="C31" i="1"/>
  <c r="C32" i="1"/>
  <c r="C29" i="1"/>
  <c r="C24" i="1"/>
  <c r="C25" i="1"/>
  <c r="C26" i="1"/>
  <c r="C23" i="1"/>
  <c r="C18" i="1"/>
  <c r="C19" i="1"/>
  <c r="C20" i="1"/>
  <c r="C17" i="1"/>
  <c r="C93" i="1"/>
  <c r="D82" i="1"/>
  <c r="C69" i="1"/>
  <c r="C63" i="1"/>
  <c r="C57" i="1"/>
  <c r="C51" i="1"/>
  <c r="C45" i="1"/>
  <c r="C39" i="1"/>
  <c r="C33" i="1"/>
  <c r="C27" i="1"/>
  <c r="C21" i="1"/>
  <c r="D85" i="1" l="1"/>
  <c r="D84" i="1"/>
  <c r="D83" i="1"/>
  <c r="C66" i="1"/>
  <c r="D67" i="1" s="1"/>
  <c r="D70" i="1"/>
  <c r="D71" i="1"/>
  <c r="D72" i="1"/>
  <c r="D74" i="1"/>
  <c r="C65" i="1"/>
  <c r="C78" i="1"/>
  <c r="C77" i="1"/>
  <c r="C80" i="1"/>
  <c r="D81" i="1" s="1"/>
  <c r="C79" i="1"/>
  <c r="D80" i="1" s="1"/>
  <c r="T4" i="2"/>
  <c r="D77" i="1" l="1"/>
  <c r="D78" i="1"/>
  <c r="D79" i="1"/>
  <c r="D66" i="1"/>
  <c r="D65" i="1"/>
  <c r="M68" i="2"/>
  <c r="M71" i="2"/>
  <c r="M69" i="2"/>
  <c r="M65" i="2"/>
  <c r="B5" i="2"/>
  <c r="C5" i="2" s="1"/>
  <c r="B4" i="2"/>
  <c r="C4" i="2" s="1"/>
  <c r="D4" i="2" s="1"/>
  <c r="E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C3" i="2"/>
  <c r="E3" i="2" s="1"/>
  <c r="E11" i="3"/>
  <c r="D11" i="3"/>
  <c r="C11" i="3"/>
  <c r="B11" i="3"/>
  <c r="M66" i="2" l="1"/>
  <c r="M72" i="2"/>
  <c r="D5" i="2"/>
  <c r="E5" i="2" s="1"/>
  <c r="M70" i="2"/>
  <c r="M67" i="2"/>
  <c r="B6" i="2"/>
  <c r="C6" i="2" s="1"/>
  <c r="D6" i="2" l="1"/>
  <c r="E6" i="2" s="1"/>
  <c r="B7" i="2"/>
  <c r="C7" i="2" s="1"/>
  <c r="M5" i="2" l="1"/>
  <c r="D7" i="2"/>
  <c r="E7" i="2" s="1"/>
  <c r="B8" i="2"/>
  <c r="C8" i="2" s="1"/>
  <c r="M4" i="2" l="1"/>
  <c r="Q5" i="2" s="1"/>
  <c r="Q6" i="2" s="1"/>
  <c r="D8" i="2"/>
  <c r="E8" i="2" s="1"/>
  <c r="M64" i="2"/>
  <c r="B9" i="2"/>
  <c r="C9" i="2" s="1"/>
  <c r="D9" i="2" l="1"/>
  <c r="E9" i="2" s="1"/>
  <c r="M7" i="2"/>
  <c r="S5" i="2"/>
  <c r="R5" i="2"/>
  <c r="M8" i="2"/>
  <c r="B10" i="2"/>
  <c r="C10" i="2" s="1"/>
  <c r="T5" i="2" l="1"/>
  <c r="M6" i="2"/>
  <c r="Q7" i="2" s="1"/>
  <c r="Q8" i="2" s="1"/>
  <c r="Q9" i="2" s="1"/>
  <c r="S6" i="2"/>
  <c r="R6" i="2"/>
  <c r="D10" i="2"/>
  <c r="E10" i="2" s="1"/>
  <c r="B11" i="2"/>
  <c r="C11" i="2" s="1"/>
  <c r="S7" i="2" l="1"/>
  <c r="R7" i="2"/>
  <c r="T6" i="2"/>
  <c r="D11" i="2"/>
  <c r="E11" i="2" s="1"/>
  <c r="B12" i="2"/>
  <c r="C12" i="2" s="1"/>
  <c r="T7" i="2" l="1"/>
  <c r="D12" i="2"/>
  <c r="E12" i="2" s="1"/>
  <c r="S8" i="2"/>
  <c r="R8" i="2"/>
  <c r="B13" i="2"/>
  <c r="C13" i="2" s="1"/>
  <c r="D13" i="2" l="1"/>
  <c r="E13" i="2" s="1"/>
  <c r="S9" i="2"/>
  <c r="R9" i="2"/>
  <c r="T8" i="2"/>
  <c r="B14" i="2"/>
  <c r="C14" i="2" s="1"/>
  <c r="D14" i="2" l="1"/>
  <c r="E14" i="2" s="1"/>
  <c r="T9" i="2"/>
  <c r="B15" i="2"/>
  <c r="C15" i="2" s="1"/>
  <c r="D15" i="2" l="1"/>
  <c r="E15" i="2" s="1"/>
  <c r="B16" i="2"/>
  <c r="C16" i="2" s="1"/>
  <c r="D16" i="2" l="1"/>
  <c r="E16" i="2" s="1"/>
  <c r="B17" i="2"/>
  <c r="C17" i="2" s="1"/>
  <c r="D17" i="2" l="1"/>
  <c r="E17" i="2" s="1"/>
  <c r="B18" i="2"/>
  <c r="C18" i="2" s="1"/>
  <c r="D18" i="2" l="1"/>
  <c r="E18" i="2" s="1"/>
  <c r="B19" i="2"/>
  <c r="C19" i="2" s="1"/>
  <c r="D19" i="2" l="1"/>
  <c r="E19" i="2" s="1"/>
  <c r="B20" i="2"/>
  <c r="C20" i="2" s="1"/>
  <c r="D20" i="2" l="1"/>
  <c r="E20" i="2" s="1"/>
  <c r="B21" i="2"/>
  <c r="C21" i="2" s="1"/>
  <c r="D21" i="2" l="1"/>
  <c r="E21" i="2" s="1"/>
  <c r="B22" i="2"/>
  <c r="C22" i="2" s="1"/>
  <c r="D22" i="2" l="1"/>
  <c r="E22" i="2" s="1"/>
  <c r="B23" i="2"/>
  <c r="C23" i="2" s="1"/>
  <c r="D23" i="2" l="1"/>
  <c r="E23" i="2" s="1"/>
  <c r="B24" i="2"/>
  <c r="C24" i="2" s="1"/>
  <c r="D24" i="2" l="1"/>
  <c r="E24" i="2" s="1"/>
  <c r="B25" i="2"/>
  <c r="C25" i="2" s="1"/>
  <c r="D25" i="2" l="1"/>
  <c r="E25" i="2" s="1"/>
  <c r="B26" i="2"/>
  <c r="C26" i="2" s="1"/>
  <c r="D26" i="2" l="1"/>
  <c r="E26" i="2" s="1"/>
  <c r="B27" i="2"/>
  <c r="C27" i="2" s="1"/>
  <c r="D27" i="2" l="1"/>
  <c r="E27" i="2" s="1"/>
  <c r="B28" i="2"/>
  <c r="C28" i="2" s="1"/>
  <c r="D28" i="2" l="1"/>
  <c r="E28" i="2" s="1"/>
  <c r="B29" i="2"/>
  <c r="C29" i="2" s="1"/>
  <c r="D29" i="2" l="1"/>
  <c r="E29" i="2" s="1"/>
  <c r="B30" i="2"/>
  <c r="C30" i="2" s="1"/>
  <c r="D30" i="2" l="1"/>
  <c r="E30" i="2" s="1"/>
  <c r="B31" i="2"/>
  <c r="C31" i="2" s="1"/>
  <c r="D31" i="2" l="1"/>
  <c r="E31" i="2" s="1"/>
  <c r="B32" i="2"/>
  <c r="C32" i="2" s="1"/>
  <c r="D32" i="2" l="1"/>
  <c r="E32" i="2" s="1"/>
  <c r="B33" i="2"/>
  <c r="C33" i="2" s="1"/>
  <c r="D33" i="2" l="1"/>
  <c r="E33" i="2" s="1"/>
  <c r="B34" i="2"/>
  <c r="C34" i="2" s="1"/>
  <c r="D34" i="2" l="1"/>
  <c r="E34" i="2" s="1"/>
  <c r="B35" i="2"/>
  <c r="C35" i="2" s="1"/>
  <c r="D35" i="2" l="1"/>
  <c r="E35" i="2" s="1"/>
  <c r="B36" i="2"/>
  <c r="C36" i="2" s="1"/>
  <c r="D36" i="2" l="1"/>
  <c r="E36" i="2" s="1"/>
  <c r="B37" i="2"/>
  <c r="C37" i="2" s="1"/>
  <c r="D37" i="2" l="1"/>
  <c r="E37" i="2" s="1"/>
  <c r="B38" i="2"/>
  <c r="C38" i="2" s="1"/>
  <c r="D38" i="2" l="1"/>
  <c r="E38" i="2" s="1"/>
  <c r="B39" i="2"/>
  <c r="C39" i="2" s="1"/>
  <c r="D39" i="2" l="1"/>
  <c r="E39" i="2" s="1"/>
  <c r="B40" i="2"/>
  <c r="C40" i="2" s="1"/>
  <c r="D40" i="2" l="1"/>
  <c r="E40" i="2" s="1"/>
  <c r="B41" i="2"/>
  <c r="C41" i="2" s="1"/>
  <c r="D41" i="2" l="1"/>
  <c r="E41" i="2" s="1"/>
  <c r="B42" i="2"/>
  <c r="C42" i="2" s="1"/>
  <c r="D42" i="2" l="1"/>
  <c r="E42" i="2" s="1"/>
  <c r="B43" i="2"/>
  <c r="C43" i="2" s="1"/>
  <c r="D43" i="2" l="1"/>
  <c r="E43" i="2" s="1"/>
  <c r="B44" i="2"/>
  <c r="C44" i="2" s="1"/>
  <c r="D44" i="2" l="1"/>
  <c r="E44" i="2" s="1"/>
  <c r="B45" i="2"/>
  <c r="C45" i="2" s="1"/>
  <c r="D45" i="2" l="1"/>
  <c r="E45" i="2" s="1"/>
  <c r="B46" i="2"/>
  <c r="C46" i="2" s="1"/>
  <c r="D46" i="2" l="1"/>
  <c r="E46" i="2" s="1"/>
  <c r="B47" i="2"/>
  <c r="C47" i="2" s="1"/>
  <c r="D47" i="2" l="1"/>
  <c r="E47" i="2" s="1"/>
  <c r="B48" i="2"/>
  <c r="C48" i="2" s="1"/>
  <c r="D48" i="2" l="1"/>
  <c r="E48" i="2" s="1"/>
  <c r="B49" i="2"/>
  <c r="C49" i="2" s="1"/>
  <c r="D49" i="2" l="1"/>
  <c r="E49" i="2" s="1"/>
  <c r="B50" i="2"/>
  <c r="C50" i="2" s="1"/>
  <c r="D50" i="2" l="1"/>
  <c r="E50" i="2" s="1"/>
  <c r="B51" i="2"/>
  <c r="C51" i="2" s="1"/>
  <c r="D51" i="2" l="1"/>
  <c r="E51" i="2" s="1"/>
  <c r="B52" i="2"/>
  <c r="C52" i="2" s="1"/>
  <c r="D52" i="2" l="1"/>
  <c r="E52" i="2" s="1"/>
  <c r="B53" i="2"/>
  <c r="C53" i="2" s="1"/>
  <c r="D53" i="2" l="1"/>
  <c r="E53" i="2" s="1"/>
  <c r="B54" i="2"/>
  <c r="C54" i="2" s="1"/>
  <c r="D54" i="2" l="1"/>
  <c r="E54" i="2" s="1"/>
  <c r="B55" i="2"/>
  <c r="C55" i="2" s="1"/>
  <c r="D55" i="2" l="1"/>
  <c r="E55" i="2" s="1"/>
  <c r="B56" i="2"/>
  <c r="C56" i="2" s="1"/>
  <c r="D56" i="2" l="1"/>
  <c r="E56" i="2" s="1"/>
  <c r="B57" i="2"/>
  <c r="C57" i="2" s="1"/>
  <c r="D57" i="2" l="1"/>
  <c r="E57" i="2" s="1"/>
  <c r="B58" i="2"/>
  <c r="C58" i="2" s="1"/>
  <c r="D58" i="2" l="1"/>
  <c r="E58" i="2" s="1"/>
  <c r="B59" i="2"/>
  <c r="C59" i="2" s="1"/>
  <c r="D59" i="2" l="1"/>
  <c r="E59" i="2" s="1"/>
  <c r="B60" i="2"/>
  <c r="C60" i="2" s="1"/>
  <c r="D60" i="2" l="1"/>
  <c r="E60" i="2" s="1"/>
  <c r="B61" i="2"/>
  <c r="C61" i="2" s="1"/>
  <c r="D61" i="2" l="1"/>
  <c r="E61" i="2" s="1"/>
  <c r="B62" i="2"/>
  <c r="C62" i="2" s="1"/>
  <c r="D62" i="2" l="1"/>
  <c r="E62" i="2" s="1"/>
  <c r="B63" i="2"/>
  <c r="C63" i="2" s="1"/>
  <c r="D63" i="2" l="1"/>
  <c r="E63" i="2" s="1"/>
  <c r="M43" i="2" l="1"/>
  <c r="M53" i="2"/>
  <c r="M33" i="2"/>
  <c r="M63" i="2" l="1"/>
  <c r="M32" i="2"/>
  <c r="M49" i="2"/>
  <c r="M20" i="2"/>
  <c r="M57" i="2"/>
  <c r="M56" i="2"/>
  <c r="M48" i="2"/>
  <c r="M11" i="2"/>
  <c r="M44" i="2"/>
  <c r="M21" i="2"/>
  <c r="M19" i="2"/>
  <c r="M23" i="2"/>
  <c r="M52" i="2"/>
  <c r="M39" i="2"/>
  <c r="M47" i="2"/>
  <c r="M58" i="2"/>
  <c r="M50" i="2"/>
  <c r="M13" i="2"/>
  <c r="M31" i="2"/>
  <c r="M16" i="2"/>
  <c r="M62" i="2"/>
  <c r="M27" i="2"/>
  <c r="M42" i="2"/>
  <c r="M41" i="2"/>
  <c r="M46" i="2" l="1"/>
  <c r="M30" i="2"/>
  <c r="M45" i="2"/>
  <c r="M38" i="2"/>
  <c r="M17" i="2"/>
  <c r="M36" i="2"/>
  <c r="M60" i="2"/>
  <c r="M18" i="2"/>
  <c r="M29" i="2"/>
  <c r="M28" i="2"/>
  <c r="M15" i="2"/>
  <c r="M22" i="2"/>
  <c r="M61" i="2"/>
  <c r="M26" i="2"/>
  <c r="M51" i="2"/>
  <c r="M10" i="2"/>
  <c r="M14" i="2"/>
  <c r="V7" i="2"/>
  <c r="M37" i="2"/>
  <c r="M35" i="2"/>
  <c r="M34" i="2"/>
  <c r="M12" i="2"/>
  <c r="M55" i="2"/>
  <c r="M54" i="2"/>
  <c r="M59" i="2"/>
  <c r="M25" i="2"/>
  <c r="M24" i="2"/>
  <c r="M40" i="2"/>
  <c r="V11" i="2"/>
  <c r="V5" i="2"/>
  <c r="M9" i="2" l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V12" i="2"/>
  <c r="V14" i="2" s="1"/>
  <c r="R10" i="2" l="1"/>
  <c r="S10" i="2"/>
  <c r="T10" i="2" l="1"/>
  <c r="R11" i="2"/>
  <c r="S11" i="2"/>
  <c r="T11" i="2" l="1"/>
  <c r="S12" i="2"/>
  <c r="R12" i="2"/>
  <c r="R13" i="2" l="1"/>
  <c r="S13" i="2"/>
  <c r="T12" i="2"/>
  <c r="T13" i="2" l="1"/>
  <c r="R14" i="2"/>
  <c r="S14" i="2"/>
  <c r="T14" i="2" l="1"/>
  <c r="R15" i="2"/>
  <c r="S15" i="2"/>
  <c r="T15" i="2" l="1"/>
  <c r="R16" i="2"/>
  <c r="S16" i="2"/>
  <c r="T16" i="2" l="1"/>
  <c r="S17" i="2"/>
  <c r="R17" i="2"/>
  <c r="R18" i="2" l="1"/>
  <c r="S18" i="2"/>
  <c r="T17" i="2"/>
  <c r="T18" i="2" l="1"/>
  <c r="R19" i="2"/>
  <c r="S19" i="2"/>
  <c r="T19" i="2" l="1"/>
  <c r="R20" i="2"/>
  <c r="S20" i="2"/>
  <c r="T20" i="2" s="1"/>
  <c r="S21" i="2" l="1"/>
  <c r="R21" i="2"/>
  <c r="T21" i="2" l="1"/>
  <c r="S22" i="2"/>
  <c r="R22" i="2"/>
  <c r="T22" i="2" l="1"/>
  <c r="R23" i="2"/>
  <c r="S23" i="2"/>
  <c r="T23" i="2" l="1"/>
  <c r="S24" i="2"/>
  <c r="R24" i="2"/>
  <c r="R25" i="2" l="1"/>
  <c r="S25" i="2"/>
  <c r="T24" i="2"/>
  <c r="T25" i="2" l="1"/>
  <c r="R26" i="2"/>
  <c r="S26" i="2"/>
  <c r="T26" i="2" l="1"/>
  <c r="R27" i="2"/>
  <c r="S27" i="2"/>
  <c r="T27" i="2" l="1"/>
  <c r="R28" i="2"/>
  <c r="R29" i="2" s="1"/>
  <c r="S28" i="2"/>
  <c r="T28" i="2" l="1"/>
  <c r="S29" i="2"/>
  <c r="T29" i="2" s="1"/>
  <c r="S30" i="2"/>
  <c r="R30" i="2"/>
  <c r="T30" i="2" l="1"/>
  <c r="R31" i="2"/>
  <c r="S31" i="2"/>
  <c r="T31" i="2" s="1"/>
  <c r="R32" i="2" l="1"/>
  <c r="S32" i="2"/>
  <c r="T32" i="2" l="1"/>
  <c r="R33" i="2"/>
  <c r="S33" i="2"/>
  <c r="T33" i="2" l="1"/>
  <c r="S34" i="2"/>
  <c r="R34" i="2"/>
  <c r="R35" i="2" s="1"/>
  <c r="S36" i="2" l="1"/>
  <c r="R36" i="2"/>
  <c r="T34" i="2"/>
  <c r="S35" i="2"/>
  <c r="T35" i="2" s="1"/>
  <c r="T36" i="2" l="1"/>
  <c r="S37" i="2"/>
  <c r="R37" i="2"/>
  <c r="V15" i="2" l="1"/>
  <c r="V17" i="2" s="1"/>
  <c r="T37" i="2"/>
  <c r="R38" i="2"/>
  <c r="S38" i="2"/>
  <c r="T38" i="2" l="1"/>
  <c r="R39" i="2"/>
  <c r="S39" i="2"/>
  <c r="T39" i="2" l="1"/>
  <c r="R40" i="2"/>
  <c r="R41" i="2" s="1"/>
  <c r="S40" i="2"/>
  <c r="S41" i="2" l="1"/>
  <c r="T41" i="2" s="1"/>
  <c r="T40" i="2"/>
  <c r="S42" i="2"/>
  <c r="R42" i="2"/>
  <c r="T42" i="2" l="1"/>
  <c r="R43" i="2"/>
  <c r="S43" i="2"/>
  <c r="T43" i="2" l="1"/>
  <c r="R44" i="2"/>
  <c r="S44" i="2"/>
  <c r="T44" i="2" l="1"/>
  <c r="R45" i="2"/>
  <c r="S45" i="2"/>
  <c r="T45" i="2" l="1"/>
  <c r="R46" i="2"/>
  <c r="R47" i="2" s="1"/>
  <c r="S46" i="2"/>
  <c r="T46" i="2" l="1"/>
  <c r="S47" i="2"/>
  <c r="T47" i="2" s="1"/>
  <c r="S48" i="2"/>
  <c r="R48" i="2"/>
  <c r="T48" i="2" l="1"/>
  <c r="R49" i="2"/>
  <c r="S49" i="2"/>
  <c r="T49" i="2" s="1"/>
  <c r="R50" i="2" l="1"/>
  <c r="S50" i="2"/>
  <c r="T50" i="2" l="1"/>
  <c r="R51" i="2"/>
  <c r="S51" i="2"/>
  <c r="T51" i="2" l="1"/>
  <c r="S52" i="2"/>
  <c r="R52" i="2"/>
  <c r="R53" i="2" s="1"/>
  <c r="S54" i="2" l="1"/>
  <c r="R54" i="2"/>
  <c r="T52" i="2"/>
  <c r="S53" i="2"/>
  <c r="T53" i="2" s="1"/>
  <c r="R55" i="2" l="1"/>
  <c r="S55" i="2"/>
  <c r="T54" i="2"/>
  <c r="T55" i="2" l="1"/>
  <c r="S56" i="2"/>
  <c r="R56" i="2"/>
  <c r="S57" i="2" l="1"/>
  <c r="R57" i="2"/>
  <c r="T56" i="2"/>
  <c r="R58" i="2" l="1"/>
  <c r="R59" i="2" s="1"/>
  <c r="S58" i="2"/>
  <c r="T57" i="2"/>
  <c r="T58" i="2" l="1"/>
  <c r="S59" i="2"/>
  <c r="T59" i="2" s="1"/>
  <c r="S60" i="2"/>
  <c r="R60" i="2"/>
  <c r="R61" i="2" l="1"/>
  <c r="S61" i="2"/>
  <c r="T60" i="2"/>
  <c r="T61" i="2" l="1"/>
  <c r="R62" i="2"/>
  <c r="S62" i="2"/>
  <c r="T62" i="2" l="1"/>
  <c r="R63" i="2"/>
  <c r="S63" i="2"/>
  <c r="T63" i="2" l="1"/>
  <c r="S64" i="2"/>
  <c r="R64" i="2"/>
  <c r="R65" i="2" s="1"/>
  <c r="S66" i="2" l="1"/>
  <c r="R66" i="2"/>
  <c r="S65" i="2"/>
  <c r="T65" i="2" s="1"/>
  <c r="T64" i="2"/>
  <c r="R67" i="2" l="1"/>
  <c r="S67" i="2"/>
  <c r="T66" i="2"/>
  <c r="T67" i="2" l="1"/>
  <c r="R68" i="2"/>
  <c r="S68" i="2"/>
  <c r="T68" i="2" l="1"/>
  <c r="R69" i="2"/>
  <c r="S69" i="2"/>
  <c r="T69" i="2" l="1"/>
  <c r="R70" i="2"/>
  <c r="R71" i="2" s="1"/>
  <c r="S70" i="2"/>
  <c r="T70" i="2" l="1"/>
  <c r="S71" i="2"/>
  <c r="T71" i="2" s="1"/>
</calcChain>
</file>

<file path=xl/comments1.xml><?xml version="1.0" encoding="utf-8"?>
<comments xmlns="http://schemas.openxmlformats.org/spreadsheetml/2006/main">
  <authors>
    <author>S. Martel</author>
  </authors>
  <commentList>
    <comment ref="R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<sst xmlns="http://schemas.openxmlformats.org/spreadsheetml/2006/main" count="192" uniqueCount="99">
  <si>
    <t>an</t>
  </si>
  <si>
    <t>Essence</t>
  </si>
  <si>
    <t>Essence assimilée équation allométrique</t>
  </si>
  <si>
    <t>a</t>
  </si>
  <si>
    <t>b</t>
  </si>
  <si>
    <t>g</t>
  </si>
  <si>
    <t>d</t>
  </si>
  <si>
    <t>Feuillu/résineux</t>
  </si>
  <si>
    <t>facteur expansion racines</t>
  </si>
  <si>
    <t>facteur expansion branches</t>
  </si>
  <si>
    <t>Genre ou espèce infradensité</t>
  </si>
  <si>
    <t>Infradensités (GIEC)</t>
  </si>
  <si>
    <t>K : facteur d'écorce</t>
  </si>
  <si>
    <t>résineux</t>
  </si>
  <si>
    <t>4. Données produits bois</t>
  </si>
  <si>
    <t>Sciage</t>
  </si>
  <si>
    <t>Panneaux bois</t>
  </si>
  <si>
    <t>Papier</t>
  </si>
  <si>
    <t>BE</t>
  </si>
  <si>
    <t>demi-vie</t>
  </si>
  <si>
    <t>k</t>
  </si>
  <si>
    <t>PROJET</t>
  </si>
  <si>
    <t>Année</t>
  </si>
  <si>
    <t>V (m³/ha)</t>
  </si>
  <si>
    <t>Biomasse aérienne 
(tMS/ha)</t>
  </si>
  <si>
    <t>Biomasse racinaire 
(tMS/ha)</t>
  </si>
  <si>
    <t>Biomasse 
totale accrus (tCO₂/ha)</t>
  </si>
  <si>
    <t>Age peuplement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</si>
  <si>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</si>
  <si>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Biomasse aérienne projet (tMS/ha)</t>
  </si>
  <si>
    <t>Biomasse racinaire projet (tMS/ha)</t>
  </si>
  <si>
    <t>Biomasse totale projet (tMS/ha)</t>
  </si>
  <si>
    <t>Gain CO₂ moyen de long terme</t>
  </si>
  <si>
    <t>Différence de stock moyen de long terme</t>
  </si>
  <si>
    <t>Différence de stock à 30 ans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</si>
  <si>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</si>
  <si>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</si>
  <si>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</si>
  <si>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</si>
  <si>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</si>
  <si>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</si>
  <si>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</si>
  <si>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REI</t>
  </si>
  <si>
    <t>REA produits bois</t>
  </si>
  <si>
    <t>REE</t>
  </si>
  <si>
    <t>La totalité de la récolte est valorisée en BI (hypothèse méthode boisement résineux) dont 56% en panneaux (coeff 0,77) et 44% en papier (coeff 0)</t>
  </si>
  <si>
    <t>Récolte (tCO2/ha)</t>
  </si>
  <si>
    <t>Carbone séquestré Séquoia (tCO2e/ha)</t>
  </si>
  <si>
    <t>Species</t>
  </si>
  <si>
    <t>Yield class</t>
  </si>
  <si>
    <t>Thinning treatment</t>
  </si>
  <si>
    <t>Initial spacing</t>
  </si>
  <si>
    <t>Stand area</t>
  </si>
  <si>
    <t>Grand fir</t>
  </si>
  <si>
    <t>Crown</t>
  </si>
  <si>
    <t>1st thin delay</t>
  </si>
  <si>
    <t>1st thin type</t>
  </si>
  <si>
    <t>1st thin age</t>
  </si>
  <si>
    <t>2nd thin age</t>
  </si>
  <si>
    <t>Max MAI age</t>
  </si>
  <si>
    <t>Sub thin type</t>
  </si>
  <si>
    <t>Late thin age</t>
  </si>
  <si>
    <t>Late thin cycle</t>
  </si>
  <si>
    <t>0 years</t>
  </si>
  <si>
    <t>CROWN</t>
  </si>
  <si>
    <t>19 years</t>
  </si>
  <si>
    <t>24 years</t>
  </si>
  <si>
    <t>49 years</t>
  </si>
  <si>
    <t>N/A</t>
  </si>
  <si>
    <t>MAIN CROP after thinning</t>
  </si>
  <si>
    <t>Yield from THINNINGS</t>
  </si>
  <si>
    <t>CUMULATIVE PRODUCTION</t>
  </si>
  <si>
    <t>MAI</t>
  </si>
  <si>
    <t>Age yrs</t>
  </si>
  <si>
    <t>Top ht m</t>
  </si>
  <si>
    <t>Trees /ha</t>
  </si>
  <si>
    <t>Mean dbh cm</t>
  </si>
  <si>
    <t>BA m²/ha</t>
  </si>
  <si>
    <t>Mean vol m³</t>
  </si>
  <si>
    <t>Vol m³/ha</t>
  </si>
  <si>
    <t>Vol m³/ha /yr</t>
  </si>
  <si>
    <t>Après éclaircie</t>
  </si>
  <si>
    <t>Avant éclaircie</t>
  </si>
  <si>
    <t>V (m3/ha)</t>
  </si>
  <si>
    <t>Sequoia</t>
  </si>
  <si>
    <t>-</t>
  </si>
  <si>
    <t>Stockage Papier (tCO2/ha)</t>
  </si>
  <si>
    <t>Stockage produits bois total (tCO2/ha)</t>
  </si>
  <si>
    <t>Stockage panneaux (tCO2/ha)</t>
  </si>
  <si>
    <t>Récolte (m3/ha)</t>
  </si>
  <si>
    <t>Source: table britannique</t>
  </si>
  <si>
    <t>Eclaircies
réalisées</t>
  </si>
  <si>
    <t>Eclaircies non 
réalisées</t>
  </si>
  <si>
    <t/>
  </si>
  <si>
    <t>% Sciages</t>
  </si>
  <si>
    <t>% Panneaux</t>
  </si>
  <si>
    <t>% Pâte à papier</t>
  </si>
  <si>
    <t>Gain CO₂ moyen long terme accrus</t>
  </si>
  <si>
    <t>Stockage sciage (tCO2/ha)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</si>
</sst>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.25"/>
      <color indexed="8"/>
      <name val="Verdana"/>
      <family val="2"/>
    </font>
    <font>
      <sz val="8.25"/>
      <color indexed="8"/>
      <name val="Verdana"/>
      <family val="2"/>
    </font>
    <font>
      <sz val="11"/>
      <color rgb="FFFF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2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/>
    <xf numFmtId="0" fontId="0" fillId="0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0" fillId="0" borderId="0" xfId="0" applyNumberFormat="1"/>
    <xf numFmtId="165" fontId="0" fillId="8" borderId="0" xfId="0" applyNumberFormat="1" applyFill="1"/>
    <xf numFmtId="0" fontId="0" fillId="0" borderId="0" xfId="0" applyFill="1"/>
    <xf numFmtId="165" fontId="0" fillId="0" borderId="0" xfId="0" applyNumberFormat="1" applyFill="1"/>
    <xf numFmtId="0" fontId="9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top" wrapText="1"/>
    </xf>
    <xf numFmtId="0" fontId="3" fillId="9" borderId="7" xfId="0" applyFont="1" applyFill="1" applyBorder="1" applyAlignment="1">
      <alignment horizontal="center" vertical="center" wrapText="1"/>
    </xf>
    <xf numFmtId="0" fontId="0" fillId="9" borderId="0" xfId="0" applyFill="1"/>
    <xf numFmtId="164" fontId="0" fillId="9" borderId="0" xfId="0" applyNumberFormat="1" applyFill="1"/>
    <xf numFmtId="0" fontId="3" fillId="9" borderId="5" xfId="0" applyFont="1" applyFill="1" applyBorder="1" applyAlignment="1">
      <alignment horizontal="center" vertical="center" wrapText="1"/>
    </xf>
    <xf numFmtId="1" fontId="0" fillId="9" borderId="0" xfId="0" applyNumberFormat="1" applyFill="1"/>
    <xf numFmtId="1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0" fontId="3" fillId="9" borderId="0" xfId="0" applyFont="1" applyFill="1" applyAlignment="1">
      <alignment horizontal="center" vertical="center" wrapText="1"/>
    </xf>
    <xf numFmtId="164" fontId="3" fillId="9" borderId="0" xfId="0" applyNumberFormat="1" applyFont="1" applyFill="1"/>
    <xf numFmtId="0" fontId="2" fillId="9" borderId="7" xfId="0" applyFont="1" applyFill="1" applyBorder="1" applyAlignment="1">
      <alignment horizontal="center" vertical="center" wrapText="1"/>
    </xf>
    <xf numFmtId="164" fontId="1" fillId="9" borderId="0" xfId="0" applyNumberFormat="1" applyFont="1" applyFill="1"/>
    <xf numFmtId="16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1" fillId="0" borderId="0" xfId="0" applyFont="1"/>
    <xf numFmtId="164" fontId="11" fillId="0" borderId="0" xfId="0" applyNumberFormat="1" applyFont="1"/>
    <xf numFmtId="164" fontId="0" fillId="0" borderId="0" xfId="0" applyNumberFormat="1" applyFont="1"/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3" fillId="9" borderId="0" xfId="0" applyFont="1" applyFill="1" applyBorder="1" applyAlignment="1">
      <alignment horizontal="center" vertical="center" wrapText="1"/>
    </xf>
    <xf numFmtId="9" fontId="0" fillId="9" borderId="0" xfId="0" applyNumberFormat="1" applyFill="1"/>
    <xf numFmtId="9" fontId="12" fillId="9" borderId="0" xfId="0" applyNumberFormat="1" applyFont="1" applyFill="1"/>
    <xf numFmtId="164" fontId="13" fillId="9" borderId="0" xfId="0" applyNumberFormat="1" applyFont="1" applyFill="1"/>
    <xf numFmtId="164" fontId="3" fillId="10" borderId="0" xfId="0" applyNumberFormat="1" applyFont="1" applyFill="1"/>
    <xf numFmtId="164" fontId="0" fillId="1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'Interpolation linéaire'!$C$2:$C$79</c:f>
              <c:numCache>
                <c:formatCode>0.0</c:formatCode>
                <c:ptCount val="7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13</c:v>
                </c:pt>
                <c:pt idx="7">
                  <c:v>17</c:v>
                </c:pt>
                <c:pt idx="8">
                  <c:v>22</c:v>
                </c:pt>
                <c:pt idx="9">
                  <c:v>28</c:v>
                </c:pt>
                <c:pt idx="10">
                  <c:v>35</c:v>
                </c:pt>
                <c:pt idx="11">
                  <c:v>44</c:v>
                </c:pt>
                <c:pt idx="12">
                  <c:v>56</c:v>
                </c:pt>
                <c:pt idx="13">
                  <c:v>74</c:v>
                </c:pt>
                <c:pt idx="14">
                  <c:v>92</c:v>
                </c:pt>
                <c:pt idx="15">
                  <c:v>120.6</c:v>
                </c:pt>
                <c:pt idx="16">
                  <c:v>149.19999999999999</c:v>
                </c:pt>
                <c:pt idx="17">
                  <c:v>177.8</c:v>
                </c:pt>
                <c:pt idx="18">
                  <c:v>206.4</c:v>
                </c:pt>
                <c:pt idx="19">
                  <c:v>235</c:v>
                </c:pt>
                <c:pt idx="20">
                  <c:v>130</c:v>
                </c:pt>
                <c:pt idx="21">
                  <c:v>171.8</c:v>
                </c:pt>
                <c:pt idx="22">
                  <c:v>213.6</c:v>
                </c:pt>
                <c:pt idx="23">
                  <c:v>255.4</c:v>
                </c:pt>
                <c:pt idx="24">
                  <c:v>297.2</c:v>
                </c:pt>
                <c:pt idx="25">
                  <c:v>339</c:v>
                </c:pt>
                <c:pt idx="26">
                  <c:v>234</c:v>
                </c:pt>
                <c:pt idx="27">
                  <c:v>280.2</c:v>
                </c:pt>
                <c:pt idx="28">
                  <c:v>326.39999999999998</c:v>
                </c:pt>
                <c:pt idx="29">
                  <c:v>372.6</c:v>
                </c:pt>
                <c:pt idx="30">
                  <c:v>418.8</c:v>
                </c:pt>
                <c:pt idx="31">
                  <c:v>465</c:v>
                </c:pt>
                <c:pt idx="32">
                  <c:v>360</c:v>
                </c:pt>
                <c:pt idx="33">
                  <c:v>405.2</c:v>
                </c:pt>
                <c:pt idx="34">
                  <c:v>450.4</c:v>
                </c:pt>
                <c:pt idx="35">
                  <c:v>495.6</c:v>
                </c:pt>
                <c:pt idx="36">
                  <c:v>540.79999999999995</c:v>
                </c:pt>
                <c:pt idx="37">
                  <c:v>586</c:v>
                </c:pt>
                <c:pt idx="38">
                  <c:v>481</c:v>
                </c:pt>
                <c:pt idx="39">
                  <c:v>522.6</c:v>
                </c:pt>
                <c:pt idx="40">
                  <c:v>564.20000000000005</c:v>
                </c:pt>
                <c:pt idx="41">
                  <c:v>605.79999999999995</c:v>
                </c:pt>
                <c:pt idx="42">
                  <c:v>647.4</c:v>
                </c:pt>
                <c:pt idx="43">
                  <c:v>689</c:v>
                </c:pt>
                <c:pt idx="44">
                  <c:v>584</c:v>
                </c:pt>
                <c:pt idx="45">
                  <c:v>621.79999999999995</c:v>
                </c:pt>
                <c:pt idx="46">
                  <c:v>659.6</c:v>
                </c:pt>
                <c:pt idx="47">
                  <c:v>697.4</c:v>
                </c:pt>
                <c:pt idx="48">
                  <c:v>735.2</c:v>
                </c:pt>
                <c:pt idx="49">
                  <c:v>773</c:v>
                </c:pt>
                <c:pt idx="50">
                  <c:v>687</c:v>
                </c:pt>
                <c:pt idx="51">
                  <c:v>721</c:v>
                </c:pt>
                <c:pt idx="52">
                  <c:v>755</c:v>
                </c:pt>
                <c:pt idx="53">
                  <c:v>789</c:v>
                </c:pt>
                <c:pt idx="54">
                  <c:v>823</c:v>
                </c:pt>
                <c:pt idx="55">
                  <c:v>857</c:v>
                </c:pt>
                <c:pt idx="56">
                  <c:v>784</c:v>
                </c:pt>
                <c:pt idx="57">
                  <c:v>813.8</c:v>
                </c:pt>
                <c:pt idx="58">
                  <c:v>843.6</c:v>
                </c:pt>
                <c:pt idx="59">
                  <c:v>873.4</c:v>
                </c:pt>
                <c:pt idx="60">
                  <c:v>903.2</c:v>
                </c:pt>
                <c:pt idx="61">
                  <c:v>933</c:v>
                </c:pt>
                <c:pt idx="62">
                  <c:v>869</c:v>
                </c:pt>
                <c:pt idx="63">
                  <c:v>918</c:v>
                </c:pt>
                <c:pt idx="64">
                  <c:v>967</c:v>
                </c:pt>
                <c:pt idx="65">
                  <c:v>1016</c:v>
                </c:pt>
                <c:pt idx="66">
                  <c:v>1065</c:v>
                </c:pt>
                <c:pt idx="67">
                  <c:v>1114</c:v>
                </c:pt>
                <c:pt idx="68">
                  <c:v>1057</c:v>
                </c:pt>
                <c:pt idx="69">
                  <c:v>1068</c:v>
                </c:pt>
                <c:pt idx="70">
                  <c:v>1079</c:v>
                </c:pt>
                <c:pt idx="71">
                  <c:v>1090</c:v>
                </c:pt>
                <c:pt idx="72">
                  <c:v>1101</c:v>
                </c:pt>
                <c:pt idx="73">
                  <c:v>1112</c:v>
                </c:pt>
                <c:pt idx="74">
                  <c:v>1004</c:v>
                </c:pt>
                <c:pt idx="75">
                  <c:v>1023.2</c:v>
                </c:pt>
                <c:pt idx="76">
                  <c:v>1042.4000000000001</c:v>
                </c:pt>
                <c:pt idx="77">
                  <c:v>1061.5999999999999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228160"/>
        <c:axId val="885231424"/>
      </c:lineChart>
      <c:catAx>
        <c:axId val="88522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231424"/>
        <c:crosses val="autoZero"/>
        <c:auto val="1"/>
        <c:lblAlgn val="ctr"/>
        <c:lblOffset val="100"/>
        <c:noMultiLvlLbl val="0"/>
      </c:catAx>
      <c:valAx>
        <c:axId val="88523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22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0</xdr:row>
      <xdr:rowOff>185737</xdr:rowOff>
    </xdr:from>
    <xdr:to>
      <xdr:col>19</xdr:col>
      <xdr:colOff>323850</xdr:colOff>
      <xdr:row>15</xdr:row>
      <xdr:rowOff>71437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esktop/01-CRPF/01-Carbone/01-Label%20bas-carbone/03-Propri&#233;taires/02-En%20cours/De%20chenerilles/Boisement/D&#233;pot%20MTES/wetransfer-6f0c61/Document%2011%20-%20Quantification%20CO2%20ch&#234;ne%20rou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%20sequo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entrée"/>
      <sheetName val="d e affichage"/>
      <sheetName val="Modèle"/>
      <sheetName val="Paramètres"/>
      <sheetName val="Interpolation linéaire"/>
    </sheetNames>
    <sheetDataSet>
      <sheetData sheetId="0"/>
      <sheetData sheetId="1"/>
      <sheetData sheetId="2">
        <row r="3">
          <cell r="A3">
            <v>0</v>
          </cell>
          <cell r="L3">
            <v>0</v>
          </cell>
        </row>
        <row r="4">
          <cell r="A4">
            <v>1</v>
          </cell>
          <cell r="L4">
            <v>0.96259597104155847</v>
          </cell>
        </row>
        <row r="5">
          <cell r="A5">
            <v>2</v>
          </cell>
          <cell r="L5">
            <v>1.874245651513202</v>
          </cell>
        </row>
        <row r="6">
          <cell r="A6">
            <v>3</v>
          </cell>
          <cell r="L6">
            <v>2.7694422374745726</v>
          </cell>
        </row>
        <row r="7">
          <cell r="A7">
            <v>4</v>
          </cell>
          <cell r="L7">
            <v>4.5322695616364639</v>
          </cell>
        </row>
        <row r="8">
          <cell r="A8">
            <v>5</v>
          </cell>
          <cell r="L8">
            <v>7.1355760640257566</v>
          </cell>
        </row>
        <row r="9">
          <cell r="A9">
            <v>6</v>
          </cell>
          <cell r="L9">
            <v>10.560650246043949</v>
          </cell>
        </row>
        <row r="10">
          <cell r="A10">
            <v>7</v>
          </cell>
          <cell r="L10">
            <v>15.636773196306708</v>
          </cell>
        </row>
        <row r="11">
          <cell r="A11">
            <v>8</v>
          </cell>
          <cell r="L11">
            <v>22.33072095081037</v>
          </cell>
        </row>
        <row r="12">
          <cell r="A12">
            <v>9</v>
          </cell>
          <cell r="L12">
            <v>30.618501064154817</v>
          </cell>
        </row>
        <row r="13">
          <cell r="A13">
            <v>10</v>
          </cell>
          <cell r="L13">
            <v>40.482366784978375</v>
          </cell>
        </row>
        <row r="14">
          <cell r="A14">
            <v>11</v>
          </cell>
          <cell r="L14">
            <v>53.5351174143264</v>
          </cell>
        </row>
        <row r="15">
          <cell r="A15">
            <v>12</v>
          </cell>
          <cell r="L15">
            <v>68.119643924104537</v>
          </cell>
        </row>
        <row r="16">
          <cell r="A16">
            <v>13</v>
          </cell>
          <cell r="L16">
            <v>84.230750930763563</v>
          </cell>
        </row>
        <row r="17">
          <cell r="A17">
            <v>14</v>
          </cell>
          <cell r="L17">
            <v>101.8635119286639</v>
          </cell>
        </row>
        <row r="18">
          <cell r="A18">
            <v>15</v>
          </cell>
          <cell r="L18">
            <v>119.42052262122429</v>
          </cell>
        </row>
        <row r="19">
          <cell r="A19">
            <v>16</v>
          </cell>
          <cell r="L19">
            <v>137.7083635022492</v>
          </cell>
        </row>
        <row r="20">
          <cell r="A20">
            <v>17</v>
          </cell>
          <cell r="L20">
            <v>155.93775882820461</v>
          </cell>
        </row>
        <row r="21">
          <cell r="A21">
            <v>18</v>
          </cell>
          <cell r="L21">
            <v>174.90584046860877</v>
          </cell>
        </row>
        <row r="22">
          <cell r="A22">
            <v>19</v>
          </cell>
          <cell r="L22">
            <v>193.82559249840719</v>
          </cell>
        </row>
        <row r="23">
          <cell r="A23">
            <v>20</v>
          </cell>
          <cell r="L23">
            <v>212.70239804910193</v>
          </cell>
        </row>
        <row r="24">
          <cell r="A24">
            <v>21</v>
          </cell>
          <cell r="L24">
            <v>133.73802986245025</v>
          </cell>
        </row>
        <row r="25">
          <cell r="A25">
            <v>22</v>
          </cell>
          <cell r="L25">
            <v>153.08797965351815</v>
          </cell>
        </row>
        <row r="26">
          <cell r="A26">
            <v>23</v>
          </cell>
          <cell r="L26">
            <v>172.37968740233387</v>
          </cell>
        </row>
        <row r="27">
          <cell r="A27">
            <v>24</v>
          </cell>
          <cell r="L27">
            <v>191.62059368573583</v>
          </cell>
        </row>
        <row r="28">
          <cell r="A28">
            <v>25</v>
          </cell>
          <cell r="L28">
            <v>210.81651943579473</v>
          </cell>
        </row>
        <row r="29">
          <cell r="A29">
            <v>26</v>
          </cell>
          <cell r="L29">
            <v>229.97213730997649</v>
          </cell>
        </row>
        <row r="30">
          <cell r="A30">
            <v>27</v>
          </cell>
          <cell r="L30">
            <v>171.74801353051501</v>
          </cell>
        </row>
        <row r="31">
          <cell r="A31">
            <v>28</v>
          </cell>
          <cell r="L31">
            <v>189.73012452864646</v>
          </cell>
        </row>
        <row r="32">
          <cell r="A32">
            <v>29</v>
          </cell>
          <cell r="L32">
            <v>207.67252129844053</v>
          </cell>
        </row>
        <row r="33">
          <cell r="A33">
            <v>30</v>
          </cell>
          <cell r="L33">
            <v>225.57911862031798</v>
          </cell>
        </row>
        <row r="34">
          <cell r="A34">
            <v>31</v>
          </cell>
          <cell r="L34">
            <v>243.45315837795934</v>
          </cell>
        </row>
        <row r="35">
          <cell r="A35">
            <v>32</v>
          </cell>
          <cell r="L35">
            <v>261.29736721640791</v>
          </cell>
        </row>
        <row r="36">
          <cell r="A36">
            <v>33</v>
          </cell>
          <cell r="L36">
            <v>203.26907123098991</v>
          </cell>
        </row>
        <row r="37">
          <cell r="A37">
            <v>34</v>
          </cell>
          <cell r="L37">
            <v>219.92806307536296</v>
          </cell>
        </row>
        <row r="38">
          <cell r="A38">
            <v>35</v>
          </cell>
          <cell r="L38">
            <v>236.55808044428508</v>
          </cell>
        </row>
        <row r="39">
          <cell r="A39">
            <v>36</v>
          </cell>
          <cell r="L39">
            <v>253.16144710765533</v>
          </cell>
        </row>
        <row r="40">
          <cell r="A40">
            <v>37</v>
          </cell>
          <cell r="L40">
            <v>269.74015697851786</v>
          </cell>
        </row>
        <row r="41">
          <cell r="A41">
            <v>38</v>
          </cell>
          <cell r="L41">
            <v>286.29593876612068</v>
          </cell>
        </row>
        <row r="42">
          <cell r="A42">
            <v>39</v>
          </cell>
          <cell r="L42">
            <v>229.97213730997649</v>
          </cell>
        </row>
        <row r="43">
          <cell r="A43">
            <v>40</v>
          </cell>
          <cell r="L43">
            <v>245.01959722679601</v>
          </cell>
        </row>
        <row r="44">
          <cell r="A44">
            <v>41</v>
          </cell>
          <cell r="L44">
            <v>260.0460645487633</v>
          </cell>
        </row>
        <row r="45">
          <cell r="A45">
            <v>42</v>
          </cell>
          <cell r="L45">
            <v>275.05292326713243</v>
          </cell>
        </row>
        <row r="46">
          <cell r="A46">
            <v>43</v>
          </cell>
          <cell r="L46">
            <v>290.04139396546566</v>
          </cell>
        </row>
        <row r="47">
          <cell r="A47">
            <v>44</v>
          </cell>
          <cell r="L47">
            <v>305.01256073997382</v>
          </cell>
        </row>
        <row r="48">
          <cell r="A48">
            <v>45</v>
          </cell>
          <cell r="L48">
            <v>253.47447536439981</v>
          </cell>
        </row>
        <row r="49">
          <cell r="A49">
            <v>46</v>
          </cell>
          <cell r="L49">
            <v>266.92656506820367</v>
          </cell>
        </row>
        <row r="50">
          <cell r="A50">
            <v>47</v>
          </cell>
          <cell r="L50">
            <v>280.36338431358689</v>
          </cell>
        </row>
        <row r="51">
          <cell r="A51">
            <v>48</v>
          </cell>
          <cell r="L51">
            <v>293.78576822908889</v>
          </cell>
        </row>
        <row r="52">
          <cell r="A52">
            <v>49</v>
          </cell>
          <cell r="L52">
            <v>307.19446937538345</v>
          </cell>
        </row>
        <row r="53">
          <cell r="A53">
            <v>50</v>
          </cell>
          <cell r="L53">
            <v>320.59016923293365</v>
          </cell>
        </row>
        <row r="54">
          <cell r="A54">
            <v>51</v>
          </cell>
          <cell r="L54">
            <v>272.24057270166469</v>
          </cell>
        </row>
        <row r="55">
          <cell r="A55">
            <v>52</v>
          </cell>
          <cell r="L55">
            <v>284.42280077304105</v>
          </cell>
        </row>
        <row r="56">
          <cell r="A56">
            <v>53</v>
          </cell>
          <cell r="L56">
            <v>296.59334905146255</v>
          </cell>
        </row>
        <row r="57">
          <cell r="A57">
            <v>54</v>
          </cell>
          <cell r="L57">
            <v>308.75276451593004</v>
          </cell>
        </row>
        <row r="58">
          <cell r="A58">
            <v>55</v>
          </cell>
          <cell r="L58">
            <v>320.90154752800976</v>
          </cell>
        </row>
        <row r="59">
          <cell r="A59">
            <v>56</v>
          </cell>
          <cell r="L59">
            <v>333.0401574570293</v>
          </cell>
        </row>
        <row r="60">
          <cell r="A60">
            <v>57</v>
          </cell>
          <cell r="L60">
            <v>289.41722692891403</v>
          </cell>
        </row>
        <row r="61">
          <cell r="A61">
            <v>58</v>
          </cell>
          <cell r="L61">
            <v>300.02403249547757</v>
          </cell>
        </row>
        <row r="62">
          <cell r="A62">
            <v>59</v>
          </cell>
          <cell r="L62">
            <v>310.62248816136616</v>
          </cell>
        </row>
        <row r="63">
          <cell r="A63">
            <v>60</v>
          </cell>
          <cell r="L63">
            <v>321.21291913664703</v>
          </cell>
        </row>
        <row r="64">
          <cell r="A64">
            <v>61</v>
          </cell>
          <cell r="L64">
            <v>331.79562742491447</v>
          </cell>
        </row>
        <row r="65">
          <cell r="A65">
            <v>62</v>
          </cell>
          <cell r="L65">
            <v>342.37089418257477</v>
          </cell>
        </row>
        <row r="66">
          <cell r="A66">
            <v>63</v>
          </cell>
          <cell r="L66">
            <v>303.45384214677318</v>
          </cell>
        </row>
        <row r="67">
          <cell r="A67">
            <v>64</v>
          </cell>
          <cell r="L67">
            <v>312.80351675757174</v>
          </cell>
        </row>
        <row r="68">
          <cell r="A68">
            <v>65</v>
          </cell>
          <cell r="L68">
            <v>322.14699391797183</v>
          </cell>
        </row>
        <row r="69">
          <cell r="A69">
            <v>66</v>
          </cell>
          <cell r="L69">
            <v>331.48447884420858</v>
          </cell>
        </row>
        <row r="70">
          <cell r="A70">
            <v>67</v>
          </cell>
          <cell r="L70">
            <v>340.81616423982365</v>
          </cell>
        </row>
        <row r="71">
          <cell r="A71">
            <v>68</v>
          </cell>
          <cell r="L71">
            <v>350.14223138776873</v>
          </cell>
        </row>
        <row r="72">
          <cell r="A72">
            <v>69</v>
          </cell>
          <cell r="L72">
            <v>315.9186873454837</v>
          </cell>
        </row>
        <row r="73">
          <cell r="A73">
            <v>70</v>
          </cell>
          <cell r="L73">
            <v>324.01496394256736</v>
          </cell>
        </row>
        <row r="74">
          <cell r="A74">
            <v>71</v>
          </cell>
          <cell r="L74">
            <v>332.10676956966137</v>
          </cell>
        </row>
        <row r="75">
          <cell r="A75">
            <v>72</v>
          </cell>
          <cell r="L75">
            <v>340.19422861744891</v>
          </cell>
        </row>
        <row r="76">
          <cell r="A76">
            <v>73</v>
          </cell>
          <cell r="L76">
            <v>348.27745907481875</v>
          </cell>
        </row>
        <row r="77">
          <cell r="A77">
            <v>74</v>
          </cell>
          <cell r="L77">
            <v>356.35657300253297</v>
          </cell>
        </row>
        <row r="78">
          <cell r="A78">
            <v>75</v>
          </cell>
          <cell r="L78">
            <v>325.26014493454323</v>
          </cell>
        </row>
        <row r="79">
          <cell r="A79">
            <v>76</v>
          </cell>
          <cell r="L79">
            <v>332.41790528534432</v>
          </cell>
        </row>
        <row r="80">
          <cell r="A80">
            <v>77</v>
          </cell>
          <cell r="L80">
            <v>339.57226797673195</v>
          </cell>
        </row>
        <row r="81">
          <cell r="A81">
            <v>78</v>
          </cell>
          <cell r="L81">
            <v>346.72331475971595</v>
          </cell>
        </row>
        <row r="82">
          <cell r="A82">
            <v>79</v>
          </cell>
          <cell r="L82">
            <v>353.87112373479096</v>
          </cell>
        </row>
        <row r="83">
          <cell r="A83">
            <v>80</v>
          </cell>
          <cell r="L83">
            <v>361.01576958702663</v>
          </cell>
        </row>
        <row r="84">
          <cell r="A84">
            <v>81</v>
          </cell>
          <cell r="L84">
            <v>334.59567585759874</v>
          </cell>
        </row>
        <row r="85">
          <cell r="A85">
            <v>82</v>
          </cell>
          <cell r="L85">
            <v>340.81616423982365</v>
          </cell>
        </row>
        <row r="86">
          <cell r="A86">
            <v>83</v>
          </cell>
          <cell r="L86">
            <v>347.03415583786756</v>
          </cell>
        </row>
        <row r="87">
          <cell r="A87">
            <v>84</v>
          </cell>
          <cell r="L87">
            <v>353.24970174806907</v>
          </cell>
        </row>
        <row r="88">
          <cell r="A88">
            <v>85</v>
          </cell>
          <cell r="L88">
            <v>359.46285112001948</v>
          </cell>
        </row>
        <row r="89">
          <cell r="A89">
            <v>86</v>
          </cell>
          <cell r="L89">
            <v>365.67365126385283</v>
          </cell>
        </row>
        <row r="90">
          <cell r="A90">
            <v>87</v>
          </cell>
          <cell r="L90">
            <v>342.37089418257477</v>
          </cell>
        </row>
        <row r="91">
          <cell r="A91">
            <v>88</v>
          </cell>
          <cell r="L91">
            <v>347.65581965898065</v>
          </cell>
        </row>
        <row r="92">
          <cell r="A92">
            <v>89</v>
          </cell>
          <cell r="L92">
            <v>352.93898177127249</v>
          </cell>
        </row>
        <row r="93">
          <cell r="A93">
            <v>90</v>
          </cell>
          <cell r="L93">
            <v>358.22041067213968</v>
          </cell>
        </row>
        <row r="94">
          <cell r="A94">
            <v>0</v>
          </cell>
          <cell r="L94">
            <v>363.5001355515472</v>
          </cell>
        </row>
        <row r="95">
          <cell r="A95">
            <v>0</v>
          </cell>
          <cell r="L95">
            <v>368.77818468132654</v>
          </cell>
        </row>
        <row r="96">
          <cell r="A96">
            <v>0</v>
          </cell>
          <cell r="L96">
            <v>348.58826964633107</v>
          </cell>
        </row>
        <row r="97">
          <cell r="A97">
            <v>0</v>
          </cell>
          <cell r="L97">
            <v>353.24970174806907</v>
          </cell>
        </row>
        <row r="98">
          <cell r="A98">
            <v>0</v>
          </cell>
          <cell r="L98">
            <v>357.90978583474595</v>
          </cell>
        </row>
        <row r="99">
          <cell r="A99">
            <v>0</v>
          </cell>
          <cell r="L99">
            <v>362.56854195764805</v>
          </cell>
        </row>
        <row r="100">
          <cell r="A100">
            <v>0</v>
          </cell>
          <cell r="L100">
            <v>367.22598961006497</v>
          </cell>
        </row>
        <row r="101">
          <cell r="A101">
            <v>0</v>
          </cell>
          <cell r="L101">
            <v>371.88214774985948</v>
          </cell>
        </row>
        <row r="102">
          <cell r="A102">
            <v>0</v>
          </cell>
          <cell r="L102">
            <v>353.24970174806907</v>
          </cell>
        </row>
        <row r="103">
          <cell r="A103">
            <v>0</v>
          </cell>
          <cell r="L103">
            <v>357.59915509549666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calculs"/>
      <sheetName val="Paramètres"/>
      <sheetName val="Interpolation linéaire"/>
      <sheetName val="Table de production"/>
    </sheetNames>
    <sheetDataSet>
      <sheetData sheetId="0" refreshError="1"/>
      <sheetData sheetId="1">
        <row r="11">
          <cell r="D11">
            <v>0.34657359027997264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20"/>
  <sheetViews>
    <sheetView tabSelected="1" topLeftCell="S1" zoomScaleNormal="100" workbookViewId="0">
      <selection activeCell="V17" sqref="V17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9.140625" customWidth="1"/>
    <col min="4" max="4" width="10.42578125" customWidth="1"/>
    <col min="5" max="5" width="9.42578125" bestFit="1" customWidth="1"/>
    <col min="6" max="6" width="10.5703125" style="26" bestFit="1" customWidth="1"/>
    <col min="7" max="7" width="10.28515625" bestFit="1" customWidth="1"/>
    <col min="8" max="8" width="10.42578125" bestFit="1" customWidth="1"/>
    <col min="9" max="9" width="9.28515625" bestFit="1" customWidth="1"/>
    <col min="10" max="10" width="10.5703125" bestFit="1" customWidth="1"/>
    <col min="11" max="11" width="10.5703125" customWidth="1"/>
    <col min="12" max="12" width="15.85546875" bestFit="1" customWidth="1"/>
    <col min="13" max="18" width="17" customWidth="1"/>
    <col min="19" max="19" width="10.85546875" style="52" customWidth="1"/>
    <col min="20" max="20" width="9" bestFit="1" customWidth="1"/>
    <col min="21" max="21" width="39.85546875" style="51" bestFit="1" customWidth="1"/>
    <col min="22" max="22" width="13.140625" customWidth="1"/>
  </cols>
  <sheetData>
    <row r="1" spans="1:23" ht="14.25" customHeight="1" x14ac:dyDescent="0.25">
      <c r="A1" s="7"/>
      <c r="B1" s="7"/>
      <c r="C1" s="7"/>
      <c r="D1" s="63"/>
      <c r="E1" s="63"/>
      <c r="F1" s="64" t="s">
        <v>21</v>
      </c>
      <c r="G1" s="65"/>
      <c r="H1" s="65"/>
      <c r="I1" s="65"/>
      <c r="J1" s="65"/>
      <c r="K1" s="65"/>
      <c r="L1" s="65"/>
    </row>
    <row r="2" spans="1:23" ht="89.25" x14ac:dyDescent="0.25">
      <c r="A2" s="2" t="s">
        <v>22</v>
      </c>
      <c r="B2" s="8" t="s">
        <v>23</v>
      </c>
      <c r="C2" s="9" t="s">
        <v>24</v>
      </c>
      <c r="D2" s="9" t="s">
        <v>25</v>
      </c>
      <c r="E2" s="9" t="s">
        <v>26</v>
      </c>
      <c r="F2" s="10" t="s">
        <v>27</v>
      </c>
      <c r="G2" s="11" t="s">
        <v>28</v>
      </c>
      <c r="H2" s="11" t="s">
        <v>29</v>
      </c>
      <c r="I2" s="11" t="s">
        <v>30</v>
      </c>
      <c r="J2" s="11" t="s">
        <v>31</v>
      </c>
      <c r="K2" s="12" t="s">
        <v>47</v>
      </c>
      <c r="L2" s="11" t="s">
        <v>89</v>
      </c>
      <c r="M2" s="42" t="s">
        <v>46</v>
      </c>
      <c r="N2" s="67" t="s">
        <v>94</v>
      </c>
      <c r="O2" s="67" t="s">
        <v>95</v>
      </c>
      <c r="P2" s="67" t="s">
        <v>96</v>
      </c>
      <c r="Q2" s="67" t="s">
        <v>98</v>
      </c>
      <c r="R2" s="53" t="s">
        <v>88</v>
      </c>
      <c r="S2" s="39" t="s">
        <v>86</v>
      </c>
      <c r="T2" s="55" t="s">
        <v>87</v>
      </c>
      <c r="U2" s="58" t="s">
        <v>90</v>
      </c>
    </row>
    <row r="3" spans="1:23" x14ac:dyDescent="0.25">
      <c r="A3" s="13">
        <v>0</v>
      </c>
      <c r="B3" s="14">
        <v>0</v>
      </c>
      <c r="C3" s="15">
        <f>B3*1.56*0.57</f>
        <v>0</v>
      </c>
      <c r="D3" s="15">
        <v>0</v>
      </c>
      <c r="E3" s="15">
        <f>(C3+D3)*0.475*44/12</f>
        <v>0</v>
      </c>
      <c r="F3" s="29">
        <v>0</v>
      </c>
      <c r="G3" s="28">
        <v>0</v>
      </c>
      <c r="H3" s="16">
        <f>G3*Paramètres!K$2*Paramètres!I$2</f>
        <v>0</v>
      </c>
      <c r="I3" s="16">
        <v>0</v>
      </c>
      <c r="J3" s="16">
        <f>H3+I3</f>
        <v>0</v>
      </c>
      <c r="K3" s="17">
        <f>J3*0.475*44/12</f>
        <v>0</v>
      </c>
      <c r="L3" s="15">
        <v>0</v>
      </c>
      <c r="M3" s="43">
        <f>L3*0.35*44/12</f>
        <v>0</v>
      </c>
      <c r="N3" s="68"/>
      <c r="O3" s="68"/>
      <c r="P3" s="68"/>
      <c r="Q3" s="54">
        <v>0</v>
      </c>
      <c r="R3" s="54">
        <v>0</v>
      </c>
      <c r="S3" s="40">
        <v>0</v>
      </c>
      <c r="T3" s="56">
        <f>S3+R3</f>
        <v>0</v>
      </c>
      <c r="U3" s="18" t="s">
        <v>32</v>
      </c>
      <c r="V3" s="28">
        <f>AVERAGE(K3:K72)</f>
        <v>467.67209097632576</v>
      </c>
    </row>
    <row r="4" spans="1:23" x14ac:dyDescent="0.25">
      <c r="A4" s="13">
        <f>A3+1</f>
        <v>1</v>
      </c>
      <c r="B4" s="14">
        <f>B3+1</f>
        <v>1</v>
      </c>
      <c r="C4" s="15">
        <f>B4*0.57</f>
        <v>0.56999999999999995</v>
      </c>
      <c r="D4" s="15">
        <f>EXP(-1.0587+0.8836*LN(C4)+0.284)</f>
        <v>0.28044202045489819</v>
      </c>
      <c r="E4" s="15">
        <f>C4+D4</f>
        <v>0.85044202045489814</v>
      </c>
      <c r="F4" s="29">
        <v>1</v>
      </c>
      <c r="G4" s="28">
        <v>1</v>
      </c>
      <c r="H4" s="16">
        <f>G4*Paramètres!K$2*Paramètres!I$2</f>
        <v>0.45390000000000003</v>
      </c>
      <c r="I4" s="16">
        <f>EXP(-1.0587+0.8836*LN(H4)+0.284)</f>
        <v>0.22932007880223884</v>
      </c>
      <c r="J4" s="16">
        <f t="shared" ref="J4:J63" si="0">H4+I4</f>
        <v>0.68322007880223889</v>
      </c>
      <c r="K4" s="17">
        <f>J4*0.475*44/12</f>
        <v>1.1899416372472327</v>
      </c>
      <c r="L4" s="28">
        <f>IF(G3-G4&gt;0,G3-G4,0)</f>
        <v>0</v>
      </c>
      <c r="M4" s="43">
        <f>L4*0.35*44/12</f>
        <v>0</v>
      </c>
      <c r="N4" s="68"/>
      <c r="O4" s="68"/>
      <c r="P4" s="68"/>
      <c r="Q4" s="54">
        <f>EXP(-[2]Paramètres!D$11)*Q3+(1-EXP(-[2]Paramètres!D$11))*N3*M3/[2]Paramètres!D$11</f>
        <v>0</v>
      </c>
      <c r="R4" s="54">
        <f>EXP(-Paramètres!C$11)*R3+(1-EXP(-Paramètres!C$11))*0.56*M3/Paramètres!C$11</f>
        <v>0</v>
      </c>
      <c r="S4" s="41">
        <f>EXP(-Paramètres!D$11)*R3+(1-EXP(-Paramètres!D$11))*0.44*M3/Paramètres!D$11</f>
        <v>0</v>
      </c>
      <c r="T4" s="56">
        <f t="shared" ref="T4:T36" si="1">S4+R4</f>
        <v>0</v>
      </c>
      <c r="U4" s="18" t="s">
        <v>97</v>
      </c>
      <c r="V4" s="28">
        <f>AVERAGE(E3:E63)</f>
        <v>22.641063821977287</v>
      </c>
      <c r="W4" s="19"/>
    </row>
    <row r="5" spans="1:23" x14ac:dyDescent="0.25">
      <c r="A5" s="13">
        <f t="shared" ref="A5:B20" si="2">A4+1</f>
        <v>2</v>
      </c>
      <c r="B5" s="14">
        <f t="shared" si="2"/>
        <v>2</v>
      </c>
      <c r="C5" s="15">
        <f t="shared" ref="C5:C63" si="3">B5*0.57</f>
        <v>1.1399999999999999</v>
      </c>
      <c r="D5" s="15">
        <f t="shared" ref="D5:D63" si="4">EXP(-1.0587+0.8836*LN(C5)+0.284)</f>
        <v>0.5174080621339946</v>
      </c>
      <c r="E5" s="15">
        <f t="shared" ref="E5:E63" si="5">C5+D5</f>
        <v>1.6574080621339946</v>
      </c>
      <c r="F5" s="29">
        <v>2</v>
      </c>
      <c r="G5" s="28">
        <v>2</v>
      </c>
      <c r="H5" s="16">
        <f>G5*Paramètres!K$2*Paramètres!I$2</f>
        <v>0.90780000000000005</v>
      </c>
      <c r="I5" s="16">
        <f t="shared" ref="I5:I63" si="6">EXP(-1.0587+0.8836*LN(H5)+0.284)</f>
        <v>0.42308944069443899</v>
      </c>
      <c r="J5" s="16">
        <f t="shared" si="0"/>
        <v>1.3308894406944392</v>
      </c>
      <c r="K5" s="17">
        <f>J5*0.475*44/12</f>
        <v>2.3179657758761483</v>
      </c>
      <c r="L5" s="28">
        <f t="shared" ref="L5:L68" si="7">IF(G4-G5&gt;0,G4-G5,0)</f>
        <v>0</v>
      </c>
      <c r="M5" s="43">
        <f>L5*0.35*44/12</f>
        <v>0</v>
      </c>
      <c r="N5" s="68"/>
      <c r="O5" s="68"/>
      <c r="P5" s="68"/>
      <c r="Q5" s="54">
        <f>EXP(-[2]Paramètres!D$11)*Q4+(1-EXP(-[2]Paramètres!D$11))*N4*M4/[2]Paramètres!D$11</f>
        <v>0</v>
      </c>
      <c r="R5" s="54">
        <f>EXP(-Paramètres!C$11)*R4+(1-EXP(-Paramètres!C$11))*0.56*M4/Paramètres!C$11</f>
        <v>0</v>
      </c>
      <c r="S5" s="41">
        <f>EXP(-Paramètres!D$11)*R4+(1-EXP(-Paramètres!D$11))*0.44*M4/Paramètres!D$11</f>
        <v>0</v>
      </c>
      <c r="T5" s="56">
        <f t="shared" si="1"/>
        <v>0</v>
      </c>
      <c r="U5" s="20" t="s">
        <v>33</v>
      </c>
      <c r="V5" s="28">
        <f>V3-V4</f>
        <v>445.03102715434846</v>
      </c>
    </row>
    <row r="6" spans="1:23" x14ac:dyDescent="0.25">
      <c r="A6" s="13">
        <f t="shared" si="2"/>
        <v>3</v>
      </c>
      <c r="B6" s="14">
        <f t="shared" si="2"/>
        <v>3</v>
      </c>
      <c r="C6" s="15">
        <f t="shared" si="3"/>
        <v>1.71</v>
      </c>
      <c r="D6" s="15">
        <f t="shared" si="4"/>
        <v>0.74033354502612181</v>
      </c>
      <c r="E6" s="15">
        <f t="shared" si="5"/>
        <v>2.4503335450261217</v>
      </c>
      <c r="F6" s="29">
        <v>3</v>
      </c>
      <c r="G6" s="28">
        <v>4</v>
      </c>
      <c r="H6" s="16">
        <f>G6*Paramètres!K$2*Paramètres!I$2</f>
        <v>1.8156000000000001</v>
      </c>
      <c r="I6" s="16">
        <f t="shared" si="6"/>
        <v>0.78058875508020109</v>
      </c>
      <c r="J6" s="16">
        <f t="shared" si="0"/>
        <v>2.5961887550802012</v>
      </c>
      <c r="K6" s="17">
        <f t="shared" ref="K6:K63" si="8">J6*0.475*44/12</f>
        <v>4.5216954150980166</v>
      </c>
      <c r="L6" s="28">
        <f t="shared" si="7"/>
        <v>0</v>
      </c>
      <c r="M6" s="43">
        <f>L6*0.35*44/12</f>
        <v>0</v>
      </c>
      <c r="N6" s="68"/>
      <c r="O6" s="68"/>
      <c r="P6" s="68"/>
      <c r="Q6" s="54">
        <f>EXP(-[2]Paramètres!D$11)*Q5+(1-EXP(-[2]Paramètres!D$11))*N5*M5/[2]Paramètres!D$11</f>
        <v>0</v>
      </c>
      <c r="R6" s="54">
        <f>EXP(-Paramètres!C$11)*R5+(1-EXP(-Paramètres!C$11))*0.56*M5/Paramètres!C$11</f>
        <v>0</v>
      </c>
      <c r="S6" s="41">
        <f>EXP(-Paramètres!D$11)*R5+(1-EXP(-Paramètres!D$11))*0.44*M5/Paramètres!D$11</f>
        <v>0</v>
      </c>
      <c r="T6" s="56">
        <f t="shared" si="1"/>
        <v>0</v>
      </c>
      <c r="U6" s="20" t="s">
        <v>34</v>
      </c>
      <c r="V6" s="28">
        <f>K36-E33</f>
        <v>378.01836569956606</v>
      </c>
    </row>
    <row r="7" spans="1:23" x14ac:dyDescent="0.25">
      <c r="A7" s="13">
        <f t="shared" si="2"/>
        <v>4</v>
      </c>
      <c r="B7" s="14">
        <f t="shared" si="2"/>
        <v>4</v>
      </c>
      <c r="C7" s="15">
        <f t="shared" si="3"/>
        <v>2.2799999999999998</v>
      </c>
      <c r="D7" s="15">
        <f t="shared" si="4"/>
        <v>0.95460410079419578</v>
      </c>
      <c r="E7" s="15">
        <f t="shared" si="5"/>
        <v>3.2346041007941957</v>
      </c>
      <c r="F7" s="29">
        <v>4</v>
      </c>
      <c r="G7" s="28">
        <v>6</v>
      </c>
      <c r="H7" s="16">
        <f>G7*Paramètres!K$2*Paramètres!I$2</f>
        <v>2.7233999999999998</v>
      </c>
      <c r="I7" s="16">
        <f t="shared" si="6"/>
        <v>1.1169057510866407</v>
      </c>
      <c r="J7" s="16">
        <f t="shared" si="0"/>
        <v>3.8403057510866407</v>
      </c>
      <c r="K7" s="17">
        <f t="shared" si="8"/>
        <v>6.6885325164758989</v>
      </c>
      <c r="L7" s="28">
        <f t="shared" si="7"/>
        <v>0</v>
      </c>
      <c r="M7" s="43">
        <f>L7*0.35*44/12</f>
        <v>0</v>
      </c>
      <c r="N7" s="68"/>
      <c r="O7" s="68"/>
      <c r="P7" s="68"/>
      <c r="Q7" s="54">
        <f>EXP(-[2]Paramètres!D$11)*Q6+(1-EXP(-[2]Paramètres!D$11))*N6*M6/[2]Paramètres!D$11</f>
        <v>0</v>
      </c>
      <c r="R7" s="54">
        <f>EXP(-Paramètres!C$11)*R6+(1-EXP(-Paramètres!C$11))*0.56*M6/Paramètres!C$11</f>
        <v>0</v>
      </c>
      <c r="S7" s="41">
        <f>EXP(-Paramètres!D$11)*R6+(1-EXP(-Paramètres!D$11))*0.44*M6/Paramètres!D$11</f>
        <v>0</v>
      </c>
      <c r="T7" s="56">
        <f t="shared" si="1"/>
        <v>0</v>
      </c>
      <c r="U7" s="21" t="s">
        <v>35</v>
      </c>
      <c r="V7" s="28">
        <f>V6</f>
        <v>378.01836569956606</v>
      </c>
    </row>
    <row r="8" spans="1:23" x14ac:dyDescent="0.25">
      <c r="A8" s="13">
        <f t="shared" si="2"/>
        <v>5</v>
      </c>
      <c r="B8" s="14">
        <f t="shared" si="2"/>
        <v>5</v>
      </c>
      <c r="C8" s="15">
        <f t="shared" si="3"/>
        <v>2.8499999999999996</v>
      </c>
      <c r="D8" s="15">
        <f t="shared" si="4"/>
        <v>1.1626606742605301</v>
      </c>
      <c r="E8" s="15">
        <f t="shared" si="5"/>
        <v>4.0126606742605295</v>
      </c>
      <c r="F8" s="29">
        <v>5</v>
      </c>
      <c r="G8" s="28">
        <v>9</v>
      </c>
      <c r="H8" s="16">
        <f>G8*Paramètres!K$2*Paramètres!I$2</f>
        <v>4.0850999999999997</v>
      </c>
      <c r="I8" s="16">
        <f t="shared" si="6"/>
        <v>1.5981250673823011</v>
      </c>
      <c r="J8" s="16">
        <f t="shared" si="0"/>
        <v>5.6832250673823008</v>
      </c>
      <c r="K8" s="17">
        <f t="shared" si="8"/>
        <v>9.8982836590241732</v>
      </c>
      <c r="L8" s="28">
        <f t="shared" si="7"/>
        <v>0</v>
      </c>
      <c r="M8" s="43">
        <f>L8*0.35*44/12</f>
        <v>0</v>
      </c>
      <c r="N8" s="68"/>
      <c r="O8" s="68"/>
      <c r="P8" s="68"/>
      <c r="Q8" s="54">
        <f>EXP(-[2]Paramètres!D$11)*Q7+(1-EXP(-[2]Paramètres!D$11))*N7*M7/[2]Paramètres!D$11</f>
        <v>0</v>
      </c>
      <c r="R8" s="54">
        <f>EXP(-Paramètres!C$11)*R7+(1-EXP(-Paramètres!C$11))*0.56*M7/Paramètres!C$11</f>
        <v>0</v>
      </c>
      <c r="S8" s="41">
        <f>EXP(-Paramètres!D$11)*R7+(1-EXP(-Paramètres!D$11))*0.44*M7/Paramètres!D$11</f>
        <v>0</v>
      </c>
      <c r="T8" s="56">
        <f t="shared" si="1"/>
        <v>0</v>
      </c>
      <c r="U8" s="21" t="s">
        <v>36</v>
      </c>
      <c r="V8">
        <v>0</v>
      </c>
    </row>
    <row r="9" spans="1:23" x14ac:dyDescent="0.25">
      <c r="A9" s="13">
        <f t="shared" si="2"/>
        <v>6</v>
      </c>
      <c r="B9" s="14">
        <f t="shared" si="2"/>
        <v>6</v>
      </c>
      <c r="C9" s="15">
        <f t="shared" si="3"/>
        <v>3.42</v>
      </c>
      <c r="D9" s="15">
        <f t="shared" si="4"/>
        <v>1.3658956822640653</v>
      </c>
      <c r="E9" s="15">
        <f t="shared" si="5"/>
        <v>4.7858956822640657</v>
      </c>
      <c r="F9" s="29">
        <v>6</v>
      </c>
      <c r="G9" s="28">
        <v>13</v>
      </c>
      <c r="H9" s="16">
        <f>G9*Paramètres!K$2*Paramètres!I$2</f>
        <v>5.9006999999999996</v>
      </c>
      <c r="I9" s="16">
        <f t="shared" si="6"/>
        <v>2.2116807015704016</v>
      </c>
      <c r="J9" s="16">
        <f t="shared" si="0"/>
        <v>8.1123807015704017</v>
      </c>
      <c r="K9" s="17">
        <f t="shared" si="8"/>
        <v>14.129063055235116</v>
      </c>
      <c r="L9" s="28">
        <f t="shared" si="7"/>
        <v>0</v>
      </c>
      <c r="M9" s="43">
        <f>L9*0.35*44/12</f>
        <v>0</v>
      </c>
      <c r="N9" s="68"/>
      <c r="O9" s="68"/>
      <c r="P9" s="68"/>
      <c r="Q9" s="54">
        <f>EXP(-[2]Paramètres!D$11)*Q8+(1-EXP(-[2]Paramètres!D$11))*N8*M8/[2]Paramètres!D$11</f>
        <v>0</v>
      </c>
      <c r="R9" s="54">
        <f>EXP(-Paramètres!C$11)*R8+(1-EXP(-Paramètres!C$11))*0.56*M8/Paramètres!C$11</f>
        <v>0</v>
      </c>
      <c r="S9" s="41">
        <f>EXP(-Paramètres!D$11)*R8+(1-EXP(-Paramètres!D$11))*0.44*M8/Paramètres!D$11</f>
        <v>0</v>
      </c>
      <c r="T9" s="56">
        <f t="shared" si="1"/>
        <v>0</v>
      </c>
      <c r="U9" s="21" t="s">
        <v>37</v>
      </c>
      <c r="V9">
        <v>36.700000000000003</v>
      </c>
    </row>
    <row r="10" spans="1:23" x14ac:dyDescent="0.25">
      <c r="A10" s="13">
        <f t="shared" si="2"/>
        <v>7</v>
      </c>
      <c r="B10" s="14">
        <f t="shared" si="2"/>
        <v>7</v>
      </c>
      <c r="C10" s="15">
        <f t="shared" si="3"/>
        <v>3.9899999999999998</v>
      </c>
      <c r="D10" s="15">
        <f t="shared" si="4"/>
        <v>1.5652067621022843</v>
      </c>
      <c r="E10" s="15">
        <f t="shared" si="5"/>
        <v>5.5552067621022836</v>
      </c>
      <c r="F10" s="29">
        <v>7</v>
      </c>
      <c r="G10" s="28">
        <v>17</v>
      </c>
      <c r="H10" s="16">
        <f>G10*Paramètres!K$2*Paramètres!I$2</f>
        <v>7.7163000000000004</v>
      </c>
      <c r="I10" s="16">
        <f t="shared" si="6"/>
        <v>2.8032817473829548</v>
      </c>
      <c r="J10" s="16">
        <f t="shared" si="0"/>
        <v>10.519581747382954</v>
      </c>
      <c r="K10" s="17">
        <f t="shared" si="8"/>
        <v>18.321604876691978</v>
      </c>
      <c r="L10" s="28">
        <f t="shared" si="7"/>
        <v>0</v>
      </c>
      <c r="M10" s="43">
        <f>L10*0.35*44/12</f>
        <v>0</v>
      </c>
      <c r="N10" s="68"/>
      <c r="O10" s="68"/>
      <c r="P10" s="68"/>
      <c r="Q10" s="54">
        <f>EXP(-[2]Paramètres!D$11)*Q9+(1-EXP(-[2]Paramètres!D$11))*N9*M9/[2]Paramètres!D$11</f>
        <v>0</v>
      </c>
      <c r="R10" s="54">
        <f>EXP(-Paramètres!C$11)*R9+(1-EXP(-Paramètres!C$11))*0.56*M9/Paramètres!C$11</f>
        <v>0</v>
      </c>
      <c r="S10" s="41">
        <f>EXP(-Paramètres!D$11)*R9+(1-EXP(-Paramètres!D$11))*0.44*M9/Paramètres!D$11</f>
        <v>0</v>
      </c>
      <c r="T10" s="56">
        <f t="shared" si="1"/>
        <v>0</v>
      </c>
      <c r="U10" s="21" t="s">
        <v>38</v>
      </c>
      <c r="V10">
        <v>0</v>
      </c>
    </row>
    <row r="11" spans="1:23" x14ac:dyDescent="0.25">
      <c r="A11" s="13">
        <f t="shared" si="2"/>
        <v>8</v>
      </c>
      <c r="B11" s="14">
        <f t="shared" si="2"/>
        <v>8</v>
      </c>
      <c r="C11" s="15">
        <f t="shared" si="3"/>
        <v>4.5599999999999996</v>
      </c>
      <c r="D11" s="15">
        <f t="shared" si="4"/>
        <v>1.7612191535915833</v>
      </c>
      <c r="E11" s="15">
        <f t="shared" si="5"/>
        <v>6.3212191535915832</v>
      </c>
      <c r="F11" s="29">
        <v>8</v>
      </c>
      <c r="G11" s="28">
        <v>22</v>
      </c>
      <c r="H11" s="16">
        <f>G11*Paramètres!K$2*Paramètres!I$2</f>
        <v>9.9858000000000011</v>
      </c>
      <c r="I11" s="16">
        <f t="shared" si="6"/>
        <v>3.5205195722837845</v>
      </c>
      <c r="J11" s="16">
        <f t="shared" si="0"/>
        <v>13.506319572283786</v>
      </c>
      <c r="K11" s="17">
        <f t="shared" si="8"/>
        <v>23.523506588394259</v>
      </c>
      <c r="L11" s="28">
        <f t="shared" si="7"/>
        <v>0</v>
      </c>
      <c r="M11" s="43">
        <f>L11*0.35*44/12</f>
        <v>0</v>
      </c>
      <c r="N11" s="68"/>
      <c r="O11" s="68"/>
      <c r="P11" s="68"/>
      <c r="Q11" s="54">
        <f>EXP(-[2]Paramètres!D$11)*Q10+(1-EXP(-[2]Paramètres!D$11))*N10*M10/[2]Paramètres!D$11</f>
        <v>0</v>
      </c>
      <c r="R11" s="54">
        <f>EXP(-Paramètres!C$11)*R10+(1-EXP(-Paramètres!C$11))*0.56*M10/Paramètres!C$11</f>
        <v>0</v>
      </c>
      <c r="S11" s="41">
        <f>EXP(-Paramètres!D$11)*R10+(1-EXP(-Paramètres!D$11))*0.44*M10/Paramètres!D$11</f>
        <v>0</v>
      </c>
      <c r="T11" s="56">
        <f t="shared" si="1"/>
        <v>0</v>
      </c>
      <c r="U11" s="22" t="s">
        <v>39</v>
      </c>
      <c r="V11" s="28">
        <f>SUM(V7:V10)</f>
        <v>414.71836569956605</v>
      </c>
    </row>
    <row r="12" spans="1:23" x14ac:dyDescent="0.25">
      <c r="A12" s="13">
        <f t="shared" si="2"/>
        <v>9</v>
      </c>
      <c r="B12" s="14">
        <f t="shared" si="2"/>
        <v>9</v>
      </c>
      <c r="C12" s="15">
        <f t="shared" si="3"/>
        <v>5.13</v>
      </c>
      <c r="D12" s="15">
        <f t="shared" si="4"/>
        <v>1.9543924159507027</v>
      </c>
      <c r="E12" s="15">
        <f t="shared" si="5"/>
        <v>7.0843924159507026</v>
      </c>
      <c r="F12" s="29">
        <v>9</v>
      </c>
      <c r="G12" s="28">
        <v>28</v>
      </c>
      <c r="H12" s="16">
        <f>G12*Paramètres!K$2*Paramètres!I$2</f>
        <v>12.709200000000001</v>
      </c>
      <c r="I12" s="16">
        <f t="shared" si="6"/>
        <v>4.3566324186750274</v>
      </c>
      <c r="J12" s="16">
        <f t="shared" si="0"/>
        <v>17.065832418675029</v>
      </c>
      <c r="K12" s="17">
        <f t="shared" si="8"/>
        <v>29.722991462525673</v>
      </c>
      <c r="L12" s="28">
        <f t="shared" si="7"/>
        <v>0</v>
      </c>
      <c r="M12" s="43">
        <f>L12*0.35*44/12</f>
        <v>0</v>
      </c>
      <c r="N12" s="68"/>
      <c r="O12" s="68"/>
      <c r="P12" s="68"/>
      <c r="Q12" s="54">
        <f>EXP(-[2]Paramètres!D$11)*Q11+(1-EXP(-[2]Paramètres!D$11))*N11*M11/[2]Paramètres!D$11</f>
        <v>0</v>
      </c>
      <c r="R12" s="54">
        <f>EXP(-Paramètres!C$11)*R11+(1-EXP(-Paramètres!C$11))*0.56*M11/Paramètres!C$11</f>
        <v>0</v>
      </c>
      <c r="S12" s="41">
        <f>EXP(-Paramètres!D$11)*R11+(1-EXP(-Paramètres!D$11))*0.44*M11/Paramètres!D$11</f>
        <v>0</v>
      </c>
      <c r="T12" s="56">
        <f t="shared" si="1"/>
        <v>0</v>
      </c>
      <c r="U12" s="18" t="s">
        <v>40</v>
      </c>
      <c r="V12" s="28">
        <f>SUM(L3:L36)</f>
        <v>315</v>
      </c>
    </row>
    <row r="13" spans="1:23" x14ac:dyDescent="0.25">
      <c r="A13" s="13">
        <f t="shared" si="2"/>
        <v>10</v>
      </c>
      <c r="B13" s="14">
        <f t="shared" si="2"/>
        <v>10</v>
      </c>
      <c r="C13" s="15">
        <f t="shared" si="3"/>
        <v>5.6999999999999993</v>
      </c>
      <c r="D13" s="15">
        <f t="shared" si="4"/>
        <v>2.1450779929938895</v>
      </c>
      <c r="E13" s="15">
        <f t="shared" si="5"/>
        <v>7.8450779929938887</v>
      </c>
      <c r="F13" s="29">
        <v>10</v>
      </c>
      <c r="G13" s="28">
        <v>35</v>
      </c>
      <c r="H13" s="16">
        <f>G13*Paramètres!K$2*Paramètres!I$2</f>
        <v>15.8865</v>
      </c>
      <c r="I13" s="16">
        <f t="shared" si="6"/>
        <v>5.3061632368726022</v>
      </c>
      <c r="J13" s="16">
        <f t="shared" si="0"/>
        <v>21.192663236872601</v>
      </c>
      <c r="K13" s="17">
        <f t="shared" si="8"/>
        <v>36.910555137553111</v>
      </c>
      <c r="L13" s="28">
        <f t="shared" si="7"/>
        <v>0</v>
      </c>
      <c r="M13" s="43">
        <f>L13*0.35*44/12</f>
        <v>0</v>
      </c>
      <c r="N13" s="68"/>
      <c r="O13" s="68"/>
      <c r="P13" s="68"/>
      <c r="Q13" s="54">
        <f>EXP(-[2]Paramètres!D$11)*Q12+(1-EXP(-[2]Paramètres!D$11))*N12*M12/[2]Paramètres!D$11</f>
        <v>0</v>
      </c>
      <c r="R13" s="54">
        <f>EXP(-Paramètres!C$11)*R12+(1-EXP(-Paramètres!C$11))*0.56*M12/Paramètres!C$11</f>
        <v>0</v>
      </c>
      <c r="S13" s="41">
        <f>EXP(-Paramètres!D$11)*R12+(1-EXP(-Paramètres!D$11))*0.44*M12/Paramètres!D$11</f>
        <v>0</v>
      </c>
      <c r="T13" s="56">
        <f t="shared" si="1"/>
        <v>0</v>
      </c>
      <c r="U13" s="18" t="s">
        <v>41</v>
      </c>
      <c r="V13">
        <f>0.77*0.56</f>
        <v>0.43120000000000003</v>
      </c>
      <c r="W13" t="s">
        <v>45</v>
      </c>
    </row>
    <row r="14" spans="1:23" x14ac:dyDescent="0.25">
      <c r="A14" s="13">
        <f t="shared" si="2"/>
        <v>11</v>
      </c>
      <c r="B14" s="14">
        <f t="shared" si="2"/>
        <v>11</v>
      </c>
      <c r="C14" s="15">
        <f t="shared" si="3"/>
        <v>6.27</v>
      </c>
      <c r="D14" s="15">
        <f t="shared" si="4"/>
        <v>2.3335529723496968</v>
      </c>
      <c r="E14" s="15">
        <f t="shared" si="5"/>
        <v>8.6035529723496964</v>
      </c>
      <c r="F14" s="29">
        <v>11</v>
      </c>
      <c r="G14" s="28">
        <v>44</v>
      </c>
      <c r="H14" s="16">
        <f>G14*Paramètres!K$2*Paramètres!I$2</f>
        <v>19.971600000000002</v>
      </c>
      <c r="I14" s="16">
        <f t="shared" si="6"/>
        <v>6.4952648916359541</v>
      </c>
      <c r="J14" s="16">
        <f t="shared" si="0"/>
        <v>26.466864891635957</v>
      </c>
      <c r="K14" s="17">
        <f t="shared" si="8"/>
        <v>46.09645635293262</v>
      </c>
      <c r="L14" s="28">
        <f t="shared" si="7"/>
        <v>0</v>
      </c>
      <c r="M14" s="43">
        <f>L14*0.35*44/12</f>
        <v>0</v>
      </c>
      <c r="N14" s="68"/>
      <c r="O14" s="68"/>
      <c r="P14" s="68"/>
      <c r="Q14" s="54">
        <f>EXP(-[2]Paramètres!D$11)*Q13+(1-EXP(-[2]Paramètres!D$11))*N13*M13/[2]Paramètres!D$11</f>
        <v>0</v>
      </c>
      <c r="R14" s="54">
        <f>EXP(-Paramètres!C$11)*R13+(1-EXP(-Paramètres!C$11))*0.56*M13/Paramètres!C$11</f>
        <v>0</v>
      </c>
      <c r="S14" s="41">
        <f>EXP(-Paramètres!D$11)*R13+(1-EXP(-Paramètres!D$11))*0.44*M13/Paramètres!D$11</f>
        <v>0</v>
      </c>
      <c r="T14" s="56">
        <f t="shared" si="1"/>
        <v>0</v>
      </c>
      <c r="U14" s="22" t="s">
        <v>42</v>
      </c>
      <c r="V14">
        <f>V12*V13</f>
        <v>135.828</v>
      </c>
    </row>
    <row r="15" spans="1:23" x14ac:dyDescent="0.25">
      <c r="A15" s="13">
        <f t="shared" si="2"/>
        <v>12</v>
      </c>
      <c r="B15" s="14">
        <f t="shared" si="2"/>
        <v>12</v>
      </c>
      <c r="C15" s="15">
        <f t="shared" si="3"/>
        <v>6.84</v>
      </c>
      <c r="D15" s="15">
        <f t="shared" si="4"/>
        <v>2.5200411724715086</v>
      </c>
      <c r="E15" s="15">
        <f t="shared" si="5"/>
        <v>9.360041172471508</v>
      </c>
      <c r="F15" s="29">
        <v>12</v>
      </c>
      <c r="G15" s="28">
        <v>56</v>
      </c>
      <c r="H15" s="16">
        <f>G15*Paramètres!K$2*Paramètres!I$2</f>
        <v>25.418400000000002</v>
      </c>
      <c r="I15" s="16">
        <f t="shared" si="6"/>
        <v>8.0378708351921375</v>
      </c>
      <c r="J15" s="16">
        <f t="shared" si="0"/>
        <v>33.456270835192143</v>
      </c>
      <c r="K15" s="17">
        <f t="shared" si="8"/>
        <v>58.269671704626312</v>
      </c>
      <c r="L15" s="28">
        <f t="shared" si="7"/>
        <v>0</v>
      </c>
      <c r="M15" s="43">
        <f>L15*0.35*44/12</f>
        <v>0</v>
      </c>
      <c r="N15" s="68"/>
      <c r="O15" s="68"/>
      <c r="P15" s="68"/>
      <c r="Q15" s="54">
        <f>EXP(-[2]Paramètres!D$11)*Q14+(1-EXP(-[2]Paramètres!D$11))*N14*M14/[2]Paramètres!D$11</f>
        <v>0</v>
      </c>
      <c r="R15" s="54">
        <f>EXP(-Paramètres!C$11)*R14+(1-EXP(-Paramètres!C$11))*0.56*M14/Paramètres!C$11</f>
        <v>0</v>
      </c>
      <c r="S15" s="41">
        <f>EXP(-Paramètres!D$11)*R14+(1-EXP(-Paramètres!D$11))*0.44*M14/Paramètres!D$11</f>
        <v>0</v>
      </c>
      <c r="T15" s="56">
        <f t="shared" si="1"/>
        <v>0</v>
      </c>
      <c r="U15" s="22" t="s">
        <v>43</v>
      </c>
      <c r="V15" s="28">
        <f>AVERAGE(T3:T36)</f>
        <v>70.665170635898733</v>
      </c>
    </row>
    <row r="16" spans="1:23" x14ac:dyDescent="0.25">
      <c r="A16" s="13">
        <f t="shared" si="2"/>
        <v>13</v>
      </c>
      <c r="B16" s="14">
        <f t="shared" si="2"/>
        <v>13</v>
      </c>
      <c r="C16" s="15">
        <f t="shared" si="3"/>
        <v>7.4099999999999993</v>
      </c>
      <c r="D16" s="15">
        <f t="shared" si="4"/>
        <v>2.7047269815583839</v>
      </c>
      <c r="E16" s="15">
        <f t="shared" si="5"/>
        <v>10.114726981558384</v>
      </c>
      <c r="F16" s="29">
        <v>13</v>
      </c>
      <c r="G16" s="28">
        <v>74</v>
      </c>
      <c r="H16" s="16">
        <f>G16*Paramètres!K$2*Paramètres!I$2</f>
        <v>33.5886</v>
      </c>
      <c r="I16" s="16">
        <f t="shared" si="6"/>
        <v>10.282417410521935</v>
      </c>
      <c r="J16" s="16">
        <f t="shared" si="0"/>
        <v>43.871017410521937</v>
      </c>
      <c r="K16" s="17">
        <f t="shared" si="8"/>
        <v>76.408688656659038</v>
      </c>
      <c r="L16" s="28">
        <f t="shared" si="7"/>
        <v>0</v>
      </c>
      <c r="M16" s="43">
        <f>L16*0.35*44/12</f>
        <v>0</v>
      </c>
      <c r="N16" s="68"/>
      <c r="O16" s="68"/>
      <c r="P16" s="68"/>
      <c r="Q16" s="54">
        <f>EXP(-[2]Paramètres!D$11)*Q15+(1-EXP(-[2]Paramètres!D$11))*N15*M15/[2]Paramètres!D$11</f>
        <v>0</v>
      </c>
      <c r="R16" s="54">
        <f>EXP(-Paramètres!C$11)*R15+(1-EXP(-Paramètres!C$11))*0.56*M15/Paramètres!C$11</f>
        <v>0</v>
      </c>
      <c r="S16" s="41">
        <f>EXP(-Paramètres!D$11)*R15+(1-EXP(-Paramètres!D$11))*0.44*M15/Paramètres!D$11</f>
        <v>0</v>
      </c>
      <c r="T16" s="56">
        <f t="shared" si="1"/>
        <v>0</v>
      </c>
      <c r="U16"/>
    </row>
    <row r="17" spans="1:22" x14ac:dyDescent="0.25">
      <c r="A17" s="13">
        <f t="shared" si="2"/>
        <v>14</v>
      </c>
      <c r="B17" s="14">
        <f t="shared" si="2"/>
        <v>14</v>
      </c>
      <c r="C17" s="15">
        <f t="shared" si="3"/>
        <v>7.9799999999999995</v>
      </c>
      <c r="D17" s="15">
        <f t="shared" si="4"/>
        <v>2.8877648089424257</v>
      </c>
      <c r="E17" s="15">
        <f t="shared" si="5"/>
        <v>10.867764808942425</v>
      </c>
      <c r="F17" s="29">
        <v>14</v>
      </c>
      <c r="G17" s="28">
        <v>92</v>
      </c>
      <c r="H17" s="16">
        <f>G17*Paramètres!K$2*Paramètres!I$2</f>
        <v>41.758800000000001</v>
      </c>
      <c r="I17" s="16">
        <f t="shared" si="6"/>
        <v>12.463643163835755</v>
      </c>
      <c r="J17" s="16">
        <f t="shared" si="0"/>
        <v>54.222443163835756</v>
      </c>
      <c r="K17" s="17">
        <f t="shared" si="8"/>
        <v>94.43742184368061</v>
      </c>
      <c r="L17" s="28">
        <f t="shared" si="7"/>
        <v>0</v>
      </c>
      <c r="M17" s="43">
        <f>L17*0.35*44/12</f>
        <v>0</v>
      </c>
      <c r="N17" s="68"/>
      <c r="O17" s="68"/>
      <c r="P17" s="68"/>
      <c r="Q17" s="54">
        <f>EXP(-[2]Paramètres!D$11)*Q16+(1-EXP(-[2]Paramètres!D$11))*N16*M16/[2]Paramètres!D$11</f>
        <v>0</v>
      </c>
      <c r="R17" s="54">
        <f>EXP(-Paramètres!C$11)*R16+(1-EXP(-Paramètres!C$11))*0.56*M16/Paramètres!C$11</f>
        <v>0</v>
      </c>
      <c r="S17" s="41">
        <f>EXP(-Paramètres!D$11)*R16+(1-EXP(-Paramètres!D$11))*0.44*M16/Paramètres!D$11</f>
        <v>0</v>
      </c>
      <c r="T17" s="56">
        <f t="shared" si="1"/>
        <v>0</v>
      </c>
      <c r="U17" s="23" t="s">
        <v>44</v>
      </c>
      <c r="V17" s="28">
        <f>V15+V14+V11</f>
        <v>621.21153633546476</v>
      </c>
    </row>
    <row r="18" spans="1:22" x14ac:dyDescent="0.25">
      <c r="A18" s="13">
        <f t="shared" si="2"/>
        <v>15</v>
      </c>
      <c r="B18" s="14">
        <f t="shared" si="2"/>
        <v>15</v>
      </c>
      <c r="C18" s="15">
        <f t="shared" si="3"/>
        <v>8.5499999999999989</v>
      </c>
      <c r="D18" s="15">
        <f t="shared" si="4"/>
        <v>3.0692857555424347</v>
      </c>
      <c r="E18" s="15">
        <f t="shared" si="5"/>
        <v>11.619285755542434</v>
      </c>
      <c r="F18" s="29">
        <v>15</v>
      </c>
      <c r="G18" s="28">
        <v>120.6</v>
      </c>
      <c r="H18" s="16">
        <f>G18*Paramètres!K$2*Paramètres!I$2</f>
        <v>54.740339999999996</v>
      </c>
      <c r="I18" s="16">
        <f t="shared" si="6"/>
        <v>15.831445256335989</v>
      </c>
      <c r="J18" s="16">
        <f t="shared" si="0"/>
        <v>70.571785256335986</v>
      </c>
      <c r="K18" s="17">
        <f t="shared" si="8"/>
        <v>122.91252598811849</v>
      </c>
      <c r="L18" s="28">
        <f t="shared" si="7"/>
        <v>0</v>
      </c>
      <c r="M18" s="43">
        <f>L18*0.35*44/12</f>
        <v>0</v>
      </c>
      <c r="N18" s="68"/>
      <c r="O18" s="68"/>
      <c r="P18" s="68"/>
      <c r="Q18" s="54">
        <f>EXP(-[2]Paramètres!D$11)*Q17+(1-EXP(-[2]Paramètres!D$11))*N17*M17/[2]Paramètres!D$11</f>
        <v>0</v>
      </c>
      <c r="R18" s="54">
        <f>EXP(-Paramètres!C$11)*R17+(1-EXP(-Paramètres!C$11))*0.56*M17/Paramètres!C$11</f>
        <v>0</v>
      </c>
      <c r="S18" s="41">
        <f>EXP(-Paramètres!D$11)*R17+(1-EXP(-Paramètres!D$11))*0.44*M17/Paramètres!D$11</f>
        <v>0</v>
      </c>
      <c r="T18" s="56">
        <f t="shared" si="1"/>
        <v>0</v>
      </c>
      <c r="U18"/>
    </row>
    <row r="19" spans="1:22" x14ac:dyDescent="0.25">
      <c r="A19" s="13">
        <f t="shared" si="2"/>
        <v>16</v>
      </c>
      <c r="B19" s="14">
        <f t="shared" si="2"/>
        <v>16</v>
      </c>
      <c r="C19" s="15">
        <f t="shared" si="3"/>
        <v>9.1199999999999992</v>
      </c>
      <c r="D19" s="15">
        <f t="shared" si="4"/>
        <v>3.2494024532234786</v>
      </c>
      <c r="E19" s="15">
        <f t="shared" si="5"/>
        <v>12.369402453223477</v>
      </c>
      <c r="F19" s="29">
        <v>16</v>
      </c>
      <c r="G19" s="28">
        <v>149.19999999999999</v>
      </c>
      <c r="H19" s="16">
        <f>G19*Paramètres!K$2*Paramètres!I$2</f>
        <v>67.721879999999999</v>
      </c>
      <c r="I19" s="16">
        <f t="shared" si="6"/>
        <v>19.106635318647829</v>
      </c>
      <c r="J19" s="16">
        <f t="shared" si="0"/>
        <v>86.828515318647831</v>
      </c>
      <c r="K19" s="17">
        <f t="shared" si="8"/>
        <v>151.22633084664497</v>
      </c>
      <c r="L19" s="28">
        <f t="shared" si="7"/>
        <v>0</v>
      </c>
      <c r="M19" s="43">
        <f>L19*0.35*44/12</f>
        <v>0</v>
      </c>
      <c r="N19" s="68"/>
      <c r="O19" s="68"/>
      <c r="P19" s="68"/>
      <c r="Q19" s="54">
        <f>EXP(-[2]Paramètres!D$11)*Q18+(1-EXP(-[2]Paramètres!D$11))*N18*M18/[2]Paramètres!D$11</f>
        <v>0</v>
      </c>
      <c r="R19" s="54">
        <f>EXP(-Paramètres!C$11)*R18+(1-EXP(-Paramètres!C$11))*0.56*M18/Paramètres!C$11</f>
        <v>0</v>
      </c>
      <c r="S19" s="41">
        <f>EXP(-Paramètres!D$11)*R18+(1-EXP(-Paramètres!D$11))*0.44*M18/Paramètres!D$11</f>
        <v>0</v>
      </c>
      <c r="T19" s="56">
        <f t="shared" si="1"/>
        <v>0</v>
      </c>
      <c r="U19"/>
    </row>
    <row r="20" spans="1:22" x14ac:dyDescent="0.25">
      <c r="A20" s="13">
        <f t="shared" si="2"/>
        <v>17</v>
      </c>
      <c r="B20" s="14">
        <f t="shared" si="2"/>
        <v>17</v>
      </c>
      <c r="C20" s="15">
        <f t="shared" si="3"/>
        <v>9.69</v>
      </c>
      <c r="D20" s="15">
        <f t="shared" si="4"/>
        <v>3.4282126591207955</v>
      </c>
      <c r="E20" s="15">
        <f t="shared" si="5"/>
        <v>13.118212659120795</v>
      </c>
      <c r="F20" s="29">
        <v>17</v>
      </c>
      <c r="G20" s="28">
        <v>177.8</v>
      </c>
      <c r="H20" s="16">
        <f>G20*Paramètres!K$2*Paramètres!I$2</f>
        <v>80.703420000000008</v>
      </c>
      <c r="I20" s="16">
        <f t="shared" si="6"/>
        <v>22.309086248437918</v>
      </c>
      <c r="J20" s="16">
        <f t="shared" si="0"/>
        <v>103.01250624843793</v>
      </c>
      <c r="K20" s="17">
        <f t="shared" si="8"/>
        <v>179.41344838269606</v>
      </c>
      <c r="L20" s="28">
        <f t="shared" si="7"/>
        <v>0</v>
      </c>
      <c r="M20" s="43">
        <f>L20*0.35*44/12</f>
        <v>0</v>
      </c>
      <c r="N20" s="68"/>
      <c r="O20" s="68"/>
      <c r="P20" s="68"/>
      <c r="Q20" s="54">
        <f>EXP(-[2]Paramètres!D$11)*Q19+(1-EXP(-[2]Paramètres!D$11))*N19*M19/[2]Paramètres!D$11</f>
        <v>0</v>
      </c>
      <c r="R20" s="54">
        <f>EXP(-Paramètres!C$11)*R19+(1-EXP(-Paramètres!C$11))*0.56*M19/Paramètres!C$11</f>
        <v>0</v>
      </c>
      <c r="S20" s="41">
        <f>EXP(-Paramètres!D$11)*R19+(1-EXP(-Paramètres!D$11))*0.44*M19/Paramètres!D$11</f>
        <v>0</v>
      </c>
      <c r="T20" s="56">
        <f t="shared" si="1"/>
        <v>0</v>
      </c>
      <c r="U20"/>
    </row>
    <row r="21" spans="1:22" x14ac:dyDescent="0.25">
      <c r="A21" s="13">
        <f t="shared" ref="A21:B36" si="9">A20+1</f>
        <v>18</v>
      </c>
      <c r="B21" s="14">
        <f t="shared" si="9"/>
        <v>18</v>
      </c>
      <c r="C21" s="15">
        <f t="shared" si="3"/>
        <v>10.26</v>
      </c>
      <c r="D21" s="15">
        <f t="shared" si="4"/>
        <v>3.605801979839383</v>
      </c>
      <c r="E21" s="15">
        <f t="shared" si="5"/>
        <v>13.865801979839382</v>
      </c>
      <c r="F21" s="29">
        <v>18</v>
      </c>
      <c r="G21" s="28">
        <v>206.4</v>
      </c>
      <c r="H21" s="16">
        <f>G21*Paramètres!K$2*Paramètres!I$2</f>
        <v>93.684960000000004</v>
      </c>
      <c r="I21" s="16">
        <f t="shared" si="6"/>
        <v>25.451862422572322</v>
      </c>
      <c r="J21" s="16">
        <f t="shared" si="0"/>
        <v>119.13682242257232</v>
      </c>
      <c r="K21" s="17">
        <f t="shared" si="8"/>
        <v>207.49663238598012</v>
      </c>
      <c r="L21" s="28">
        <f t="shared" si="7"/>
        <v>0</v>
      </c>
      <c r="M21" s="43">
        <f>L21*0.35*44/12</f>
        <v>0</v>
      </c>
      <c r="N21" s="68"/>
      <c r="O21" s="68"/>
      <c r="P21" s="68"/>
      <c r="Q21" s="54">
        <f>EXP(-[2]Paramètres!D$11)*Q20+(1-EXP(-[2]Paramètres!D$11))*N20*M20/[2]Paramètres!D$11</f>
        <v>0</v>
      </c>
      <c r="R21" s="54">
        <f>EXP(-Paramètres!C$11)*R20+(1-EXP(-Paramètres!C$11))*0.56*M20/Paramètres!C$11</f>
        <v>0</v>
      </c>
      <c r="S21" s="41">
        <f>EXP(-Paramètres!D$11)*R20+(1-EXP(-Paramètres!D$11))*0.44*M20/Paramètres!D$11</f>
        <v>0</v>
      </c>
      <c r="T21" s="56">
        <f t="shared" si="1"/>
        <v>0</v>
      </c>
      <c r="U21"/>
    </row>
    <row r="22" spans="1:22" x14ac:dyDescent="0.25">
      <c r="A22" s="13">
        <f t="shared" si="9"/>
        <v>19</v>
      </c>
      <c r="B22" s="14">
        <f t="shared" si="9"/>
        <v>19</v>
      </c>
      <c r="C22" s="15">
        <f t="shared" si="3"/>
        <v>10.829999999999998</v>
      </c>
      <c r="D22" s="15">
        <f t="shared" si="4"/>
        <v>3.7822459729202573</v>
      </c>
      <c r="E22" s="15">
        <f t="shared" si="5"/>
        <v>14.612245972920256</v>
      </c>
      <c r="F22" s="29">
        <v>19</v>
      </c>
      <c r="G22" s="28">
        <v>235</v>
      </c>
      <c r="H22" s="16">
        <f>G22*Paramètres!K$2*Paramètres!I$2</f>
        <v>106.6665</v>
      </c>
      <c r="I22" s="16">
        <f t="shared" si="6"/>
        <v>28.544184868456643</v>
      </c>
      <c r="J22" s="16">
        <f t="shared" si="0"/>
        <v>135.21068486845664</v>
      </c>
      <c r="K22" s="17">
        <f t="shared" si="8"/>
        <v>235.491942812562</v>
      </c>
      <c r="L22" s="28">
        <f t="shared" si="7"/>
        <v>0</v>
      </c>
      <c r="M22" s="43">
        <f>L22*0.35*44/12</f>
        <v>0</v>
      </c>
      <c r="N22" s="68"/>
      <c r="O22" s="68"/>
      <c r="P22" s="68"/>
      <c r="Q22" s="54">
        <f>EXP(-[2]Paramètres!D$11)*Q21+(1-EXP(-[2]Paramètres!D$11))*N21*M21/[2]Paramètres!D$11</f>
        <v>0</v>
      </c>
      <c r="R22" s="54">
        <f>EXP(-Paramètres!C$11)*R21+(1-EXP(-Paramètres!C$11))*0.56*M21/Paramètres!C$11</f>
        <v>0</v>
      </c>
      <c r="S22" s="41">
        <f>EXP(-Paramètres!D$11)*R21+(1-EXP(-Paramètres!D$11))*0.44*M21/Paramètres!D$11</f>
        <v>0</v>
      </c>
      <c r="T22" s="56">
        <f t="shared" si="1"/>
        <v>0</v>
      </c>
      <c r="U22"/>
    </row>
    <row r="23" spans="1:22" x14ac:dyDescent="0.25">
      <c r="A23" s="13">
        <f t="shared" si="9"/>
        <v>20</v>
      </c>
      <c r="B23" s="14">
        <f t="shared" si="9"/>
        <v>20</v>
      </c>
      <c r="C23" s="15">
        <f t="shared" si="3"/>
        <v>11.399999999999999</v>
      </c>
      <c r="D23" s="15">
        <f t="shared" si="4"/>
        <v>3.9576117932716941</v>
      </c>
      <c r="E23" s="15">
        <f t="shared" si="5"/>
        <v>15.357611793271692</v>
      </c>
      <c r="F23" s="29">
        <v>19</v>
      </c>
      <c r="G23" s="28">
        <v>130</v>
      </c>
      <c r="H23" s="16">
        <f>G23*Paramètres!K$2*Paramètres!I$2</f>
        <v>59.007000000000005</v>
      </c>
      <c r="I23" s="16">
        <f t="shared" si="6"/>
        <v>16.916964129599616</v>
      </c>
      <c r="J23" s="16">
        <f t="shared" si="0"/>
        <v>75.923964129599625</v>
      </c>
      <c r="K23" s="17">
        <f t="shared" si="8"/>
        <v>132.23423752571935</v>
      </c>
      <c r="L23" s="28">
        <f t="shared" si="7"/>
        <v>105</v>
      </c>
      <c r="M23" s="43">
        <f>L23*0.35*44/12</f>
        <v>134.75</v>
      </c>
      <c r="N23" s="68">
        <v>0</v>
      </c>
      <c r="O23" s="68">
        <v>0.56000000000000005</v>
      </c>
      <c r="P23" s="68">
        <v>0.44</v>
      </c>
      <c r="Q23" s="54">
        <f>EXP(-[2]Paramètres!D$11)*Q22+(1-EXP(-[2]Paramètres!D$11))*N22*M22/[2]Paramètres!D$11</f>
        <v>0</v>
      </c>
      <c r="R23" s="54">
        <f>EXP(-Paramètres!C$11)*R22+(1-EXP(-Paramètres!C$11))*0.56*M22/Paramètres!C$11</f>
        <v>0</v>
      </c>
      <c r="S23" s="41">
        <f>EXP(-Paramètres!D$11)*R22+(1-EXP(-Paramètres!D$11))*0.44*M22/Paramètres!D$11</f>
        <v>0</v>
      </c>
      <c r="T23" s="56">
        <f t="shared" si="1"/>
        <v>0</v>
      </c>
      <c r="U23"/>
    </row>
    <row r="24" spans="1:22" x14ac:dyDescent="0.25">
      <c r="A24" s="13">
        <f t="shared" si="9"/>
        <v>21</v>
      </c>
      <c r="B24" s="14">
        <f t="shared" si="9"/>
        <v>21</v>
      </c>
      <c r="C24" s="15">
        <f t="shared" si="3"/>
        <v>11.969999999999999</v>
      </c>
      <c r="D24" s="15">
        <f t="shared" si="4"/>
        <v>4.1319595009564551</v>
      </c>
      <c r="E24" s="15">
        <f t="shared" si="5"/>
        <v>16.101959500956454</v>
      </c>
      <c r="F24" s="29">
        <v>20</v>
      </c>
      <c r="G24" s="28">
        <v>171.8</v>
      </c>
      <c r="H24" s="16">
        <f>G24*Paramètres!K$2*Paramètres!I$2</f>
        <v>77.98002000000001</v>
      </c>
      <c r="I24" s="16">
        <f t="shared" si="6"/>
        <v>21.642555807922477</v>
      </c>
      <c r="J24" s="16">
        <f t="shared" si="0"/>
        <v>99.622575807922487</v>
      </c>
      <c r="K24" s="17">
        <f t="shared" si="8"/>
        <v>173.50931953213168</v>
      </c>
      <c r="L24" s="28">
        <f t="shared" si="7"/>
        <v>0</v>
      </c>
      <c r="M24" s="43">
        <f>L24*0.35*44/12</f>
        <v>0</v>
      </c>
      <c r="N24" s="68"/>
      <c r="O24" s="68"/>
      <c r="P24" s="68"/>
      <c r="Q24" s="54">
        <f>EXP(-[2]Paramètres!D$11)*Q23+(1-EXP(-[2]Paramètres!D$11))*N23*M23/[2]Paramètres!D$11</f>
        <v>0</v>
      </c>
      <c r="R24" s="54">
        <f>EXP(-Paramètres!C$11)*R23+(1-EXP(-Paramètres!C$11))*0.56*M23/Paramètres!C$11</f>
        <v>74.423503627397366</v>
      </c>
      <c r="S24" s="41">
        <f>EXP(-Paramètres!D$11)*R23+(1-EXP(-Paramètres!D$11))*0.44*M23/Paramètres!D$11</f>
        <v>50.106642371165975</v>
      </c>
      <c r="T24" s="56">
        <f t="shared" si="1"/>
        <v>124.53014599856334</v>
      </c>
      <c r="U24"/>
    </row>
    <row r="25" spans="1:22" x14ac:dyDescent="0.25">
      <c r="A25" s="13">
        <f t="shared" si="9"/>
        <v>22</v>
      </c>
      <c r="B25" s="14">
        <f t="shared" si="9"/>
        <v>22</v>
      </c>
      <c r="C25" s="15">
        <f t="shared" si="3"/>
        <v>12.54</v>
      </c>
      <c r="D25" s="15">
        <f t="shared" si="4"/>
        <v>4.3053431128187798</v>
      </c>
      <c r="E25" s="15">
        <f t="shared" si="5"/>
        <v>16.845343112818778</v>
      </c>
      <c r="F25" s="29">
        <v>21</v>
      </c>
      <c r="G25" s="28">
        <v>213.6</v>
      </c>
      <c r="H25" s="16">
        <f>G25*Paramètres!K$2*Paramètres!I$2</f>
        <v>96.953040000000016</v>
      </c>
      <c r="I25" s="16">
        <f t="shared" si="6"/>
        <v>26.234799255137261</v>
      </c>
      <c r="J25" s="16">
        <f t="shared" si="0"/>
        <v>123.18783925513728</v>
      </c>
      <c r="K25" s="17">
        <f t="shared" si="8"/>
        <v>214.55215336936408</v>
      </c>
      <c r="L25" s="28">
        <f t="shared" si="7"/>
        <v>0</v>
      </c>
      <c r="M25" s="43">
        <f>L25*0.35*44/12</f>
        <v>0</v>
      </c>
      <c r="N25" s="68"/>
      <c r="O25" s="68"/>
      <c r="P25" s="68"/>
      <c r="Q25" s="54">
        <f>EXP(-[2]Paramètres!D$11)*Q24+(1-EXP(-[2]Paramètres!D$11))*N24*M24/[2]Paramètres!D$11</f>
        <v>0</v>
      </c>
      <c r="R25" s="54">
        <f>EXP(-Paramètres!C$11)*R24+(1-EXP(-Paramètres!C$11))*0.56*M24/Paramètres!C$11</f>
        <v>72.388389006944223</v>
      </c>
      <c r="S25" s="41">
        <f>EXP(-Paramètres!D$11)*R24+(1-EXP(-Paramètres!D$11))*0.44*M24/Paramètres!D$11</f>
        <v>52.625364094594296</v>
      </c>
      <c r="T25" s="56">
        <f t="shared" si="1"/>
        <v>125.01375310153853</v>
      </c>
      <c r="U25"/>
    </row>
    <row r="26" spans="1:22" x14ac:dyDescent="0.25">
      <c r="A26" s="13">
        <f t="shared" si="9"/>
        <v>23</v>
      </c>
      <c r="B26" s="14">
        <f t="shared" si="9"/>
        <v>23</v>
      </c>
      <c r="C26" s="15">
        <f t="shared" si="3"/>
        <v>13.11</v>
      </c>
      <c r="D26" s="15">
        <f t="shared" si="4"/>
        <v>4.4778114575015309</v>
      </c>
      <c r="E26" s="15">
        <f t="shared" si="5"/>
        <v>17.58781145750153</v>
      </c>
      <c r="F26" s="29">
        <v>22</v>
      </c>
      <c r="G26" s="28">
        <v>255.4</v>
      </c>
      <c r="H26" s="16">
        <f>G26*Paramètres!K$2*Paramètres!I$2</f>
        <v>115.92606000000002</v>
      </c>
      <c r="I26" s="16">
        <f t="shared" si="6"/>
        <v>30.722918113929751</v>
      </c>
      <c r="J26" s="16">
        <f t="shared" si="0"/>
        <v>146.64897811392979</v>
      </c>
      <c r="K26" s="17">
        <f t="shared" si="8"/>
        <v>255.41363688176102</v>
      </c>
      <c r="L26" s="28">
        <f t="shared" si="7"/>
        <v>0</v>
      </c>
      <c r="M26" s="43">
        <f>L26*0.35*44/12</f>
        <v>0</v>
      </c>
      <c r="N26" s="68"/>
      <c r="O26" s="68"/>
      <c r="P26" s="68"/>
      <c r="Q26" s="54">
        <f>EXP(-[2]Paramètres!D$11)*Q25+(1-EXP(-[2]Paramètres!D$11))*N25*M25/[2]Paramètres!D$11</f>
        <v>0</v>
      </c>
      <c r="R26" s="54">
        <f>EXP(-Paramètres!C$11)*R25+(1-EXP(-Paramètres!C$11))*0.56*M25/Paramètres!C$11</f>
        <v>70.408924702809401</v>
      </c>
      <c r="S26" s="41">
        <f>EXP(-Paramètres!D$11)*R25+(1-EXP(-Paramètres!D$11))*0.44*M25/Paramètres!D$11</f>
        <v>51.186320745979998</v>
      </c>
      <c r="T26" s="56">
        <f t="shared" si="1"/>
        <v>121.5952454487894</v>
      </c>
      <c r="U26"/>
    </row>
    <row r="27" spans="1:22" x14ac:dyDescent="0.25">
      <c r="A27" s="13">
        <f t="shared" si="9"/>
        <v>24</v>
      </c>
      <c r="B27" s="14">
        <f t="shared" si="9"/>
        <v>24</v>
      </c>
      <c r="C27" s="15">
        <f t="shared" si="3"/>
        <v>13.68</v>
      </c>
      <c r="D27" s="15">
        <f t="shared" si="4"/>
        <v>4.6494088775688978</v>
      </c>
      <c r="E27" s="15">
        <f t="shared" si="5"/>
        <v>18.329408877568898</v>
      </c>
      <c r="F27" s="29">
        <v>23</v>
      </c>
      <c r="G27" s="28">
        <v>297.2</v>
      </c>
      <c r="H27" s="16">
        <f>G27*Paramètres!K$2*Paramètres!I$2</f>
        <v>134.89908</v>
      </c>
      <c r="I27" s="16">
        <f t="shared" si="6"/>
        <v>35.12594415397021</v>
      </c>
      <c r="J27" s="16">
        <f t="shared" si="0"/>
        <v>170.02502415397021</v>
      </c>
      <c r="K27" s="17">
        <f t="shared" si="8"/>
        <v>296.1269170681648</v>
      </c>
      <c r="L27" s="28">
        <f t="shared" si="7"/>
        <v>0</v>
      </c>
      <c r="M27" s="43">
        <f>L27*0.35*44/12</f>
        <v>0</v>
      </c>
      <c r="N27" s="68"/>
      <c r="O27" s="68"/>
      <c r="P27" s="68"/>
      <c r="Q27" s="54">
        <f>EXP(-[2]Paramètres!D$11)*Q26+(1-EXP(-[2]Paramètres!D$11))*N26*M26/[2]Paramètres!D$11</f>
        <v>0</v>
      </c>
      <c r="R27" s="54">
        <f>EXP(-Paramètres!C$11)*R26+(1-EXP(-Paramètres!C$11))*0.56*M26/Paramètres!C$11</f>
        <v>68.483588954166649</v>
      </c>
      <c r="S27" s="41">
        <f>EXP(-Paramètres!D$11)*R26+(1-EXP(-Paramètres!D$11))*0.44*M26/Paramètres!D$11</f>
        <v>49.786628113409549</v>
      </c>
      <c r="T27" s="56">
        <f t="shared" si="1"/>
        <v>118.2702170675762</v>
      </c>
      <c r="U27"/>
    </row>
    <row r="28" spans="1:22" x14ac:dyDescent="0.25">
      <c r="A28" s="13">
        <f t="shared" si="9"/>
        <v>25</v>
      </c>
      <c r="B28" s="14">
        <f t="shared" si="9"/>
        <v>25</v>
      </c>
      <c r="C28" s="15">
        <f t="shared" si="3"/>
        <v>14.249999999999998</v>
      </c>
      <c r="D28" s="15">
        <f t="shared" si="4"/>
        <v>4.8201758113112341</v>
      </c>
      <c r="E28" s="15">
        <f t="shared" si="5"/>
        <v>19.070175811311231</v>
      </c>
      <c r="F28" s="29">
        <v>24</v>
      </c>
      <c r="G28" s="28">
        <v>339</v>
      </c>
      <c r="H28" s="16">
        <f>G28*Paramètres!K$2*Paramètres!I$2</f>
        <v>153.87209999999999</v>
      </c>
      <c r="I28" s="16">
        <f t="shared" si="6"/>
        <v>39.457224756598954</v>
      </c>
      <c r="J28" s="16">
        <f t="shared" si="0"/>
        <v>193.32932475659894</v>
      </c>
      <c r="K28" s="17">
        <f t="shared" si="8"/>
        <v>336.71524061774312</v>
      </c>
      <c r="L28" s="28">
        <f t="shared" si="7"/>
        <v>0</v>
      </c>
      <c r="M28" s="43">
        <f>L28*0.35*44/12</f>
        <v>0</v>
      </c>
      <c r="N28" s="68"/>
      <c r="O28" s="68"/>
      <c r="P28" s="68"/>
      <c r="Q28" s="54">
        <f>EXP(-[2]Paramètres!D$11)*Q27+(1-EXP(-[2]Paramètres!D$11))*N27*M27/[2]Paramètres!D$11</f>
        <v>0</v>
      </c>
      <c r="R28" s="54">
        <f>EXP(-Paramètres!C$11)*R27+(1-EXP(-Paramètres!C$11))*0.56*M27/Paramètres!C$11</f>
        <v>66.610901612819546</v>
      </c>
      <c r="S28" s="41">
        <f>EXP(-Paramètres!D$11)*R27+(1-EXP(-Paramètres!D$11))*0.44*M27/Paramètres!D$11</f>
        <v>48.425210149483384</v>
      </c>
      <c r="T28" s="56">
        <f t="shared" si="1"/>
        <v>115.03611176230294</v>
      </c>
      <c r="U28"/>
    </row>
    <row r="29" spans="1:22" x14ac:dyDescent="0.25">
      <c r="A29" s="13">
        <f t="shared" si="9"/>
        <v>26</v>
      </c>
      <c r="B29" s="14">
        <f t="shared" si="9"/>
        <v>26</v>
      </c>
      <c r="C29" s="15">
        <f t="shared" si="3"/>
        <v>14.819999999999999</v>
      </c>
      <c r="D29" s="15">
        <f t="shared" si="4"/>
        <v>4.9901492788407467</v>
      </c>
      <c r="E29" s="15">
        <f t="shared" si="5"/>
        <v>19.810149278840747</v>
      </c>
      <c r="F29" s="29">
        <v>24</v>
      </c>
      <c r="G29" s="28">
        <v>234</v>
      </c>
      <c r="H29" s="16">
        <f>G29*Paramètres!K$2*Paramètres!I$2</f>
        <v>106.21259999999999</v>
      </c>
      <c r="I29" s="16">
        <f t="shared" si="6"/>
        <v>28.436832110820049</v>
      </c>
      <c r="J29" s="16">
        <f t="shared" si="0"/>
        <v>134.64943211082004</v>
      </c>
      <c r="K29" s="17">
        <f t="shared" si="8"/>
        <v>234.51442759301156</v>
      </c>
      <c r="L29" s="28">
        <f t="shared" si="7"/>
        <v>105</v>
      </c>
      <c r="M29" s="43">
        <f>L29*0.35*44/12</f>
        <v>134.75</v>
      </c>
      <c r="N29" s="68">
        <v>0</v>
      </c>
      <c r="O29" s="68">
        <v>0.56000000000000005</v>
      </c>
      <c r="P29" s="68">
        <v>0.44</v>
      </c>
      <c r="Q29" s="54">
        <f>EXP(-[2]Paramètres!D$11)*Q28+(1-EXP(-[2]Paramètres!D$11))*N28*M28/[2]Paramètres!D$11</f>
        <v>0</v>
      </c>
      <c r="R29" s="71">
        <f>R28</f>
        <v>66.610901612819546</v>
      </c>
      <c r="S29" s="72">
        <f>S28</f>
        <v>48.425210149483384</v>
      </c>
      <c r="T29" s="56">
        <f t="shared" si="1"/>
        <v>115.03611176230294</v>
      </c>
      <c r="U29"/>
    </row>
    <row r="30" spans="1:22" x14ac:dyDescent="0.25">
      <c r="A30" s="13">
        <f t="shared" si="9"/>
        <v>27</v>
      </c>
      <c r="B30" s="14">
        <f t="shared" si="9"/>
        <v>27</v>
      </c>
      <c r="C30" s="15">
        <f t="shared" si="3"/>
        <v>15.389999999999999</v>
      </c>
      <c r="D30" s="15">
        <f t="shared" si="4"/>
        <v>5.159363291299802</v>
      </c>
      <c r="E30" s="15">
        <f t="shared" si="5"/>
        <v>20.549363291299802</v>
      </c>
      <c r="F30" s="29">
        <v>25</v>
      </c>
      <c r="G30" s="28">
        <v>280.2</v>
      </c>
      <c r="H30" s="16">
        <f>G30*Paramètres!K$2*Paramètres!I$2</f>
        <v>127.18277999999999</v>
      </c>
      <c r="I30" s="16">
        <f t="shared" si="6"/>
        <v>33.344554764684162</v>
      </c>
      <c r="J30" s="16">
        <f t="shared" si="0"/>
        <v>160.52733476468416</v>
      </c>
      <c r="K30" s="17">
        <f t="shared" si="8"/>
        <v>279.58510804849158</v>
      </c>
      <c r="L30" s="28">
        <f t="shared" si="7"/>
        <v>0</v>
      </c>
      <c r="M30" s="43">
        <f>L30*0.35*44/12</f>
        <v>0</v>
      </c>
      <c r="N30" s="68"/>
      <c r="O30" s="68"/>
      <c r="P30" s="68"/>
      <c r="Q30" s="54">
        <f>EXP(-[2]Paramètres!D$11)*Q29+(1-EXP(-[2]Paramètres!D$11))*N29*M29/[2]Paramètres!D$11</f>
        <v>0</v>
      </c>
      <c r="R30" s="54">
        <f>EXP(-Paramètres!C$11)*R29+(1-EXP(-Paramètres!C$11))*0.56*M29/Paramètres!C$11</f>
        <v>139.21292663269929</v>
      </c>
      <c r="S30" s="41">
        <f>EXP(-Paramètres!D$11)*R29+(1-EXP(-Paramètres!D$11))*0.44*M29/Paramètres!D$11</f>
        <v>97.207662602540609</v>
      </c>
      <c r="T30" s="56">
        <f t="shared" si="1"/>
        <v>236.4205892352399</v>
      </c>
      <c r="U30"/>
    </row>
    <row r="31" spans="1:22" x14ac:dyDescent="0.25">
      <c r="A31" s="13">
        <f t="shared" si="9"/>
        <v>28</v>
      </c>
      <c r="B31" s="14">
        <f t="shared" si="9"/>
        <v>28</v>
      </c>
      <c r="C31" s="15">
        <f t="shared" si="3"/>
        <v>15.959999999999999</v>
      </c>
      <c r="D31" s="15">
        <f t="shared" si="4"/>
        <v>5.3278491977415401</v>
      </c>
      <c r="E31" s="15">
        <f t="shared" si="5"/>
        <v>21.28784919774154</v>
      </c>
      <c r="F31" s="29">
        <v>26</v>
      </c>
      <c r="G31" s="28">
        <v>326.39999999999998</v>
      </c>
      <c r="H31" s="16">
        <f>G31*Paramètres!K$2*Paramètres!I$2</f>
        <v>148.15296000000001</v>
      </c>
      <c r="I31" s="16">
        <f t="shared" si="6"/>
        <v>38.158536953596894</v>
      </c>
      <c r="J31" s="16">
        <f t="shared" si="0"/>
        <v>186.3114969535969</v>
      </c>
      <c r="K31" s="17">
        <f t="shared" si="8"/>
        <v>324.49252386084794</v>
      </c>
      <c r="L31" s="28">
        <f t="shared" si="7"/>
        <v>0</v>
      </c>
      <c r="M31" s="43">
        <f>L31*0.35*44/12</f>
        <v>0</v>
      </c>
      <c r="N31" s="68"/>
      <c r="O31" s="68"/>
      <c r="P31" s="68"/>
      <c r="Q31" s="54">
        <f>EXP(-[2]Paramètres!D$11)*Q30+(1-EXP(-[2]Paramètres!D$11))*N30*M30/[2]Paramètres!D$11</f>
        <v>0</v>
      </c>
      <c r="R31" s="54">
        <f>EXP(-Paramètres!C$11)*R30+(1-EXP(-Paramètres!C$11))*0.56*M30/Paramètres!C$11</f>
        <v>135.4061418330385</v>
      </c>
      <c r="S31" s="41">
        <f>EXP(-Paramètres!D$11)*R30+(1-EXP(-Paramètres!D$11))*0.44*M30/Paramètres!D$11</f>
        <v>98.438404450806999</v>
      </c>
      <c r="T31" s="56">
        <f t="shared" si="1"/>
        <v>233.84454628384549</v>
      </c>
      <c r="U31"/>
    </row>
    <row r="32" spans="1:22" x14ac:dyDescent="0.25">
      <c r="A32" s="13">
        <f t="shared" si="9"/>
        <v>29</v>
      </c>
      <c r="B32" s="14">
        <f t="shared" si="9"/>
        <v>29</v>
      </c>
      <c r="C32" s="15">
        <f t="shared" si="3"/>
        <v>16.529999999999998</v>
      </c>
      <c r="D32" s="15">
        <f t="shared" si="4"/>
        <v>5.4956359810635638</v>
      </c>
      <c r="E32" s="15">
        <f t="shared" si="5"/>
        <v>22.025635981063562</v>
      </c>
      <c r="F32" s="29">
        <v>27</v>
      </c>
      <c r="G32" s="28">
        <v>372.6</v>
      </c>
      <c r="H32" s="16">
        <f>G32*Paramètres!K$2*Paramètres!I$2</f>
        <v>169.12314000000001</v>
      </c>
      <c r="I32" s="16">
        <f t="shared" si="6"/>
        <v>42.893577046501775</v>
      </c>
      <c r="J32" s="16">
        <f t="shared" si="0"/>
        <v>212.01671704650178</v>
      </c>
      <c r="K32" s="17">
        <f t="shared" si="8"/>
        <v>369.26244885599061</v>
      </c>
      <c r="L32" s="28">
        <f t="shared" si="7"/>
        <v>0</v>
      </c>
      <c r="M32" s="43">
        <f>L32*0.35*44/12</f>
        <v>0</v>
      </c>
      <c r="N32" s="68"/>
      <c r="O32" s="68"/>
      <c r="P32" s="68"/>
      <c r="Q32" s="54">
        <f>EXP(-[2]Paramètres!D$11)*Q31+(1-EXP(-[2]Paramètres!D$11))*N31*M31/[2]Paramètres!D$11</f>
        <v>0</v>
      </c>
      <c r="R32" s="54">
        <f>EXP(-Paramètres!C$11)*R31+(1-EXP(-Paramètres!C$11))*0.56*M31/Paramètres!C$11</f>
        <v>131.70345376391455</v>
      </c>
      <c r="S32" s="41">
        <f>EXP(-Paramètres!D$11)*R31+(1-EXP(-Paramètres!D$11))*0.44*M31/Paramètres!D$11</f>
        <v>95.746601104448985</v>
      </c>
      <c r="T32" s="56">
        <f t="shared" si="1"/>
        <v>227.45005486836354</v>
      </c>
      <c r="U32"/>
    </row>
    <row r="33" spans="1:21" x14ac:dyDescent="0.25">
      <c r="A33" s="13">
        <f t="shared" si="9"/>
        <v>30</v>
      </c>
      <c r="B33" s="14">
        <f t="shared" si="9"/>
        <v>30</v>
      </c>
      <c r="C33" s="15">
        <f t="shared" si="3"/>
        <v>17.099999999999998</v>
      </c>
      <c r="D33" s="15">
        <f t="shared" si="4"/>
        <v>5.6627505119764487</v>
      </c>
      <c r="E33" s="15">
        <f t="shared" si="5"/>
        <v>22.762750511976446</v>
      </c>
      <c r="F33" s="29">
        <v>28</v>
      </c>
      <c r="G33" s="28">
        <v>418.8</v>
      </c>
      <c r="H33" s="16">
        <f>G33*Paramètres!K$2*Paramètres!I$2</f>
        <v>190.09332000000003</v>
      </c>
      <c r="I33" s="16">
        <f t="shared" si="6"/>
        <v>47.560583988592548</v>
      </c>
      <c r="J33" s="16">
        <f t="shared" si="0"/>
        <v>237.65390398859259</v>
      </c>
      <c r="K33" s="17">
        <f t="shared" si="8"/>
        <v>413.9138827801321</v>
      </c>
      <c r="L33" s="28">
        <f t="shared" si="7"/>
        <v>0</v>
      </c>
      <c r="M33" s="43">
        <f>L33*0.35*44/12</f>
        <v>0</v>
      </c>
      <c r="N33" s="68"/>
      <c r="O33" s="68"/>
      <c r="P33" s="68"/>
      <c r="Q33" s="54">
        <f>EXP(-[2]Paramètres!D$11)*Q32+(1-EXP(-[2]Paramètres!D$11))*N32*M32/[2]Paramètres!D$11</f>
        <v>0</v>
      </c>
      <c r="R33" s="54">
        <f>EXP(-Paramètres!C$11)*R32+(1-EXP(-Paramètres!C$11))*0.56*M32/Paramètres!C$11</f>
        <v>128.10201589475668</v>
      </c>
      <c r="S33" s="41">
        <f>EXP(-Paramètres!D$11)*R32+(1-EXP(-Paramètres!D$11))*0.44*M32/Paramètres!D$11</f>
        <v>93.12840526215291</v>
      </c>
      <c r="T33" s="56">
        <f t="shared" si="1"/>
        <v>221.23042115690959</v>
      </c>
      <c r="U33"/>
    </row>
    <row r="34" spans="1:21" x14ac:dyDescent="0.25">
      <c r="A34" s="13">
        <f t="shared" si="9"/>
        <v>31</v>
      </c>
      <c r="B34" s="14">
        <f t="shared" si="9"/>
        <v>31</v>
      </c>
      <c r="C34" s="15">
        <f t="shared" si="3"/>
        <v>17.669999999999998</v>
      </c>
      <c r="D34" s="15">
        <f t="shared" si="4"/>
        <v>5.8292177681585047</v>
      </c>
      <c r="E34" s="15">
        <f t="shared" si="5"/>
        <v>23.499217768158502</v>
      </c>
      <c r="F34" s="29">
        <v>29</v>
      </c>
      <c r="G34" s="28">
        <v>465</v>
      </c>
      <c r="H34" s="16">
        <f>G34*Paramètres!K$2*Paramètres!I$2</f>
        <v>211.06350000000003</v>
      </c>
      <c r="I34" s="16">
        <f t="shared" si="6"/>
        <v>52.167918835965267</v>
      </c>
      <c r="J34" s="16">
        <f t="shared" si="0"/>
        <v>263.23141883596531</v>
      </c>
      <c r="K34" s="17">
        <f t="shared" si="8"/>
        <v>458.46138780597289</v>
      </c>
      <c r="L34" s="28">
        <f t="shared" si="7"/>
        <v>0</v>
      </c>
      <c r="M34" s="43">
        <f>L34*0.35*44/12</f>
        <v>0</v>
      </c>
      <c r="N34" s="68"/>
      <c r="O34" s="68"/>
      <c r="P34" s="68"/>
      <c r="Q34" s="54">
        <f>EXP(-[2]Paramètres!D$11)*Q33+(1-EXP(-[2]Paramètres!D$11))*N33*M33/[2]Paramètres!D$11</f>
        <v>0</v>
      </c>
      <c r="R34" s="54">
        <f>EXP(-Paramètres!C$11)*R33+(1-EXP(-Paramètres!C$11))*0.56*M33/Paramètres!C$11</f>
        <v>124.59905953352232</v>
      </c>
      <c r="S34" s="41">
        <f>EXP(-Paramètres!D$11)*R33+(1-EXP(-Paramètres!D$11))*0.44*M33/Paramètres!D$11</f>
        <v>90.581804122849348</v>
      </c>
      <c r="T34" s="56">
        <f t="shared" si="1"/>
        <v>215.18086365637168</v>
      </c>
      <c r="U34"/>
    </row>
    <row r="35" spans="1:21" x14ac:dyDescent="0.25">
      <c r="A35" s="13">
        <f t="shared" si="9"/>
        <v>32</v>
      </c>
      <c r="B35" s="14">
        <f t="shared" si="9"/>
        <v>32</v>
      </c>
      <c r="C35" s="15">
        <f t="shared" si="3"/>
        <v>18.239999999999998</v>
      </c>
      <c r="D35" s="15">
        <f t="shared" si="4"/>
        <v>5.9950610243381712</v>
      </c>
      <c r="E35" s="15">
        <f t="shared" si="5"/>
        <v>24.235061024338169</v>
      </c>
      <c r="F35" s="29">
        <v>29</v>
      </c>
      <c r="G35" s="28">
        <v>360</v>
      </c>
      <c r="H35" s="16">
        <f>G35*Paramètres!K$2*Paramètres!I$2</f>
        <v>163.404</v>
      </c>
      <c r="I35" s="16">
        <f t="shared" si="6"/>
        <v>41.609353880229847</v>
      </c>
      <c r="J35" s="16">
        <f t="shared" si="0"/>
        <v>205.01335388022983</v>
      </c>
      <c r="K35" s="17">
        <f t="shared" si="8"/>
        <v>357.06492467473362</v>
      </c>
      <c r="L35" s="28">
        <f t="shared" si="7"/>
        <v>105</v>
      </c>
      <c r="M35" s="43">
        <f>L35*0.35*44/12</f>
        <v>134.75</v>
      </c>
      <c r="N35" s="68">
        <v>0</v>
      </c>
      <c r="O35" s="68">
        <v>0.56000000000000005</v>
      </c>
      <c r="P35" s="68">
        <v>0.44</v>
      </c>
      <c r="Q35" s="54">
        <f>EXP(-[2]Paramètres!D$11)*Q34+(1-EXP(-[2]Paramètres!D$11))*N34*M34/[2]Paramètres!D$11</f>
        <v>0</v>
      </c>
      <c r="R35" s="71">
        <f>R34</f>
        <v>124.59905953352232</v>
      </c>
      <c r="S35" s="72">
        <f>S34</f>
        <v>90.581804122849348</v>
      </c>
      <c r="T35" s="56">
        <f t="shared" si="1"/>
        <v>215.18086365637168</v>
      </c>
      <c r="U35"/>
    </row>
    <row r="36" spans="1:21" x14ac:dyDescent="0.25">
      <c r="A36" s="13">
        <f t="shared" si="9"/>
        <v>33</v>
      </c>
      <c r="B36" s="14">
        <f t="shared" si="9"/>
        <v>33</v>
      </c>
      <c r="C36" s="15">
        <f t="shared" si="3"/>
        <v>18.809999999999999</v>
      </c>
      <c r="D36" s="15">
        <f t="shared" si="4"/>
        <v>6.1603020179486103</v>
      </c>
      <c r="E36" s="15">
        <f t="shared" si="5"/>
        <v>24.970302017948608</v>
      </c>
      <c r="F36" s="29">
        <v>30</v>
      </c>
      <c r="G36" s="28">
        <v>405.2</v>
      </c>
      <c r="H36" s="16">
        <f>G36*Paramètres!K$2*Paramètres!I$2</f>
        <v>183.92027999999999</v>
      </c>
      <c r="I36" s="16">
        <f t="shared" si="6"/>
        <v>46.193279547297116</v>
      </c>
      <c r="J36" s="16">
        <f t="shared" si="0"/>
        <v>230.11355954729711</v>
      </c>
      <c r="K36" s="17">
        <f t="shared" si="8"/>
        <v>400.7811162115425</v>
      </c>
      <c r="L36" s="28">
        <f t="shared" si="7"/>
        <v>0</v>
      </c>
      <c r="M36" s="43">
        <f>L36*0.35*44/12</f>
        <v>0</v>
      </c>
      <c r="N36" s="68"/>
      <c r="O36" s="68"/>
      <c r="P36" s="68"/>
      <c r="Q36" s="54">
        <f>EXP(-[2]Paramètres!D$11)*Q35+(1-EXP(-[2]Paramètres!D$11))*N35*M35/[2]Paramètres!D$11</f>
        <v>0</v>
      </c>
      <c r="R36" s="54">
        <f>EXP(-Paramètres!C$11)*R35+(1-EXP(-Paramètres!C$11))*0.56*M35/Paramètres!C$11</f>
        <v>195.61539532559576</v>
      </c>
      <c r="S36" s="41">
        <f>EXP(-Paramètres!D$11)*R35+(1-EXP(-Paramètres!D$11))*0.44*M35/Paramètres!D$11</f>
        <v>138.21148229678596</v>
      </c>
      <c r="T36" s="56">
        <f t="shared" si="1"/>
        <v>333.82687762238174</v>
      </c>
      <c r="U36"/>
    </row>
    <row r="37" spans="1:21" x14ac:dyDescent="0.25">
      <c r="A37" s="13">
        <f t="shared" ref="A37:B52" si="10">A36+1</f>
        <v>34</v>
      </c>
      <c r="B37" s="14">
        <f t="shared" si="10"/>
        <v>34</v>
      </c>
      <c r="C37" s="15">
        <f t="shared" si="3"/>
        <v>19.38</v>
      </c>
      <c r="D37" s="15">
        <f t="shared" si="4"/>
        <v>6.3249610941388381</v>
      </c>
      <c r="E37" s="15">
        <f t="shared" si="5"/>
        <v>25.704961094138838</v>
      </c>
      <c r="F37" s="29">
        <v>31</v>
      </c>
      <c r="G37" s="28">
        <v>450.4</v>
      </c>
      <c r="H37" s="16">
        <f>G37*Paramètres!K$2*Paramètres!I$2</f>
        <v>204.43655999999999</v>
      </c>
      <c r="I37" s="16">
        <f t="shared" si="6"/>
        <v>50.717940812155277</v>
      </c>
      <c r="J37" s="16">
        <f t="shared" si="0"/>
        <v>255.15450081215528</v>
      </c>
      <c r="K37" s="17">
        <f t="shared" si="8"/>
        <v>444.39408891450375</v>
      </c>
      <c r="L37" s="28">
        <f t="shared" si="7"/>
        <v>0</v>
      </c>
      <c r="M37" s="43">
        <f>L37*0.35*44/12</f>
        <v>0</v>
      </c>
      <c r="N37" s="68"/>
      <c r="O37" s="68"/>
      <c r="P37" s="68"/>
      <c r="Q37" s="54">
        <f>EXP(-[2]Paramètres!D$11)*Q36+(1-EXP(-[2]Paramètres!D$11))*N36*M36/[2]Paramètres!D$11</f>
        <v>0</v>
      </c>
      <c r="R37" s="54">
        <f>EXP(-Paramètres!C$11)*R36+(1-EXP(-Paramètres!C$11))*0.56*M36/Paramètres!C$11</f>
        <v>190.26628205345079</v>
      </c>
      <c r="S37" s="41">
        <f>EXP(-Paramètres!D$11)*R36+(1-EXP(-Paramètres!D$11))*0.44*M36/Paramètres!D$11</f>
        <v>138.32097253921603</v>
      </c>
      <c r="T37" s="56">
        <f t="shared" ref="T37:T42" si="11">S37+R37</f>
        <v>328.5872545926668</v>
      </c>
      <c r="U37"/>
    </row>
    <row r="38" spans="1:21" x14ac:dyDescent="0.25">
      <c r="A38" s="13">
        <f t="shared" si="10"/>
        <v>35</v>
      </c>
      <c r="B38" s="14">
        <f t="shared" si="10"/>
        <v>35</v>
      </c>
      <c r="C38" s="15">
        <f t="shared" si="3"/>
        <v>19.95</v>
      </c>
      <c r="D38" s="15">
        <f t="shared" si="4"/>
        <v>6.489057333245289</v>
      </c>
      <c r="E38" s="15">
        <f t="shared" si="5"/>
        <v>26.439057333245287</v>
      </c>
      <c r="F38" s="29">
        <v>32</v>
      </c>
      <c r="G38" s="28">
        <v>495.6</v>
      </c>
      <c r="H38" s="16">
        <f>G38*Paramètres!K$2*Paramètres!I$2</f>
        <v>224.95284000000001</v>
      </c>
      <c r="I38" s="16">
        <f t="shared" si="6"/>
        <v>55.189962248092264</v>
      </c>
      <c r="J38" s="16">
        <f t="shared" si="0"/>
        <v>280.14280224809227</v>
      </c>
      <c r="K38" s="17">
        <f t="shared" si="8"/>
        <v>487.91538058209403</v>
      </c>
      <c r="L38" s="28">
        <f t="shared" si="7"/>
        <v>0</v>
      </c>
      <c r="M38" s="43">
        <f>L38*0.35*44/12</f>
        <v>0</v>
      </c>
      <c r="N38" s="68"/>
      <c r="O38" s="68"/>
      <c r="P38" s="68"/>
      <c r="Q38" s="54">
        <f>EXP(-[2]Paramètres!D$11)*Q37+(1-EXP(-[2]Paramètres!D$11))*N37*M37/[2]Paramètres!D$11</f>
        <v>0</v>
      </c>
      <c r="R38" s="54">
        <f>EXP(-Paramètres!C$11)*R37+(1-EXP(-Paramètres!C$11))*0.56*M37/Paramètres!C$11</f>
        <v>185.06344056503028</v>
      </c>
      <c r="S38" s="41">
        <f>EXP(-Paramètres!D$11)*R37+(1-EXP(-Paramètres!D$11))*0.44*M37/Paramètres!D$11</f>
        <v>134.53857827114737</v>
      </c>
      <c r="T38" s="56">
        <f t="shared" si="11"/>
        <v>319.60201883617765</v>
      </c>
      <c r="U38"/>
    </row>
    <row r="39" spans="1:21" x14ac:dyDescent="0.25">
      <c r="A39" s="13">
        <f t="shared" si="10"/>
        <v>36</v>
      </c>
      <c r="B39" s="14">
        <f t="shared" si="10"/>
        <v>36</v>
      </c>
      <c r="C39" s="15">
        <f t="shared" si="3"/>
        <v>20.52</v>
      </c>
      <c r="D39" s="15">
        <f t="shared" si="4"/>
        <v>6.6526086632857524</v>
      </c>
      <c r="E39" s="15">
        <f t="shared" si="5"/>
        <v>27.17260866328575</v>
      </c>
      <c r="F39" s="29">
        <v>33</v>
      </c>
      <c r="G39" s="28">
        <v>540.79999999999995</v>
      </c>
      <c r="H39" s="16">
        <f>G39*Paramètres!K$2*Paramètres!I$2</f>
        <v>245.46911999999998</v>
      </c>
      <c r="I39" s="16">
        <f t="shared" si="6"/>
        <v>59.614690747072146</v>
      </c>
      <c r="J39" s="16">
        <f t="shared" si="0"/>
        <v>305.08381074707211</v>
      </c>
      <c r="K39" s="17">
        <f t="shared" si="8"/>
        <v>531.35430371781729</v>
      </c>
      <c r="L39" s="28">
        <f t="shared" si="7"/>
        <v>0</v>
      </c>
      <c r="M39" s="43">
        <f>L39*0.35*44/12</f>
        <v>0</v>
      </c>
      <c r="N39" s="68"/>
      <c r="O39" s="68"/>
      <c r="P39" s="68"/>
      <c r="Q39" s="54">
        <f>EXP(-[2]Paramètres!D$11)*Q38+(1-EXP(-[2]Paramètres!D$11))*N38*M38/[2]Paramètres!D$11</f>
        <v>0</v>
      </c>
      <c r="R39" s="54">
        <f>EXP(-Paramètres!C$11)*R38+(1-EXP(-Paramètres!C$11))*0.56*M38/Paramètres!C$11</f>
        <v>180.00287105071615</v>
      </c>
      <c r="S39" s="41">
        <f>EXP(-Paramètres!D$11)*R38+(1-EXP(-Paramètres!D$11))*0.44*M38/Paramètres!D$11</f>
        <v>130.85961377324651</v>
      </c>
      <c r="T39" s="56">
        <f t="shared" si="11"/>
        <v>310.86248482396263</v>
      </c>
      <c r="U39"/>
    </row>
    <row r="40" spans="1:21" x14ac:dyDescent="0.25">
      <c r="A40" s="13">
        <f t="shared" si="10"/>
        <v>37</v>
      </c>
      <c r="B40" s="14">
        <f t="shared" si="10"/>
        <v>37</v>
      </c>
      <c r="C40" s="15">
        <f t="shared" si="3"/>
        <v>21.09</v>
      </c>
      <c r="D40" s="15">
        <f t="shared" si="4"/>
        <v>6.8156319596025741</v>
      </c>
      <c r="E40" s="15">
        <f t="shared" si="5"/>
        <v>27.905631959602573</v>
      </c>
      <c r="F40" s="29">
        <v>34</v>
      </c>
      <c r="G40" s="28">
        <v>586</v>
      </c>
      <c r="H40" s="16">
        <f>G40*Paramètres!K$2*Paramètres!I$2</f>
        <v>265.98540000000003</v>
      </c>
      <c r="I40" s="16">
        <f t="shared" si="6"/>
        <v>63.996528439946616</v>
      </c>
      <c r="J40" s="16">
        <f t="shared" si="0"/>
        <v>329.98192843994661</v>
      </c>
      <c r="K40" s="17">
        <f t="shared" si="8"/>
        <v>574.71852536624021</v>
      </c>
      <c r="L40" s="28">
        <f t="shared" si="7"/>
        <v>0</v>
      </c>
      <c r="M40" s="43">
        <f>L40*0.35*44/12</f>
        <v>0</v>
      </c>
      <c r="N40" s="68"/>
      <c r="O40" s="68"/>
      <c r="P40" s="68"/>
      <c r="Q40" s="54">
        <f>EXP(-[2]Paramètres!D$11)*Q39+(1-EXP(-[2]Paramètres!D$11))*N39*M39/[2]Paramètres!D$11</f>
        <v>0</v>
      </c>
      <c r="R40" s="54">
        <f>EXP(-Paramètres!C$11)*R39+(1-EXP(-Paramètres!C$11))*0.56*M39/Paramètres!C$11</f>
        <v>175.08068307589474</v>
      </c>
      <c r="S40" s="41">
        <f>EXP(-Paramètres!D$11)*R39+(1-EXP(-Paramètres!D$11))*0.44*M39/Paramètres!D$11</f>
        <v>127.28125075300909</v>
      </c>
      <c r="T40" s="56">
        <f t="shared" si="11"/>
        <v>302.36193382890383</v>
      </c>
      <c r="U40"/>
    </row>
    <row r="41" spans="1:21" x14ac:dyDescent="0.25">
      <c r="A41" s="13">
        <f t="shared" si="10"/>
        <v>38</v>
      </c>
      <c r="B41" s="14">
        <f t="shared" si="10"/>
        <v>38</v>
      </c>
      <c r="C41" s="15">
        <f t="shared" si="3"/>
        <v>21.659999999999997</v>
      </c>
      <c r="D41" s="15">
        <f t="shared" si="4"/>
        <v>6.9781431334306836</v>
      </c>
      <c r="E41" s="15">
        <f t="shared" si="5"/>
        <v>28.638143133430681</v>
      </c>
      <c r="F41" s="29">
        <v>34</v>
      </c>
      <c r="G41" s="28">
        <v>481</v>
      </c>
      <c r="H41" s="16">
        <f>G41*Paramètres!K$2*Paramètres!I$2</f>
        <v>218.32590000000002</v>
      </c>
      <c r="I41" s="16">
        <f t="shared" si="6"/>
        <v>53.750866755303974</v>
      </c>
      <c r="J41" s="16">
        <f t="shared" si="0"/>
        <v>272.07676675530399</v>
      </c>
      <c r="K41" s="17">
        <f t="shared" si="8"/>
        <v>473.86703543215435</v>
      </c>
      <c r="L41" s="28">
        <f t="shared" si="7"/>
        <v>105</v>
      </c>
      <c r="M41" s="43">
        <f>L41*0.35*44/12</f>
        <v>134.75</v>
      </c>
      <c r="N41" s="68">
        <v>0</v>
      </c>
      <c r="O41" s="68">
        <v>0.56000000000000005</v>
      </c>
      <c r="P41" s="68">
        <v>0.44</v>
      </c>
      <c r="Q41" s="54">
        <f>EXP(-[2]Paramètres!D$11)*Q40+(1-EXP(-[2]Paramètres!D$11))*N40*M40/[2]Paramètres!D$11</f>
        <v>0</v>
      </c>
      <c r="R41" s="62">
        <f>R40</f>
        <v>175.08068307589474</v>
      </c>
      <c r="S41" s="62">
        <f>S40</f>
        <v>127.28125075300909</v>
      </c>
      <c r="T41" s="56">
        <f t="shared" si="11"/>
        <v>302.36193382890383</v>
      </c>
      <c r="U41"/>
    </row>
    <row r="42" spans="1:21" x14ac:dyDescent="0.25">
      <c r="A42" s="13">
        <f t="shared" si="10"/>
        <v>39</v>
      </c>
      <c r="B42" s="14">
        <f t="shared" si="10"/>
        <v>39</v>
      </c>
      <c r="C42" s="15">
        <f t="shared" si="3"/>
        <v>22.229999999999997</v>
      </c>
      <c r="D42" s="15">
        <f t="shared" si="4"/>
        <v>7.140157210880437</v>
      </c>
      <c r="E42" s="15">
        <f t="shared" si="5"/>
        <v>29.370157210880436</v>
      </c>
      <c r="F42" s="29">
        <v>35</v>
      </c>
      <c r="G42" s="28">
        <v>522.6</v>
      </c>
      <c r="H42" s="16">
        <f>G42*Paramètres!K$2*Paramètres!I$2</f>
        <v>237.20814000000001</v>
      </c>
      <c r="I42" s="16">
        <f t="shared" si="6"/>
        <v>57.83843975402413</v>
      </c>
      <c r="J42" s="16">
        <f t="shared" si="0"/>
        <v>295.04657975402415</v>
      </c>
      <c r="K42" s="17">
        <f t="shared" si="8"/>
        <v>513.87279307159201</v>
      </c>
      <c r="L42" s="28">
        <f t="shared" si="7"/>
        <v>0</v>
      </c>
      <c r="M42" s="43">
        <f>L42*0.35*44/12</f>
        <v>0</v>
      </c>
      <c r="N42" s="68"/>
      <c r="O42" s="68"/>
      <c r="P42" s="68"/>
      <c r="Q42" s="54">
        <f>EXP(-[2]Paramètres!D$11)*Q41+(1-EXP(-[2]Paramètres!D$11))*N41*M41/[2]Paramètres!D$11</f>
        <v>0</v>
      </c>
      <c r="R42" s="54">
        <f>EXP(-Paramètres!C$11)*R41+(1-EXP(-Paramètres!C$11))*0.56*M41/Paramètres!C$11</f>
        <v>244.71659621748879</v>
      </c>
      <c r="S42" s="41">
        <f>EXP(-Paramètres!D$11)*R41+(1-EXP(-Paramètres!D$11))*0.44*M41/Paramètres!D$11</f>
        <v>173.90738062890398</v>
      </c>
      <c r="T42" s="56">
        <f t="shared" si="11"/>
        <v>418.62397684639279</v>
      </c>
      <c r="U42"/>
    </row>
    <row r="43" spans="1:21" x14ac:dyDescent="0.25">
      <c r="A43" s="13">
        <f t="shared" si="10"/>
        <v>40</v>
      </c>
      <c r="B43" s="14">
        <f t="shared" si="10"/>
        <v>40</v>
      </c>
      <c r="C43" s="15">
        <f t="shared" si="3"/>
        <v>22.799999999999997</v>
      </c>
      <c r="D43" s="15">
        <f t="shared" si="4"/>
        <v>7.3016884035916778</v>
      </c>
      <c r="E43" s="15">
        <f t="shared" si="5"/>
        <v>30.101688403591673</v>
      </c>
      <c r="F43" s="29">
        <v>36</v>
      </c>
      <c r="G43" s="28">
        <v>564.20000000000005</v>
      </c>
      <c r="H43" s="16">
        <f>G43*Paramètres!K$2*Paramètres!I$2</f>
        <v>256.09038000000004</v>
      </c>
      <c r="I43" s="16">
        <f t="shared" si="6"/>
        <v>61.888271520341448</v>
      </c>
      <c r="J43" s="16">
        <f t="shared" si="0"/>
        <v>317.97865152034149</v>
      </c>
      <c r="K43" s="17">
        <f t="shared" si="8"/>
        <v>553.81281806459469</v>
      </c>
      <c r="L43" s="28">
        <f t="shared" si="7"/>
        <v>0</v>
      </c>
      <c r="M43" s="43">
        <f>L43*0.35*44/12</f>
        <v>0</v>
      </c>
      <c r="N43" s="68"/>
      <c r="O43" s="68"/>
      <c r="P43" s="68"/>
      <c r="Q43" s="54">
        <f>EXP(-[2]Paramètres!D$11)*Q42+(1-EXP(-[2]Paramètres!D$11))*N42*M42/[2]Paramètres!D$11</f>
        <v>0</v>
      </c>
      <c r="R43" s="54">
        <f>EXP(-Paramètres!C$11)*R42+(1-EXP(-Paramètres!C$11))*0.56*M42/Paramètres!C$11</f>
        <v>238.02480802483507</v>
      </c>
      <c r="S43" s="41">
        <f>EXP(-Paramètres!D$11)*R42+(1-EXP(-Paramètres!D$11))*0.44*M42/Paramètres!D$11</f>
        <v>173.04076465427656</v>
      </c>
      <c r="T43" s="56">
        <f t="shared" ref="T43:T48" si="12">S43+R43</f>
        <v>411.0655726791116</v>
      </c>
      <c r="U43"/>
    </row>
    <row r="44" spans="1:21" x14ac:dyDescent="0.25">
      <c r="A44" s="13">
        <f t="shared" si="10"/>
        <v>41</v>
      </c>
      <c r="B44" s="14">
        <f t="shared" si="10"/>
        <v>41</v>
      </c>
      <c r="C44" s="15">
        <f t="shared" si="3"/>
        <v>23.369999999999997</v>
      </c>
      <c r="D44" s="15">
        <f t="shared" si="4"/>
        <v>7.4627501721235276</v>
      </c>
      <c r="E44" s="15">
        <f t="shared" si="5"/>
        <v>30.832750172123525</v>
      </c>
      <c r="F44" s="29">
        <v>37</v>
      </c>
      <c r="G44" s="28">
        <v>605.79999999999995</v>
      </c>
      <c r="H44" s="16">
        <f>G44*Paramètres!K$2*Paramètres!I$2</f>
        <v>274.97262000000001</v>
      </c>
      <c r="I44" s="16">
        <f t="shared" si="6"/>
        <v>65.903461263070227</v>
      </c>
      <c r="J44" s="16">
        <f t="shared" si="0"/>
        <v>340.8760812630702</v>
      </c>
      <c r="K44" s="17">
        <f t="shared" si="8"/>
        <v>593.69250819984734</v>
      </c>
      <c r="L44" s="28">
        <f t="shared" si="7"/>
        <v>0</v>
      </c>
      <c r="M44" s="43">
        <f>L44*0.35*44/12</f>
        <v>0</v>
      </c>
      <c r="N44" s="68"/>
      <c r="O44" s="68"/>
      <c r="P44" s="68"/>
      <c r="Q44" s="54">
        <f>EXP(-[2]Paramètres!D$11)*Q43+(1-EXP(-[2]Paramètres!D$11))*N43*M43/[2]Paramètres!D$11</f>
        <v>0</v>
      </c>
      <c r="R44" s="54">
        <f>EXP(-Paramètres!C$11)*R43+(1-EXP(-Paramètres!C$11))*0.56*M43/Paramètres!C$11</f>
        <v>231.51600713221532</v>
      </c>
      <c r="S44" s="41">
        <f>EXP(-Paramètres!D$11)*R43+(1-EXP(-Paramètres!D$11))*0.44*M43/Paramètres!D$11</f>
        <v>168.30895584498705</v>
      </c>
      <c r="T44" s="56">
        <f t="shared" si="12"/>
        <v>399.8249629772024</v>
      </c>
      <c r="U44"/>
    </row>
    <row r="45" spans="1:21" x14ac:dyDescent="0.25">
      <c r="A45" s="13">
        <f t="shared" si="10"/>
        <v>42</v>
      </c>
      <c r="B45" s="14">
        <f t="shared" si="10"/>
        <v>42</v>
      </c>
      <c r="C45" s="15">
        <f t="shared" si="3"/>
        <v>23.939999999999998</v>
      </c>
      <c r="D45" s="15">
        <f t="shared" si="4"/>
        <v>7.6233552829856803</v>
      </c>
      <c r="E45" s="15">
        <f t="shared" si="5"/>
        <v>31.563355282985679</v>
      </c>
      <c r="F45" s="29">
        <v>38</v>
      </c>
      <c r="G45" s="28">
        <v>647.4</v>
      </c>
      <c r="H45" s="16">
        <f>G45*Paramètres!K$2*Paramètres!I$2</f>
        <v>293.85486000000003</v>
      </c>
      <c r="I45" s="16">
        <f t="shared" si="6"/>
        <v>69.88665845348261</v>
      </c>
      <c r="J45" s="16">
        <f t="shared" si="0"/>
        <v>363.74151845348263</v>
      </c>
      <c r="K45" s="17">
        <f t="shared" si="8"/>
        <v>633.51647797314888</v>
      </c>
      <c r="L45" s="28">
        <f t="shared" si="7"/>
        <v>0</v>
      </c>
      <c r="M45" s="43">
        <f>L45*0.35*44/12</f>
        <v>0</v>
      </c>
      <c r="N45" s="68"/>
      <c r="O45" s="68"/>
      <c r="P45" s="68"/>
      <c r="Q45" s="54">
        <f>EXP(-[2]Paramètres!D$11)*Q44+(1-EXP(-[2]Paramètres!D$11))*N44*M44/[2]Paramètres!D$11</f>
        <v>0</v>
      </c>
      <c r="R45" s="54">
        <f>EXP(-Paramètres!C$11)*R44+(1-EXP(-Paramètres!C$11))*0.56*M44/Paramètres!C$11</f>
        <v>225.18518974228721</v>
      </c>
      <c r="S45" s="41">
        <f>EXP(-Paramètres!D$11)*R44+(1-EXP(-Paramètres!D$11))*0.44*M44/Paramètres!D$11</f>
        <v>163.70653859642258</v>
      </c>
      <c r="T45" s="56">
        <f t="shared" si="12"/>
        <v>388.89172833870975</v>
      </c>
      <c r="U45"/>
    </row>
    <row r="46" spans="1:21" x14ac:dyDescent="0.25">
      <c r="A46" s="13">
        <f t="shared" si="10"/>
        <v>43</v>
      </c>
      <c r="B46" s="14">
        <f t="shared" si="10"/>
        <v>43</v>
      </c>
      <c r="C46" s="15">
        <f t="shared" si="3"/>
        <v>24.509999999999998</v>
      </c>
      <c r="D46" s="15">
        <f t="shared" si="4"/>
        <v>7.7835158600851386</v>
      </c>
      <c r="E46" s="15">
        <f t="shared" si="5"/>
        <v>32.293515860085137</v>
      </c>
      <c r="F46" s="29">
        <v>39</v>
      </c>
      <c r="G46" s="28">
        <v>689</v>
      </c>
      <c r="H46" s="16">
        <f>G46*Paramètres!K$2*Paramètres!I$2</f>
        <v>312.7371</v>
      </c>
      <c r="I46" s="16">
        <f t="shared" si="6"/>
        <v>73.840152816870955</v>
      </c>
      <c r="J46" s="16">
        <f t="shared" si="0"/>
        <v>386.57725281687095</v>
      </c>
      <c r="K46" s="17">
        <f t="shared" si="8"/>
        <v>673.28871532271694</v>
      </c>
      <c r="L46" s="28">
        <f t="shared" si="7"/>
        <v>0</v>
      </c>
      <c r="M46" s="43">
        <f>L46*0.35*44/12</f>
        <v>0</v>
      </c>
      <c r="N46" s="68"/>
      <c r="O46" s="68"/>
      <c r="P46" s="68"/>
      <c r="Q46" s="54">
        <f>EXP(-[2]Paramètres!D$11)*Q45+(1-EXP(-[2]Paramètres!D$11))*N45*M45/[2]Paramètres!D$11</f>
        <v>0</v>
      </c>
      <c r="R46" s="54">
        <f>EXP(-Paramètres!C$11)*R45+(1-EXP(-Paramètres!C$11))*0.56*M45/Paramètres!C$11</f>
        <v>219.02748888680989</v>
      </c>
      <c r="S46" s="41">
        <f>EXP(-Paramètres!D$11)*R45+(1-EXP(-Paramètres!D$11))*0.44*M45/Paramètres!D$11</f>
        <v>159.22997468955069</v>
      </c>
      <c r="T46" s="56">
        <f t="shared" si="12"/>
        <v>378.25746357636058</v>
      </c>
      <c r="U46"/>
    </row>
    <row r="47" spans="1:21" x14ac:dyDescent="0.25">
      <c r="A47" s="13">
        <f t="shared" si="10"/>
        <v>44</v>
      </c>
      <c r="B47" s="14">
        <f t="shared" si="10"/>
        <v>44</v>
      </c>
      <c r="C47" s="15">
        <f t="shared" si="3"/>
        <v>25.08</v>
      </c>
      <c r="D47" s="15">
        <f t="shared" si="4"/>
        <v>7.9432434312523394</v>
      </c>
      <c r="E47" s="15">
        <f t="shared" si="5"/>
        <v>33.02324343125234</v>
      </c>
      <c r="F47" s="29">
        <v>39</v>
      </c>
      <c r="G47" s="28">
        <v>584</v>
      </c>
      <c r="H47" s="16">
        <f>G47*Paramètres!K$2*Paramètres!I$2</f>
        <v>265.07760000000002</v>
      </c>
      <c r="I47" s="16">
        <f t="shared" si="6"/>
        <v>63.803495746806703</v>
      </c>
      <c r="J47" s="16">
        <f t="shared" si="0"/>
        <v>328.88109574680675</v>
      </c>
      <c r="K47" s="17">
        <f t="shared" si="8"/>
        <v>572.80124175902176</v>
      </c>
      <c r="L47" s="28">
        <f t="shared" si="7"/>
        <v>105</v>
      </c>
      <c r="M47" s="43">
        <f>L47*0.35*44/12</f>
        <v>134.75</v>
      </c>
      <c r="N47" s="68">
        <v>0</v>
      </c>
      <c r="O47" s="68">
        <v>0.56000000000000005</v>
      </c>
      <c r="P47" s="68">
        <v>0.44</v>
      </c>
      <c r="Q47" s="54">
        <f>EXP(-[2]Paramètres!D$11)*Q46+(1-EXP(-[2]Paramètres!D$11))*N46*M46/[2]Paramètres!D$11</f>
        <v>0</v>
      </c>
      <c r="R47" s="62">
        <f>R46</f>
        <v>219.02748888680989</v>
      </c>
      <c r="S47" s="62">
        <f>S46</f>
        <v>159.22997468955069</v>
      </c>
      <c r="T47" s="56">
        <f t="shared" si="12"/>
        <v>378.25746357636058</v>
      </c>
      <c r="U47"/>
    </row>
    <row r="48" spans="1:21" x14ac:dyDescent="0.25">
      <c r="A48" s="13">
        <f t="shared" si="10"/>
        <v>45</v>
      </c>
      <c r="B48" s="14">
        <f t="shared" si="10"/>
        <v>45</v>
      </c>
      <c r="C48" s="15">
        <f t="shared" si="3"/>
        <v>25.65</v>
      </c>
      <c r="D48" s="15">
        <f t="shared" si="4"/>
        <v>8.1025489704184661</v>
      </c>
      <c r="E48" s="15">
        <f t="shared" si="5"/>
        <v>33.752548970418466</v>
      </c>
      <c r="F48" s="29">
        <v>40</v>
      </c>
      <c r="G48" s="28">
        <v>621.79999999999995</v>
      </c>
      <c r="H48" s="16">
        <f>G48*Paramètres!K$2*Paramètres!I$2</f>
        <v>282.23502000000002</v>
      </c>
      <c r="I48" s="16">
        <f t="shared" si="6"/>
        <v>67.439114080253688</v>
      </c>
      <c r="J48" s="16">
        <f t="shared" si="0"/>
        <v>349.67413408025368</v>
      </c>
      <c r="K48" s="17">
        <f t="shared" si="8"/>
        <v>609.01578352310844</v>
      </c>
      <c r="L48" s="28">
        <f t="shared" si="7"/>
        <v>0</v>
      </c>
      <c r="M48" s="43">
        <f>L48*0.35*44/12</f>
        <v>0</v>
      </c>
      <c r="N48" s="68"/>
      <c r="O48" s="68"/>
      <c r="P48" s="68"/>
      <c r="Q48" s="54">
        <f>EXP(-[2]Paramètres!D$11)*Q47+(1-EXP(-[2]Paramètres!D$11))*N47*M47/[2]Paramètres!D$11</f>
        <v>0</v>
      </c>
      <c r="R48" s="54">
        <f>EXP(-Paramètres!C$11)*R47+(1-EXP(-Paramètres!C$11))*0.56*M47/Paramètres!C$11</f>
        <v>287.46167431244237</v>
      </c>
      <c r="S48" s="41">
        <f>EXP(-Paramètres!D$11)*R47+(1-EXP(-Paramètres!D$11))*0.44*M47/Paramètres!D$11</f>
        <v>204.98246502929044</v>
      </c>
      <c r="T48" s="56">
        <f t="shared" si="12"/>
        <v>492.44413934173281</v>
      </c>
      <c r="U48"/>
    </row>
    <row r="49" spans="1:21" x14ac:dyDescent="0.25">
      <c r="A49" s="13">
        <f t="shared" si="10"/>
        <v>46</v>
      </c>
      <c r="B49" s="14">
        <f t="shared" si="10"/>
        <v>46</v>
      </c>
      <c r="C49" s="15">
        <f t="shared" si="3"/>
        <v>26.22</v>
      </c>
      <c r="D49" s="15">
        <f t="shared" si="4"/>
        <v>8.2614429359378736</v>
      </c>
      <c r="E49" s="15">
        <f t="shared" si="5"/>
        <v>34.481442935937871</v>
      </c>
      <c r="F49" s="29">
        <v>41</v>
      </c>
      <c r="G49" s="28">
        <v>659.6</v>
      </c>
      <c r="H49" s="16">
        <f>G49*Paramètres!K$2*Paramètres!I$2</f>
        <v>299.39244000000002</v>
      </c>
      <c r="I49" s="16">
        <f t="shared" si="6"/>
        <v>71.049080539297208</v>
      </c>
      <c r="J49" s="16">
        <f t="shared" si="0"/>
        <v>370.44152053929724</v>
      </c>
      <c r="K49" s="17">
        <f t="shared" si="8"/>
        <v>645.18564827260934</v>
      </c>
      <c r="L49" s="28">
        <f t="shared" si="7"/>
        <v>0</v>
      </c>
      <c r="M49" s="43">
        <f>L49*0.35*44/12</f>
        <v>0</v>
      </c>
      <c r="N49" s="68"/>
      <c r="O49" s="68"/>
      <c r="P49" s="68"/>
      <c r="Q49" s="54">
        <f>EXP(-[2]Paramètres!D$11)*Q48+(1-EXP(-[2]Paramètres!D$11))*N48*M48/[2]Paramètres!D$11</f>
        <v>0</v>
      </c>
      <c r="R49" s="54">
        <f>EXP(-Paramètres!C$11)*R48+(1-EXP(-Paramètres!C$11))*0.56*M48/Paramètres!C$11</f>
        <v>279.6010197114162</v>
      </c>
      <c r="S49" s="41">
        <f>EXP(-Paramètres!D$11)*R48+(1-EXP(-Paramètres!D$11))*0.44*M48/Paramètres!D$11</f>
        <v>203.26609923756678</v>
      </c>
      <c r="T49" s="56">
        <f t="shared" ref="T49:T54" si="13">S49+R49</f>
        <v>482.86711894898298</v>
      </c>
      <c r="U49"/>
    </row>
    <row r="50" spans="1:21" x14ac:dyDescent="0.25">
      <c r="A50" s="13">
        <f t="shared" si="10"/>
        <v>47</v>
      </c>
      <c r="B50" s="14">
        <f t="shared" si="10"/>
        <v>47</v>
      </c>
      <c r="C50" s="15">
        <f t="shared" si="3"/>
        <v>26.79</v>
      </c>
      <c r="D50" s="15">
        <f t="shared" si="4"/>
        <v>8.4199353054842145</v>
      </c>
      <c r="E50" s="15">
        <f t="shared" si="5"/>
        <v>35.209935305484215</v>
      </c>
      <c r="F50" s="29">
        <v>42</v>
      </c>
      <c r="G50" s="28">
        <v>697.4</v>
      </c>
      <c r="H50" s="16">
        <f>G50*Paramètres!K$2*Paramètres!I$2</f>
        <v>316.54986000000002</v>
      </c>
      <c r="I50" s="16">
        <f t="shared" si="6"/>
        <v>74.635032662000469</v>
      </c>
      <c r="J50" s="16">
        <f t="shared" si="0"/>
        <v>391.18489266200049</v>
      </c>
      <c r="K50" s="17">
        <f t="shared" si="8"/>
        <v>681.31368805298416</v>
      </c>
      <c r="L50" s="28">
        <f t="shared" si="7"/>
        <v>0</v>
      </c>
      <c r="M50" s="43">
        <f>L50*0.35*44/12</f>
        <v>0</v>
      </c>
      <c r="N50" s="68"/>
      <c r="O50" s="68"/>
      <c r="P50" s="68"/>
      <c r="Q50" s="54">
        <f>EXP(-[2]Paramètres!D$11)*Q49+(1-EXP(-[2]Paramètres!D$11))*N49*M49/[2]Paramètres!D$11</f>
        <v>0</v>
      </c>
      <c r="R50" s="54">
        <f>EXP(-Paramètres!C$11)*R49+(1-EXP(-Paramètres!C$11))*0.56*M49/Paramètres!C$11</f>
        <v>271.95531512382894</v>
      </c>
      <c r="S50" s="41">
        <f>EXP(-Paramètres!D$11)*R49+(1-EXP(-Paramètres!D$11))*0.44*M49/Paramètres!D$11</f>
        <v>197.70777706461595</v>
      </c>
      <c r="T50" s="56">
        <f t="shared" si="13"/>
        <v>469.66309218844492</v>
      </c>
      <c r="U50"/>
    </row>
    <row r="51" spans="1:21" x14ac:dyDescent="0.25">
      <c r="A51" s="13">
        <f t="shared" si="10"/>
        <v>48</v>
      </c>
      <c r="B51" s="14">
        <f t="shared" si="10"/>
        <v>48</v>
      </c>
      <c r="C51" s="15">
        <f t="shared" si="3"/>
        <v>27.36</v>
      </c>
      <c r="D51" s="15">
        <f t="shared" si="4"/>
        <v>8.5780356078927902</v>
      </c>
      <c r="E51" s="15">
        <f t="shared" si="5"/>
        <v>35.938035607892786</v>
      </c>
      <c r="F51" s="29">
        <v>43</v>
      </c>
      <c r="G51" s="28">
        <v>735.2</v>
      </c>
      <c r="H51" s="16">
        <f>G51*Paramètres!K$2*Paramètres!I$2</f>
        <v>333.70728000000003</v>
      </c>
      <c r="I51" s="16">
        <f t="shared" si="6"/>
        <v>78.198420447377714</v>
      </c>
      <c r="J51" s="16">
        <f t="shared" si="0"/>
        <v>411.90570044737774</v>
      </c>
      <c r="K51" s="17">
        <f t="shared" si="8"/>
        <v>717.40242827918291</v>
      </c>
      <c r="L51" s="28">
        <f t="shared" si="7"/>
        <v>0</v>
      </c>
      <c r="M51" s="43">
        <f>L51*0.35*44/12</f>
        <v>0</v>
      </c>
      <c r="N51" s="68"/>
      <c r="O51" s="68"/>
      <c r="P51" s="68"/>
      <c r="Q51" s="54">
        <f>EXP(-[2]Paramètres!D$11)*Q50+(1-EXP(-[2]Paramètres!D$11))*N50*M50/[2]Paramètres!D$11</f>
        <v>0</v>
      </c>
      <c r="R51" s="54">
        <f>EXP(-Paramètres!C$11)*R50+(1-EXP(-Paramètres!C$11))*0.56*M50/Paramètres!C$11</f>
        <v>264.5186827302594</v>
      </c>
      <c r="S51" s="41">
        <f>EXP(-Paramètres!D$11)*R50+(1-EXP(-Paramètres!D$11))*0.44*M50/Paramètres!D$11</f>
        <v>192.30144750378389</v>
      </c>
      <c r="T51" s="56">
        <f t="shared" si="13"/>
        <v>456.82013023404329</v>
      </c>
      <c r="U51"/>
    </row>
    <row r="52" spans="1:21" x14ac:dyDescent="0.25">
      <c r="A52" s="13">
        <f t="shared" si="10"/>
        <v>49</v>
      </c>
      <c r="B52" s="14">
        <f t="shared" si="10"/>
        <v>49</v>
      </c>
      <c r="C52" s="15">
        <f t="shared" si="3"/>
        <v>27.929999999999996</v>
      </c>
      <c r="D52" s="15">
        <f t="shared" si="4"/>
        <v>8.735752952274547</v>
      </c>
      <c r="E52" s="15">
        <f t="shared" si="5"/>
        <v>36.665752952274545</v>
      </c>
      <c r="F52" s="29">
        <v>44</v>
      </c>
      <c r="G52" s="28">
        <v>773</v>
      </c>
      <c r="H52" s="16">
        <f>G52*Paramètres!K$2*Paramètres!I$2</f>
        <v>350.86469999999997</v>
      </c>
      <c r="I52" s="16">
        <f t="shared" si="6"/>
        <v>81.740536370492507</v>
      </c>
      <c r="J52" s="16">
        <f t="shared" si="0"/>
        <v>432.60523637049249</v>
      </c>
      <c r="K52" s="17">
        <f t="shared" si="8"/>
        <v>753.45412001194109</v>
      </c>
      <c r="L52" s="28">
        <f t="shared" si="7"/>
        <v>0</v>
      </c>
      <c r="M52" s="43">
        <f>L52*0.35*44/12</f>
        <v>0</v>
      </c>
      <c r="N52" s="68"/>
      <c r="O52" s="68"/>
      <c r="P52" s="68"/>
      <c r="Q52" s="54">
        <f>EXP(-[2]Paramètres!D$11)*Q51+(1-EXP(-[2]Paramètres!D$11))*N51*M51/[2]Paramètres!D$11</f>
        <v>0</v>
      </c>
      <c r="R52" s="54">
        <f>EXP(-Paramètres!C$11)*R51+(1-EXP(-Paramètres!C$11))*0.56*M51/Paramètres!C$11</f>
        <v>257.2854054405675</v>
      </c>
      <c r="S52" s="41">
        <f>EXP(-Paramètres!D$11)*R51+(1-EXP(-Paramètres!D$11))*0.44*M51/Paramètres!D$11</f>
        <v>187.04295430909934</v>
      </c>
      <c r="T52" s="56">
        <f t="shared" si="13"/>
        <v>444.32835974966684</v>
      </c>
      <c r="U52"/>
    </row>
    <row r="53" spans="1:21" x14ac:dyDescent="0.25">
      <c r="A53" s="13">
        <f t="shared" ref="A53:B63" si="14">A52+1</f>
        <v>50</v>
      </c>
      <c r="B53" s="14">
        <f t="shared" si="14"/>
        <v>50</v>
      </c>
      <c r="C53" s="15">
        <f t="shared" si="3"/>
        <v>28.499999999999996</v>
      </c>
      <c r="D53" s="15">
        <f t="shared" si="4"/>
        <v>8.8930960546862661</v>
      </c>
      <c r="E53" s="15">
        <f t="shared" si="5"/>
        <v>37.393096054686261</v>
      </c>
      <c r="F53" s="29">
        <v>44</v>
      </c>
      <c r="G53" s="28">
        <v>687</v>
      </c>
      <c r="H53" s="16">
        <f>G53*Paramètres!K$2*Paramètres!I$2</f>
        <v>311.82929999999999</v>
      </c>
      <c r="I53" s="16">
        <f t="shared" si="6"/>
        <v>73.650729903943926</v>
      </c>
      <c r="J53" s="16">
        <f t="shared" si="0"/>
        <v>385.48002990394389</v>
      </c>
      <c r="K53" s="17">
        <f t="shared" si="8"/>
        <v>671.37771874936891</v>
      </c>
      <c r="L53" s="28">
        <f t="shared" si="7"/>
        <v>86</v>
      </c>
      <c r="M53" s="43">
        <f>L53*0.35*44/12</f>
        <v>110.36666666666666</v>
      </c>
      <c r="N53" s="68">
        <v>0</v>
      </c>
      <c r="O53" s="68">
        <v>0.56000000000000005</v>
      </c>
      <c r="P53" s="68">
        <v>0.44</v>
      </c>
      <c r="Q53" s="54">
        <f>EXP(-[2]Paramètres!D$11)*Q52+(1-EXP(-[2]Paramètres!D$11))*N52*M52/[2]Paramètres!D$11</f>
        <v>0</v>
      </c>
      <c r="R53" s="62">
        <f>R52</f>
        <v>257.2854054405675</v>
      </c>
      <c r="S53" s="28">
        <f>S52</f>
        <v>187.04295430909934</v>
      </c>
      <c r="T53" s="56">
        <f t="shared" si="13"/>
        <v>444.32835974966684</v>
      </c>
      <c r="U53"/>
    </row>
    <row r="54" spans="1:21" x14ac:dyDescent="0.25">
      <c r="A54" s="13">
        <f t="shared" si="14"/>
        <v>51</v>
      </c>
      <c r="B54" s="14">
        <f t="shared" si="14"/>
        <v>51</v>
      </c>
      <c r="C54" s="15">
        <f t="shared" si="3"/>
        <v>29.069999999999997</v>
      </c>
      <c r="D54" s="15">
        <f t="shared" si="4"/>
        <v>9.0500732626068814</v>
      </c>
      <c r="E54" s="15">
        <f t="shared" si="5"/>
        <v>38.12007326260688</v>
      </c>
      <c r="F54" s="29">
        <v>45</v>
      </c>
      <c r="G54" s="28">
        <v>721</v>
      </c>
      <c r="H54" s="16">
        <f>G54*Paramètres!K$2*Paramètres!I$2</f>
        <v>327.26190000000003</v>
      </c>
      <c r="I54" s="16">
        <f t="shared" si="6"/>
        <v>76.862354201027983</v>
      </c>
      <c r="J54" s="16">
        <f t="shared" si="0"/>
        <v>404.12425420102801</v>
      </c>
      <c r="K54" s="17">
        <f t="shared" si="8"/>
        <v>703.84974273345699</v>
      </c>
      <c r="L54" s="28">
        <f t="shared" si="7"/>
        <v>0</v>
      </c>
      <c r="M54" s="43">
        <f>L54*0.35*44/12</f>
        <v>0</v>
      </c>
      <c r="N54" s="68"/>
      <c r="O54" s="68"/>
      <c r="P54" s="68"/>
      <c r="Q54" s="54">
        <f>EXP(-[2]Paramètres!D$11)*Q53+(1-EXP(-[2]Paramètres!D$11))*N53*M53/[2]Paramètres!D$11</f>
        <v>0</v>
      </c>
      <c r="R54" s="54">
        <f>EXP(-Paramètres!C$11)*R53+(1-EXP(-Paramètres!C$11))*0.56*M53/Paramètres!C$11</f>
        <v>311.20631594594539</v>
      </c>
      <c r="S54" s="41">
        <f>EXP(-Paramètres!D$11)*R53+(1-EXP(-Paramètres!D$11))*0.44*M53/Paramètres!D$11</f>
        <v>222.96798101992957</v>
      </c>
      <c r="T54" s="56">
        <f t="shared" si="13"/>
        <v>534.17429696587499</v>
      </c>
      <c r="U54"/>
    </row>
    <row r="55" spans="1:21" x14ac:dyDescent="0.25">
      <c r="A55" s="13">
        <f t="shared" si="14"/>
        <v>52</v>
      </c>
      <c r="B55" s="14">
        <f t="shared" si="14"/>
        <v>52</v>
      </c>
      <c r="C55" s="15">
        <f t="shared" si="3"/>
        <v>29.639999999999997</v>
      </c>
      <c r="D55" s="15">
        <f t="shared" si="4"/>
        <v>9.2066925774398314</v>
      </c>
      <c r="E55" s="15">
        <f t="shared" si="5"/>
        <v>38.846692577439825</v>
      </c>
      <c r="F55" s="29">
        <v>46</v>
      </c>
      <c r="G55" s="28">
        <v>755</v>
      </c>
      <c r="H55" s="16">
        <f>G55*Paramètres!K$2*Paramètres!I$2</f>
        <v>342.69450000000006</v>
      </c>
      <c r="I55" s="16">
        <f t="shared" si="6"/>
        <v>80.056391165832437</v>
      </c>
      <c r="J55" s="16">
        <f t="shared" si="0"/>
        <v>422.75089116583251</v>
      </c>
      <c r="K55" s="17">
        <f t="shared" si="8"/>
        <v>736.29113544715813</v>
      </c>
      <c r="L55" s="28">
        <f t="shared" si="7"/>
        <v>0</v>
      </c>
      <c r="M55" s="43">
        <f>L55*0.35*44/12</f>
        <v>0</v>
      </c>
      <c r="N55" s="68"/>
      <c r="O55" s="68"/>
      <c r="P55" s="68"/>
      <c r="Q55" s="54">
        <f>EXP(-[2]Paramètres!D$11)*Q54+(1-EXP(-[2]Paramètres!D$11))*N54*M54/[2]Paramètres!D$11</f>
        <v>0</v>
      </c>
      <c r="R55" s="54">
        <f>EXP(-Paramètres!C$11)*R54+(1-EXP(-Paramètres!C$11))*0.56*M54/Paramètres!C$11</f>
        <v>302.69636287077464</v>
      </c>
      <c r="S55" s="41">
        <f>EXP(-Paramètres!D$11)*R54+(1-EXP(-Paramètres!D$11))*0.44*M54/Paramètres!D$11</f>
        <v>220.05609635346119</v>
      </c>
      <c r="T55" s="56">
        <f t="shared" ref="T55:T60" si="15">S55+R55</f>
        <v>522.75245922423585</v>
      </c>
      <c r="U55"/>
    </row>
    <row r="56" spans="1:21" x14ac:dyDescent="0.25">
      <c r="A56" s="13">
        <f t="shared" si="14"/>
        <v>53</v>
      </c>
      <c r="B56" s="14">
        <f t="shared" si="14"/>
        <v>53</v>
      </c>
      <c r="C56" s="15">
        <f t="shared" si="3"/>
        <v>30.209999999999997</v>
      </c>
      <c r="D56" s="15">
        <f t="shared" si="4"/>
        <v>9.3629616752355478</v>
      </c>
      <c r="E56" s="15">
        <f t="shared" si="5"/>
        <v>39.572961675235547</v>
      </c>
      <c r="F56" s="29">
        <v>47</v>
      </c>
      <c r="G56" s="28">
        <v>789</v>
      </c>
      <c r="H56" s="16">
        <f>G56*Paramètres!K$2*Paramètres!I$2</f>
        <v>358.12709999999998</v>
      </c>
      <c r="I56" s="16">
        <f t="shared" si="6"/>
        <v>83.233723296910668</v>
      </c>
      <c r="J56" s="16">
        <f t="shared" si="0"/>
        <v>441.36082329691067</v>
      </c>
      <c r="K56" s="17">
        <f t="shared" si="8"/>
        <v>768.703433908786</v>
      </c>
      <c r="L56" s="28">
        <f t="shared" si="7"/>
        <v>0</v>
      </c>
      <c r="M56" s="43">
        <f>L56*0.35*44/12</f>
        <v>0</v>
      </c>
      <c r="N56" s="68"/>
      <c r="O56" s="68"/>
      <c r="P56" s="68"/>
      <c r="Q56" s="54">
        <f>EXP(-[2]Paramètres!D$11)*Q55+(1-EXP(-[2]Paramètres!D$11))*N55*M55/[2]Paramètres!D$11</f>
        <v>0</v>
      </c>
      <c r="R56" s="54">
        <f>EXP(-Paramètres!C$11)*R55+(1-EXP(-Paramètres!C$11))*0.56*M55/Paramètres!C$11</f>
        <v>294.41911490996341</v>
      </c>
      <c r="S56" s="41">
        <f>EXP(-Paramètres!D$11)*R55+(1-EXP(-Paramètres!D$11))*0.44*M55/Paramètres!D$11</f>
        <v>214.03865082642864</v>
      </c>
      <c r="T56" s="56">
        <f t="shared" si="15"/>
        <v>508.45776573639205</v>
      </c>
      <c r="U56"/>
    </row>
    <row r="57" spans="1:21" x14ac:dyDescent="0.25">
      <c r="A57" s="13">
        <f t="shared" si="14"/>
        <v>54</v>
      </c>
      <c r="B57" s="14">
        <f t="shared" si="14"/>
        <v>54</v>
      </c>
      <c r="C57" s="15">
        <f t="shared" si="3"/>
        <v>30.779999999999998</v>
      </c>
      <c r="D57" s="15">
        <f t="shared" si="4"/>
        <v>9.5188879258057444</v>
      </c>
      <c r="E57" s="15">
        <f t="shared" si="5"/>
        <v>40.298887925805744</v>
      </c>
      <c r="F57" s="29">
        <v>48</v>
      </c>
      <c r="G57" s="28">
        <v>823</v>
      </c>
      <c r="H57" s="16">
        <f>G57*Paramètres!K$2*Paramètres!I$2</f>
        <v>373.55969999999996</v>
      </c>
      <c r="I57" s="16">
        <f t="shared" si="6"/>
        <v>86.395152733151448</v>
      </c>
      <c r="J57" s="16">
        <f t="shared" si="0"/>
        <v>459.95485273315143</v>
      </c>
      <c r="K57" s="17">
        <f t="shared" si="8"/>
        <v>801.08803517690524</v>
      </c>
      <c r="L57" s="28">
        <f t="shared" si="7"/>
        <v>0</v>
      </c>
      <c r="M57" s="43">
        <f>L57*0.35*44/12</f>
        <v>0</v>
      </c>
      <c r="N57" s="68"/>
      <c r="O57" s="68"/>
      <c r="P57" s="68"/>
      <c r="Q57" s="54">
        <f>EXP(-[2]Paramètres!D$11)*Q56+(1-EXP(-[2]Paramètres!D$11))*N56*M56/[2]Paramètres!D$11</f>
        <v>0</v>
      </c>
      <c r="R57" s="54">
        <f>EXP(-Paramètres!C$11)*R56+(1-EXP(-Paramètres!C$11))*0.56*M56/Paramètres!C$11</f>
        <v>286.36820872992212</v>
      </c>
      <c r="S57" s="41">
        <f>EXP(-Paramètres!D$11)*R56+(1-EXP(-Paramètres!D$11))*0.44*M56/Paramètres!D$11</f>
        <v>208.1857526637765</v>
      </c>
      <c r="T57" s="56">
        <f t="shared" si="15"/>
        <v>494.55396139369861</v>
      </c>
      <c r="U57"/>
    </row>
    <row r="58" spans="1:21" x14ac:dyDescent="0.25">
      <c r="A58" s="13">
        <f t="shared" si="14"/>
        <v>55</v>
      </c>
      <c r="B58" s="14">
        <f t="shared" si="14"/>
        <v>55</v>
      </c>
      <c r="C58" s="15">
        <f t="shared" si="3"/>
        <v>31.349999999999998</v>
      </c>
      <c r="D58" s="15">
        <f t="shared" si="4"/>
        <v>9.6744784103817931</v>
      </c>
      <c r="E58" s="15">
        <f t="shared" si="5"/>
        <v>41.024478410381789</v>
      </c>
      <c r="F58" s="29">
        <v>49</v>
      </c>
      <c r="G58" s="28">
        <v>857</v>
      </c>
      <c r="H58" s="16">
        <f>G58*Paramètres!K$2*Paramètres!I$2</f>
        <v>388.9923</v>
      </c>
      <c r="I58" s="16">
        <f t="shared" si="6"/>
        <v>89.541411587070584</v>
      </c>
      <c r="J58" s="16">
        <f t="shared" si="0"/>
        <v>478.53371158707057</v>
      </c>
      <c r="K58" s="17">
        <f t="shared" si="8"/>
        <v>833.44621434748115</v>
      </c>
      <c r="L58" s="28">
        <f t="shared" si="7"/>
        <v>0</v>
      </c>
      <c r="M58" s="43">
        <f>L58*0.35*44/12</f>
        <v>0</v>
      </c>
      <c r="N58" s="68"/>
      <c r="O58" s="68"/>
      <c r="P58" s="68"/>
      <c r="Q58" s="54">
        <f>EXP(-[2]Paramètres!D$11)*Q57+(1-EXP(-[2]Paramètres!D$11))*N57*M57/[2]Paramètres!D$11</f>
        <v>0</v>
      </c>
      <c r="R58" s="54">
        <f>EXP(-Paramètres!C$11)*R57+(1-EXP(-Paramètres!C$11))*0.56*M57/Paramètres!C$11</f>
        <v>278.53745500275278</v>
      </c>
      <c r="S58" s="41">
        <f>EXP(-Paramètres!D$11)*R57+(1-EXP(-Paramètres!D$11))*0.44*M57/Paramètres!D$11</f>
        <v>202.49290230917262</v>
      </c>
      <c r="T58" s="56">
        <f t="shared" si="15"/>
        <v>481.0303573119254</v>
      </c>
      <c r="U58"/>
    </row>
    <row r="59" spans="1:21" x14ac:dyDescent="0.25">
      <c r="A59" s="13">
        <f t="shared" si="14"/>
        <v>56</v>
      </c>
      <c r="B59" s="14">
        <f t="shared" si="14"/>
        <v>56</v>
      </c>
      <c r="C59" s="15">
        <f t="shared" si="3"/>
        <v>31.919999999999998</v>
      </c>
      <c r="D59" s="15">
        <f t="shared" si="4"/>
        <v>9.8297399379525086</v>
      </c>
      <c r="E59" s="15">
        <f t="shared" si="5"/>
        <v>41.749739937952505</v>
      </c>
      <c r="F59" s="29">
        <v>49</v>
      </c>
      <c r="G59" s="28">
        <v>784</v>
      </c>
      <c r="H59" s="16">
        <f>G59*Paramètres!K$2*Paramètres!I$2</f>
        <v>355.85759999999999</v>
      </c>
      <c r="I59" s="16">
        <f t="shared" si="6"/>
        <v>82.767484341475438</v>
      </c>
      <c r="J59" s="16">
        <f t="shared" si="0"/>
        <v>438.62508434147543</v>
      </c>
      <c r="K59" s="17">
        <f t="shared" si="8"/>
        <v>763.93868856140307</v>
      </c>
      <c r="L59" s="28">
        <f t="shared" si="7"/>
        <v>73</v>
      </c>
      <c r="M59" s="43">
        <f>L59*0.35*44/12</f>
        <v>93.683333333333323</v>
      </c>
      <c r="N59" s="68">
        <v>0</v>
      </c>
      <c r="O59" s="68">
        <v>0.56000000000000005</v>
      </c>
      <c r="P59" s="68">
        <v>0.44</v>
      </c>
      <c r="Q59" s="54">
        <f>EXP(-[2]Paramètres!D$11)*Q58+(1-EXP(-[2]Paramètres!D$11))*N58*M58/[2]Paramètres!D$11</f>
        <v>0</v>
      </c>
      <c r="R59" s="62">
        <f>R58</f>
        <v>278.53745500275278</v>
      </c>
      <c r="S59" s="28">
        <f>S58</f>
        <v>202.49290230917262</v>
      </c>
      <c r="T59" s="56">
        <f t="shared" si="15"/>
        <v>481.0303573119254</v>
      </c>
      <c r="U59"/>
    </row>
    <row r="60" spans="1:21" x14ac:dyDescent="0.25">
      <c r="A60" s="13">
        <f t="shared" si="14"/>
        <v>57</v>
      </c>
      <c r="B60" s="14">
        <f t="shared" si="14"/>
        <v>57</v>
      </c>
      <c r="C60" s="15">
        <f t="shared" si="3"/>
        <v>32.489999999999995</v>
      </c>
      <c r="D60" s="15">
        <f t="shared" si="4"/>
        <v>9.9846790604019109</v>
      </c>
      <c r="E60" s="15">
        <f t="shared" si="5"/>
        <v>42.474679060401904</v>
      </c>
      <c r="F60" s="29">
        <v>50</v>
      </c>
      <c r="G60" s="28">
        <v>813.8</v>
      </c>
      <c r="H60" s="16">
        <f>G60*Paramètres!K$2*Paramètres!I$2</f>
        <v>369.38382000000001</v>
      </c>
      <c r="I60" s="16">
        <f t="shared" si="6"/>
        <v>85.54123365660837</v>
      </c>
      <c r="J60" s="16">
        <f t="shared" si="0"/>
        <v>454.92505365660838</v>
      </c>
      <c r="K60" s="17">
        <f t="shared" si="8"/>
        <v>792.32780178525957</v>
      </c>
      <c r="L60" s="28">
        <f t="shared" si="7"/>
        <v>0</v>
      </c>
      <c r="M60" s="43">
        <f>L60*0.35*44/12</f>
        <v>0</v>
      </c>
      <c r="N60" s="68"/>
      <c r="O60" s="68"/>
      <c r="P60" s="68"/>
      <c r="Q60" s="54">
        <f>EXP(-[2]Paramètres!D$11)*Q59+(1-EXP(-[2]Paramètres!D$11))*N59*M59/[2]Paramètres!D$11</f>
        <v>0</v>
      </c>
      <c r="R60" s="54">
        <f>EXP(-Paramètres!C$11)*R59+(1-EXP(-Paramètres!C$11))*0.56*M59/Paramètres!C$11</f>
        <v>322.66288855091153</v>
      </c>
      <c r="S60" s="41">
        <f>EXP(-Paramètres!D$11)*R59+(1-EXP(-Paramètres!D$11))*0.44*M59/Paramètres!D$11</f>
        <v>231.79176984779522</v>
      </c>
      <c r="T60" s="56">
        <f t="shared" si="15"/>
        <v>554.45465839870678</v>
      </c>
      <c r="U60"/>
    </row>
    <row r="61" spans="1:21" x14ac:dyDescent="0.25">
      <c r="A61" s="13">
        <f t="shared" si="14"/>
        <v>58</v>
      </c>
      <c r="B61" s="14">
        <f t="shared" si="14"/>
        <v>58</v>
      </c>
      <c r="C61" s="15">
        <f t="shared" si="3"/>
        <v>33.059999999999995</v>
      </c>
      <c r="D61" s="15">
        <f t="shared" si="4"/>
        <v>10.139302086554652</v>
      </c>
      <c r="E61" s="15">
        <f t="shared" si="5"/>
        <v>43.199302086554646</v>
      </c>
      <c r="F61" s="29">
        <v>51</v>
      </c>
      <c r="G61" s="28">
        <v>843.6</v>
      </c>
      <c r="H61" s="16">
        <f>G61*Paramètres!K$2*Paramètres!I$2</f>
        <v>382.91003999999998</v>
      </c>
      <c r="I61" s="16">
        <f t="shared" si="6"/>
        <v>88.303182589750847</v>
      </c>
      <c r="J61" s="16">
        <f t="shared" si="0"/>
        <v>471.21322258975084</v>
      </c>
      <c r="K61" s="17">
        <f t="shared" si="8"/>
        <v>820.6963626771493</v>
      </c>
      <c r="L61" s="28">
        <f t="shared" si="7"/>
        <v>0</v>
      </c>
      <c r="M61" s="43">
        <f>L61*0.35*44/12</f>
        <v>0</v>
      </c>
      <c r="N61" s="68"/>
      <c r="O61" s="68"/>
      <c r="P61" s="68"/>
      <c r="Q61" s="54">
        <f>EXP(-[2]Paramètres!D$11)*Q60+(1-EXP(-[2]Paramètres!D$11))*N60*M60/[2]Paramètres!D$11</f>
        <v>0</v>
      </c>
      <c r="R61" s="54">
        <f>EXP(-Paramètres!C$11)*R60+(1-EXP(-Paramètres!C$11))*0.56*M60/Paramètres!C$11</f>
        <v>313.83965489538298</v>
      </c>
      <c r="S61" s="41">
        <f>EXP(-Paramètres!D$11)*R60+(1-EXP(-Paramètres!D$11))*0.44*M60/Paramètres!D$11</f>
        <v>228.1571165315888</v>
      </c>
      <c r="T61" s="56">
        <f t="shared" ref="T61:T66" si="16">S61+R61</f>
        <v>541.9967714269718</v>
      </c>
      <c r="U61"/>
    </row>
    <row r="62" spans="1:21" x14ac:dyDescent="0.25">
      <c r="A62" s="13">
        <f t="shared" si="14"/>
        <v>59</v>
      </c>
      <c r="B62" s="14">
        <f t="shared" si="14"/>
        <v>59</v>
      </c>
      <c r="C62" s="15">
        <f t="shared" si="3"/>
        <v>33.629999999999995</v>
      </c>
      <c r="D62" s="15">
        <f t="shared" si="4"/>
        <v>10.293615095225292</v>
      </c>
      <c r="E62" s="15">
        <f t="shared" si="5"/>
        <v>43.923615095225287</v>
      </c>
      <c r="F62" s="29">
        <v>52</v>
      </c>
      <c r="G62" s="28">
        <v>873.4</v>
      </c>
      <c r="H62" s="16">
        <f>G62*Paramètres!K$2*Paramètres!I$2</f>
        <v>396.43626</v>
      </c>
      <c r="I62" s="16">
        <f t="shared" si="6"/>
        <v>91.053795748921786</v>
      </c>
      <c r="J62" s="16">
        <f t="shared" si="0"/>
        <v>487.4900557489218</v>
      </c>
      <c r="K62" s="17">
        <f t="shared" si="8"/>
        <v>849.04518042937218</v>
      </c>
      <c r="L62" s="28">
        <f t="shared" si="7"/>
        <v>0</v>
      </c>
      <c r="M62" s="43">
        <f>L62*0.35*44/12</f>
        <v>0</v>
      </c>
      <c r="N62" s="68"/>
      <c r="O62" s="68"/>
      <c r="P62" s="68"/>
      <c r="Q62" s="54">
        <f>EXP(-[2]Paramètres!D$11)*Q61+(1-EXP(-[2]Paramètres!D$11))*N61*M61/[2]Paramètres!D$11</f>
        <v>0</v>
      </c>
      <c r="R62" s="54">
        <f>EXP(-Paramètres!C$11)*R61+(1-EXP(-Paramètres!C$11))*0.56*M61/Paramètres!C$11</f>
        <v>305.25769302815854</v>
      </c>
      <c r="S62" s="41">
        <f>EXP(-Paramètres!D$11)*R61+(1-EXP(-Paramètres!D$11))*0.44*M61/Paramètres!D$11</f>
        <v>221.91814818177119</v>
      </c>
      <c r="T62" s="56">
        <f t="shared" si="16"/>
        <v>527.17584120992979</v>
      </c>
      <c r="U62"/>
    </row>
    <row r="63" spans="1:21" x14ac:dyDescent="0.25">
      <c r="A63" s="13">
        <f t="shared" si="14"/>
        <v>60</v>
      </c>
      <c r="B63" s="14">
        <f t="shared" si="14"/>
        <v>60</v>
      </c>
      <c r="C63" s="15">
        <f t="shared" si="3"/>
        <v>34.199999999999996</v>
      </c>
      <c r="D63" s="15">
        <f t="shared" si="4"/>
        <v>10.447623947357867</v>
      </c>
      <c r="E63" s="15">
        <f t="shared" si="5"/>
        <v>44.647623947357864</v>
      </c>
      <c r="F63" s="29">
        <v>53</v>
      </c>
      <c r="G63">
        <v>903.2</v>
      </c>
      <c r="H63" s="16">
        <f>G63*Paramètres!K$2*Paramètres!I$2</f>
        <v>409.96248000000003</v>
      </c>
      <c r="I63" s="16">
        <f t="shared" si="6"/>
        <v>93.793504239276487</v>
      </c>
      <c r="J63" s="16">
        <f t="shared" si="0"/>
        <v>503.75598423927653</v>
      </c>
      <c r="K63" s="17">
        <f t="shared" si="8"/>
        <v>877.37500588340663</v>
      </c>
      <c r="L63" s="28">
        <f t="shared" si="7"/>
        <v>0</v>
      </c>
      <c r="M63" s="43">
        <f>L63*0.35*44/12</f>
        <v>0</v>
      </c>
      <c r="N63" s="68"/>
      <c r="O63" s="68"/>
      <c r="P63" s="68"/>
      <c r="Q63" s="54">
        <f>EXP(-[2]Paramètres!D$11)*Q62+(1-EXP(-[2]Paramètres!D$11))*N62*M62/[2]Paramètres!D$11</f>
        <v>0</v>
      </c>
      <c r="R63" s="54">
        <f>EXP(-Paramètres!C$11)*R62+(1-EXP(-Paramètres!C$11))*0.56*M62/Paramètres!C$11</f>
        <v>296.91040535949912</v>
      </c>
      <c r="S63" s="41">
        <f>EXP(-Paramètres!D$11)*R62+(1-EXP(-Paramètres!D$11))*0.44*M62/Paramètres!D$11</f>
        <v>215.84978474957242</v>
      </c>
      <c r="T63" s="56">
        <f t="shared" si="16"/>
        <v>512.76019010907157</v>
      </c>
      <c r="U63"/>
    </row>
    <row r="64" spans="1:21" x14ac:dyDescent="0.25">
      <c r="A64" s="46"/>
      <c r="B64" s="48"/>
      <c r="C64" s="57"/>
      <c r="D64" s="57"/>
      <c r="E64" s="57"/>
      <c r="F64" s="27">
        <v>54</v>
      </c>
      <c r="G64" s="28">
        <v>933</v>
      </c>
      <c r="H64" s="16">
        <f>G64*Paramètres!K$2*Paramètres!I$2</f>
        <v>423.48870000000005</v>
      </c>
      <c r="I64" s="16">
        <f t="shared" ref="I64:I72" si="17">EXP(-1.0587+0.8836*LN(H64)+0.284)</f>
        <v>96.522709103877816</v>
      </c>
      <c r="J64" s="16">
        <f t="shared" ref="J64:J72" si="18">H64+I64</f>
        <v>520.0114091038779</v>
      </c>
      <c r="K64" s="17">
        <f t="shared" ref="K64:K72" si="19">J64*0.475*44/12</f>
        <v>905.6865375225874</v>
      </c>
      <c r="L64" s="28">
        <f t="shared" si="7"/>
        <v>0</v>
      </c>
      <c r="M64" s="43">
        <f>L64*0.35*44/12</f>
        <v>0</v>
      </c>
      <c r="N64" s="68"/>
      <c r="O64" s="68"/>
      <c r="P64" s="68"/>
      <c r="Q64" s="54">
        <f>EXP(-[2]Paramètres!D$11)*Q63+(1-EXP(-[2]Paramètres!D$11))*N63*M63/[2]Paramètres!D$11</f>
        <v>0</v>
      </c>
      <c r="R64" s="54">
        <f>EXP(-Paramètres!C$11)*R63+(1-EXP(-Paramètres!C$11))*0.56*M63/Paramètres!C$11</f>
        <v>288.79137471110403</v>
      </c>
      <c r="S64" s="41">
        <f>EXP(-Paramètres!D$11)*R63+(1-EXP(-Paramètres!D$11))*0.44*M63/Paramètres!D$11</f>
        <v>209.94736103454849</v>
      </c>
      <c r="T64" s="56">
        <f t="shared" si="16"/>
        <v>498.73873574565255</v>
      </c>
      <c r="U64"/>
    </row>
    <row r="65" spans="1:21" x14ac:dyDescent="0.25">
      <c r="A65" s="46"/>
      <c r="B65" s="48"/>
      <c r="C65" s="57"/>
      <c r="D65" s="57"/>
      <c r="E65" s="57"/>
      <c r="F65" s="27">
        <v>54</v>
      </c>
      <c r="G65" s="28">
        <v>933</v>
      </c>
      <c r="H65" s="16">
        <f>G65*Paramètres!K$2*Paramètres!I$2</f>
        <v>423.48870000000005</v>
      </c>
      <c r="I65" s="16">
        <f t="shared" si="17"/>
        <v>96.522709103877816</v>
      </c>
      <c r="J65" s="16">
        <f t="shared" si="18"/>
        <v>520.0114091038779</v>
      </c>
      <c r="K65" s="17">
        <f t="shared" si="19"/>
        <v>905.6865375225874</v>
      </c>
      <c r="L65" s="28">
        <f t="shared" si="7"/>
        <v>0</v>
      </c>
      <c r="M65" s="43">
        <f>L65*0.35*44/12</f>
        <v>0</v>
      </c>
      <c r="N65" s="68">
        <v>0</v>
      </c>
      <c r="O65" s="68">
        <v>0.56000000000000005</v>
      </c>
      <c r="P65" s="68">
        <v>0.44</v>
      </c>
      <c r="Q65" s="54">
        <f>EXP(-[2]Paramètres!D$11)*Q64+(1-EXP(-[2]Paramètres!D$11))*N64*M64/[2]Paramètres!D$11</f>
        <v>0</v>
      </c>
      <c r="R65" s="62">
        <f>R64</f>
        <v>288.79137471110403</v>
      </c>
      <c r="S65" s="28">
        <f>S64</f>
        <v>209.94736103454849</v>
      </c>
      <c r="T65" s="56">
        <f t="shared" si="16"/>
        <v>498.73873574565255</v>
      </c>
      <c r="U65"/>
    </row>
    <row r="66" spans="1:21" x14ac:dyDescent="0.25">
      <c r="A66" s="46"/>
      <c r="B66" s="48"/>
      <c r="C66" s="57"/>
      <c r="D66" s="57"/>
      <c r="E66" s="57"/>
      <c r="F66" s="27">
        <v>55</v>
      </c>
      <c r="G66" s="28">
        <v>982</v>
      </c>
      <c r="H66" s="16">
        <f>G66*Paramètres!K$2*Paramètres!I$2</f>
        <v>445.72980000000007</v>
      </c>
      <c r="I66" s="16">
        <f t="shared" si="17"/>
        <v>100.9884700853892</v>
      </c>
      <c r="J66" s="16">
        <f t="shared" si="18"/>
        <v>546.71827008538924</v>
      </c>
      <c r="K66" s="17">
        <f t="shared" si="19"/>
        <v>952.20098706538636</v>
      </c>
      <c r="L66" s="28">
        <f t="shared" si="7"/>
        <v>0</v>
      </c>
      <c r="M66" s="43">
        <f>L66*0.35*44/12</f>
        <v>0</v>
      </c>
      <c r="N66" s="68"/>
      <c r="O66" s="68"/>
      <c r="P66" s="68"/>
      <c r="Q66" s="54">
        <f>EXP(-[2]Paramètres!D$11)*Q65+(1-EXP(-[2]Paramètres!D$11))*N65*M65/[2]Paramètres!D$11</f>
        <v>0</v>
      </c>
      <c r="R66" s="54">
        <f>EXP(-Paramètres!C$11)*R65+(1-EXP(-Paramètres!C$11))*0.56*M65/Paramètres!C$11</f>
        <v>280.89435938275051</v>
      </c>
      <c r="S66" s="41">
        <f>EXP(-Paramètres!D$11)*R65+(1-EXP(-Paramètres!D$11))*0.44*M65/Paramètres!D$11</f>
        <v>204.2063394064069</v>
      </c>
      <c r="T66" s="56">
        <f t="shared" si="16"/>
        <v>485.10069878915738</v>
      </c>
      <c r="U66"/>
    </row>
    <row r="67" spans="1:21" x14ac:dyDescent="0.25">
      <c r="A67" s="46"/>
      <c r="B67" s="48"/>
      <c r="C67" s="57"/>
      <c r="D67" s="57"/>
      <c r="E67" s="57"/>
      <c r="F67" s="27">
        <v>56</v>
      </c>
      <c r="G67" s="28">
        <v>1031</v>
      </c>
      <c r="H67" s="16">
        <f>G67*Paramètres!K$2*Paramètres!I$2</f>
        <v>467.97090000000003</v>
      </c>
      <c r="I67" s="16">
        <f t="shared" si="17"/>
        <v>105.42835711618329</v>
      </c>
      <c r="J67" s="16">
        <f t="shared" si="18"/>
        <v>573.39925711618332</v>
      </c>
      <c r="K67" s="17">
        <f t="shared" si="19"/>
        <v>998.67037281068588</v>
      </c>
      <c r="L67" s="28">
        <f t="shared" si="7"/>
        <v>0</v>
      </c>
      <c r="M67" s="43">
        <f>L67*0.35*44/12</f>
        <v>0</v>
      </c>
      <c r="N67" s="68"/>
      <c r="O67" s="68"/>
      <c r="P67" s="68"/>
      <c r="Q67" s="54">
        <f>EXP(-[2]Paramètres!D$11)*Q66+(1-EXP(-[2]Paramètres!D$11))*N66*M66/[2]Paramètres!D$11</f>
        <v>0</v>
      </c>
      <c r="R67" s="54">
        <f>EXP(-Paramètres!C$11)*R66+(1-EXP(-Paramètres!C$11))*0.56*M66/Paramètres!C$11</f>
        <v>273.21328835383684</v>
      </c>
      <c r="S67" s="41">
        <f>EXP(-Paramètres!D$11)*R66+(1-EXP(-Paramètres!D$11))*0.44*M66/Paramètres!D$11</f>
        <v>198.62230631659401</v>
      </c>
      <c r="T67" s="56">
        <f t="shared" ref="T67:T72" si="20">S67+R67</f>
        <v>471.83559467043085</v>
      </c>
      <c r="U67"/>
    </row>
    <row r="68" spans="1:21" x14ac:dyDescent="0.25">
      <c r="A68" s="46"/>
      <c r="B68" s="48"/>
      <c r="C68" s="57"/>
      <c r="D68" s="57"/>
      <c r="E68" s="57"/>
      <c r="F68" s="27">
        <v>57</v>
      </c>
      <c r="G68" s="28">
        <v>1080</v>
      </c>
      <c r="H68" s="16">
        <f>G68*Paramètres!K$2*Paramètres!I$2</f>
        <v>490.21200000000005</v>
      </c>
      <c r="I68" s="16">
        <f t="shared" si="17"/>
        <v>109.84374030121892</v>
      </c>
      <c r="J68" s="16">
        <f t="shared" si="18"/>
        <v>600.05574030121898</v>
      </c>
      <c r="K68" s="17">
        <f t="shared" si="19"/>
        <v>1045.0970810246229</v>
      </c>
      <c r="L68" s="28">
        <f t="shared" si="7"/>
        <v>0</v>
      </c>
      <c r="M68" s="43">
        <f>L68*0.35*44/12</f>
        <v>0</v>
      </c>
      <c r="N68" s="68"/>
      <c r="O68" s="68"/>
      <c r="P68" s="68"/>
      <c r="Q68" s="54">
        <f>EXP(-[2]Paramètres!D$11)*Q67+(1-EXP(-[2]Paramètres!D$11))*N67*M67/[2]Paramètres!D$11</f>
        <v>0</v>
      </c>
      <c r="R68" s="54">
        <f>EXP(-Paramètres!C$11)*R67+(1-EXP(-Paramètres!C$11))*0.56*M67/Paramètres!C$11</f>
        <v>265.74225661613877</v>
      </c>
      <c r="S68" s="41">
        <f>EXP(-Paramètres!D$11)*R67+(1-EXP(-Paramètres!D$11))*0.44*M67/Paramètres!D$11</f>
        <v>193.19096890527365</v>
      </c>
      <c r="T68" s="56">
        <f t="shared" si="20"/>
        <v>458.9332255214124</v>
      </c>
      <c r="U68"/>
    </row>
    <row r="69" spans="1:21" x14ac:dyDescent="0.25">
      <c r="A69" s="46"/>
      <c r="B69" s="48"/>
      <c r="C69" s="57"/>
      <c r="D69" s="57"/>
      <c r="E69" s="57"/>
      <c r="F69" s="27">
        <v>58</v>
      </c>
      <c r="G69" s="28">
        <v>1129</v>
      </c>
      <c r="H69" s="16">
        <f>G69*Paramètres!K$2*Paramètres!I$2</f>
        <v>512.45309999999995</v>
      </c>
      <c r="I69" s="16">
        <f t="shared" si="17"/>
        <v>114.23585839341081</v>
      </c>
      <c r="J69" s="16">
        <f t="shared" si="18"/>
        <v>626.68895839341076</v>
      </c>
      <c r="K69" s="17">
        <f t="shared" si="19"/>
        <v>1091.483269201857</v>
      </c>
      <c r="L69" s="28">
        <f t="shared" ref="L69:L72" si="21">IF(G68-G69&gt;0,G68-G69,0)</f>
        <v>0</v>
      </c>
      <c r="M69" s="43">
        <f>L69*0.35*44/12</f>
        <v>0</v>
      </c>
      <c r="N69" s="68"/>
      <c r="O69" s="68"/>
      <c r="P69" s="68"/>
      <c r="Q69" s="54">
        <f>EXP(-[2]Paramètres!D$11)*Q68+(1-EXP(-[2]Paramètres!D$11))*N68*M68/[2]Paramètres!D$11</f>
        <v>0</v>
      </c>
      <c r="R69" s="54">
        <f>EXP(-Paramètres!C$11)*R68+(1-EXP(-Paramètres!C$11))*0.56*M68/Paramètres!C$11</f>
        <v>258.47552063419255</v>
      </c>
      <c r="S69" s="41">
        <f>EXP(-Paramètres!D$11)*R68+(1-EXP(-Paramètres!D$11))*0.44*M68/Paramètres!D$11</f>
        <v>187.90815170108741</v>
      </c>
      <c r="T69" s="56">
        <f t="shared" si="20"/>
        <v>446.38367233527993</v>
      </c>
      <c r="U69"/>
    </row>
    <row r="70" spans="1:21" x14ac:dyDescent="0.25">
      <c r="A70" s="46"/>
      <c r="B70" s="48"/>
      <c r="C70" s="57"/>
      <c r="D70" s="57"/>
      <c r="E70" s="57"/>
      <c r="F70" s="27">
        <v>59</v>
      </c>
      <c r="G70" s="28">
        <v>1178</v>
      </c>
      <c r="H70" s="16">
        <f>G70*Paramètres!K$2*Paramètres!I$2</f>
        <v>534.69420000000002</v>
      </c>
      <c r="I70" s="16">
        <f t="shared" si="17"/>
        <v>118.60583653809212</v>
      </c>
      <c r="J70" s="16">
        <f t="shared" si="18"/>
        <v>653.30003653809217</v>
      </c>
      <c r="K70" s="17">
        <f t="shared" si="19"/>
        <v>1137.8308969705106</v>
      </c>
      <c r="L70" s="28">
        <f t="shared" si="21"/>
        <v>0</v>
      </c>
      <c r="M70" s="43">
        <f>L70*0.35*44/12</f>
        <v>0</v>
      </c>
      <c r="N70" s="68"/>
      <c r="O70" s="68"/>
      <c r="P70" s="68"/>
      <c r="Q70" s="54">
        <f>EXP(-[2]Paramètres!D$11)*Q69+(1-EXP(-[2]Paramètres!D$11))*N69*M69/[2]Paramètres!D$11</f>
        <v>0</v>
      </c>
      <c r="R70" s="54">
        <f>EXP(-Paramètres!C$11)*R69+(1-EXP(-Paramètres!C$11))*0.56*M69/Paramètres!C$11</f>
        <v>251.40749392981368</v>
      </c>
      <c r="S70" s="41">
        <f>EXP(-Paramètres!D$11)*R69+(1-EXP(-Paramètres!D$11))*0.44*M69/Paramètres!D$11</f>
        <v>182.76979341116095</v>
      </c>
      <c r="T70" s="56">
        <f t="shared" si="20"/>
        <v>434.17728734097466</v>
      </c>
      <c r="U70"/>
    </row>
    <row r="71" spans="1:21" x14ac:dyDescent="0.25">
      <c r="A71" s="46"/>
      <c r="B71" s="48"/>
      <c r="C71" s="57"/>
      <c r="D71" s="57"/>
      <c r="E71" s="57"/>
      <c r="F71" s="13">
        <v>59</v>
      </c>
      <c r="G71" s="28">
        <v>1057</v>
      </c>
      <c r="H71" s="16">
        <f>G71*Paramètres!K$2*Paramètres!I$2</f>
        <v>479.77230000000003</v>
      </c>
      <c r="I71" s="16">
        <f t="shared" si="17"/>
        <v>107.77418345379427</v>
      </c>
      <c r="J71" s="16">
        <f t="shared" si="18"/>
        <v>587.54648345379428</v>
      </c>
      <c r="K71" s="17">
        <f t="shared" si="19"/>
        <v>1023.3101253486916</v>
      </c>
      <c r="L71" s="28">
        <f t="shared" si="21"/>
        <v>121</v>
      </c>
      <c r="M71" s="43">
        <f>L71*0.35*44/12</f>
        <v>155.2833333333333</v>
      </c>
      <c r="N71" s="68">
        <v>0</v>
      </c>
      <c r="O71" s="68">
        <v>0.56000000000000005</v>
      </c>
      <c r="P71" s="68">
        <v>0.44</v>
      </c>
      <c r="Q71" s="54">
        <f>EXP(-[2]Paramètres!D$11)*Q70+(1-EXP(-[2]Paramètres!D$11))*N70*M70/[2]Paramètres!D$11</f>
        <v>0</v>
      </c>
      <c r="R71" s="62">
        <f>R70</f>
        <v>251.40749392981368</v>
      </c>
      <c r="S71" s="28">
        <f>S70</f>
        <v>182.76979341116095</v>
      </c>
      <c r="T71" s="56">
        <f t="shared" si="20"/>
        <v>434.17728734097466</v>
      </c>
      <c r="U71"/>
    </row>
    <row r="72" spans="1:21" x14ac:dyDescent="0.25">
      <c r="A72" s="46"/>
      <c r="B72" s="48"/>
      <c r="C72" s="57"/>
      <c r="D72" s="57"/>
      <c r="E72" s="57"/>
      <c r="F72" s="13">
        <v>60</v>
      </c>
      <c r="G72" s="28">
        <v>1068</v>
      </c>
      <c r="H72" s="16">
        <f>G72*Paramètres!K$2*Paramètres!I$2</f>
        <v>484.76519999999999</v>
      </c>
      <c r="I72" s="16">
        <f t="shared" si="17"/>
        <v>108.76461858886444</v>
      </c>
      <c r="J72" s="16">
        <f t="shared" si="18"/>
        <v>593.52981858886437</v>
      </c>
      <c r="K72" s="17">
        <f t="shared" si="19"/>
        <v>1033.7311007089386</v>
      </c>
      <c r="L72" s="28">
        <f t="shared" si="21"/>
        <v>0</v>
      </c>
      <c r="M72" s="43">
        <f>L72*0.35*44/12</f>
        <v>0</v>
      </c>
      <c r="N72" s="68"/>
      <c r="O72" s="68"/>
      <c r="P72" s="68"/>
      <c r="Q72" s="54">
        <f>EXP(-[2]Paramètres!D$11)*Q71+(1-EXP(-[2]Paramètres!D$11))*N71*M71/[2]Paramètres!D$11</f>
        <v>0</v>
      </c>
      <c r="R72" s="52"/>
      <c r="S72"/>
      <c r="T72" s="51"/>
      <c r="U72"/>
    </row>
    <row r="73" spans="1:21" x14ac:dyDescent="0.25">
      <c r="A73" s="46"/>
      <c r="B73" s="48"/>
      <c r="C73" s="57"/>
      <c r="D73" s="57"/>
      <c r="E73" s="57"/>
      <c r="F73" s="46"/>
      <c r="G73" s="47">
        <v>1079</v>
      </c>
      <c r="H73" s="16">
        <f>G73*Paramètres!K$2*Paramètres!I$2</f>
        <v>489.75810000000001</v>
      </c>
      <c r="I73" s="16">
        <f t="shared" ref="I73:I94" si="22">EXP(-1.0587+0.8836*LN(H73)+0.284)</f>
        <v>109.75386700392522</v>
      </c>
      <c r="J73" s="16">
        <f t="shared" ref="J73:J94" si="23">H73+I73</f>
        <v>599.51196700392529</v>
      </c>
      <c r="K73" s="17">
        <f t="shared" ref="K73:K94" si="24">J73*0.475*44/12</f>
        <v>1044.1500091985033</v>
      </c>
      <c r="L73" s="47"/>
      <c r="M73" s="43">
        <f>L73*0.35*44/12</f>
        <v>0</v>
      </c>
      <c r="N73" s="69"/>
      <c r="O73" s="69"/>
      <c r="P73" s="69"/>
      <c r="Q73" s="70">
        <f>EXP(-[2]Paramètres!D$11)*Q72+(1-EXP(-[2]Paramètres!D$11))*N72*M72/[2]Paramètres!D$11</f>
        <v>0</v>
      </c>
      <c r="R73" s="52"/>
      <c r="S73"/>
      <c r="T73" s="51"/>
      <c r="U73"/>
    </row>
    <row r="74" spans="1:21" x14ac:dyDescent="0.25">
      <c r="A74" s="46"/>
      <c r="B74" s="48"/>
      <c r="C74" s="57"/>
      <c r="D74" s="57"/>
      <c r="E74" s="57"/>
      <c r="F74" s="46"/>
      <c r="G74" s="47">
        <v>1090</v>
      </c>
      <c r="H74" s="16">
        <f>G74*Paramètres!K$2*Paramètres!I$2</f>
        <v>494.75100000000003</v>
      </c>
      <c r="I74" s="16">
        <f t="shared" si="22"/>
        <v>110.74194219782717</v>
      </c>
      <c r="J74" s="16">
        <f t="shared" si="23"/>
        <v>605.49294219782723</v>
      </c>
      <c r="K74" s="17">
        <f t="shared" si="24"/>
        <v>1054.5668743278825</v>
      </c>
      <c r="L74" s="47"/>
      <c r="M74" s="43">
        <f>L74*0.35*44/12</f>
        <v>0</v>
      </c>
      <c r="N74" s="69"/>
      <c r="O74" s="69"/>
      <c r="P74" s="69"/>
      <c r="Q74" s="70">
        <f>EXP(-[2]Paramètres!D$11)*Q73+(1-EXP(-[2]Paramètres!D$11))*N73*M73/[2]Paramètres!D$11</f>
        <v>0</v>
      </c>
      <c r="R74" s="52"/>
      <c r="S74"/>
      <c r="T74" s="51"/>
      <c r="U74"/>
    </row>
    <row r="75" spans="1:21" x14ac:dyDescent="0.25">
      <c r="A75" s="46"/>
      <c r="B75" s="48"/>
      <c r="C75" s="57"/>
      <c r="D75" s="57"/>
      <c r="E75" s="57"/>
      <c r="F75" s="46"/>
      <c r="G75" s="47">
        <v>1101</v>
      </c>
      <c r="H75" s="16">
        <f>G75*Paramètres!K$2*Paramètres!I$2</f>
        <v>499.74390000000005</v>
      </c>
      <c r="I75" s="16">
        <f t="shared" si="22"/>
        <v>111.7288573812651</v>
      </c>
      <c r="J75" s="16">
        <f t="shared" si="23"/>
        <v>611.47275738126518</v>
      </c>
      <c r="K75" s="17">
        <f t="shared" si="24"/>
        <v>1064.9817191057034</v>
      </c>
      <c r="L75" s="47"/>
      <c r="M75" s="43">
        <f>L75*0.35*44/12</f>
        <v>0</v>
      </c>
      <c r="N75" s="69"/>
      <c r="O75" s="69"/>
      <c r="P75" s="69"/>
      <c r="Q75" s="70">
        <f>EXP(-[2]Paramètres!D$11)*Q74+(1-EXP(-[2]Paramètres!D$11))*N74*M74/[2]Paramètres!D$11</f>
        <v>0</v>
      </c>
      <c r="R75" s="52"/>
      <c r="S75"/>
      <c r="T75" s="51"/>
      <c r="U75"/>
    </row>
    <row r="76" spans="1:21" x14ac:dyDescent="0.25">
      <c r="A76" s="46"/>
      <c r="B76" s="48"/>
      <c r="C76" s="57"/>
      <c r="D76" s="57"/>
      <c r="E76" s="57"/>
      <c r="F76" s="46"/>
      <c r="G76" s="47">
        <v>1112</v>
      </c>
      <c r="H76" s="16">
        <f>G76*Paramètres!K$2*Paramètres!I$2</f>
        <v>504.73680000000002</v>
      </c>
      <c r="I76" s="16">
        <f t="shared" si="22"/>
        <v>112.71462548574512</v>
      </c>
      <c r="J76" s="16">
        <f t="shared" si="23"/>
        <v>617.45142548574518</v>
      </c>
      <c r="K76" s="17">
        <f t="shared" si="24"/>
        <v>1075.3945660543393</v>
      </c>
      <c r="L76" s="47"/>
      <c r="M76" s="43">
        <f>L76*0.35*44/12</f>
        <v>0</v>
      </c>
      <c r="N76" s="69"/>
      <c r="O76" s="69"/>
      <c r="P76" s="69"/>
      <c r="Q76" s="70">
        <f>EXP(-[2]Paramètres!D$11)*Q75+(1-EXP(-[2]Paramètres!D$11))*N75*M75/[2]Paramètres!D$11</f>
        <v>0</v>
      </c>
      <c r="R76" s="52"/>
      <c r="S76"/>
      <c r="T76" s="51"/>
      <c r="U76"/>
    </row>
    <row r="77" spans="1:21" x14ac:dyDescent="0.25">
      <c r="A77" s="46"/>
      <c r="B77" s="48"/>
      <c r="C77" s="57"/>
      <c r="D77" s="57"/>
      <c r="E77" s="57"/>
      <c r="F77" s="46"/>
      <c r="G77" s="47">
        <v>1004</v>
      </c>
      <c r="H77" s="16">
        <f>G77*Paramètres!K$2*Paramètres!I$2</f>
        <v>455.71559999999999</v>
      </c>
      <c r="I77" s="16">
        <f t="shared" si="22"/>
        <v>102.98500418513709</v>
      </c>
      <c r="J77" s="16">
        <f t="shared" si="23"/>
        <v>558.70060418513708</v>
      </c>
      <c r="K77" s="17">
        <f t="shared" si="24"/>
        <v>973.07021895578043</v>
      </c>
      <c r="L77" s="47"/>
      <c r="M77" s="43">
        <f>L77*0.35*44/12</f>
        <v>0</v>
      </c>
      <c r="N77" s="69">
        <v>0</v>
      </c>
      <c r="O77" s="69">
        <v>0.56000000000000005</v>
      </c>
      <c r="P77" s="69">
        <v>0.44</v>
      </c>
      <c r="Q77" s="70">
        <f>EXP(-[2]Paramètres!D$11)*Q76+(1-EXP(-[2]Paramètres!D$11))*N76*M76/[2]Paramètres!D$11</f>
        <v>0</v>
      </c>
      <c r="R77" s="52"/>
      <c r="S77"/>
      <c r="T77" s="51"/>
      <c r="U77"/>
    </row>
    <row r="78" spans="1:21" x14ac:dyDescent="0.25">
      <c r="A78" s="46"/>
      <c r="B78" s="48"/>
      <c r="C78" s="57"/>
      <c r="D78" s="57"/>
      <c r="E78" s="57"/>
      <c r="F78" s="46"/>
      <c r="G78" s="47">
        <v>1023.2</v>
      </c>
      <c r="H78" s="16">
        <f>G78*Paramètres!K$2*Paramètres!I$2</f>
        <v>464.43048000000005</v>
      </c>
      <c r="I78" s="16">
        <f t="shared" si="22"/>
        <v>104.7232732029899</v>
      </c>
      <c r="J78" s="16">
        <f t="shared" si="23"/>
        <v>569.15375320298995</v>
      </c>
      <c r="K78" s="17">
        <f t="shared" si="24"/>
        <v>991.27612016187413</v>
      </c>
      <c r="L78" s="47"/>
      <c r="M78" s="43">
        <f>L78*0.35*44/12</f>
        <v>0</v>
      </c>
      <c r="N78" s="69"/>
      <c r="O78" s="69"/>
      <c r="P78" s="69"/>
      <c r="Q78" s="70">
        <f>EXP(-[2]Paramètres!D$11)*Q77+(1-EXP(-[2]Paramètres!D$11))*N77*M77/[2]Paramètres!D$11</f>
        <v>0</v>
      </c>
      <c r="R78" s="52"/>
      <c r="S78"/>
      <c r="T78" s="51"/>
      <c r="U78"/>
    </row>
    <row r="79" spans="1:21" x14ac:dyDescent="0.25">
      <c r="A79" s="46"/>
      <c r="B79" s="48"/>
      <c r="C79" s="57"/>
      <c r="D79" s="57"/>
      <c r="E79" s="57"/>
      <c r="F79" s="46"/>
      <c r="G79" s="47">
        <v>1042.4000000000001</v>
      </c>
      <c r="H79" s="16">
        <f>G79*Paramètres!K$2*Paramètres!I$2</f>
        <v>473.14536000000004</v>
      </c>
      <c r="I79" s="16">
        <f t="shared" si="22"/>
        <v>106.45774939062136</v>
      </c>
      <c r="J79" s="16">
        <f t="shared" si="23"/>
        <v>579.6031093906214</v>
      </c>
      <c r="K79" s="17">
        <f t="shared" si="24"/>
        <v>1009.4754155219989</v>
      </c>
      <c r="L79" s="47"/>
      <c r="M79" s="43">
        <f>L79*0.35*44/12</f>
        <v>0</v>
      </c>
      <c r="N79" s="69"/>
      <c r="O79" s="69"/>
      <c r="P79" s="69"/>
      <c r="Q79" s="70">
        <f>EXP(-[2]Paramètres!D$11)*Q78+(1-EXP(-[2]Paramètres!D$11))*N78*M78/[2]Paramètres!D$11</f>
        <v>0</v>
      </c>
      <c r="R79" s="52"/>
      <c r="S79"/>
      <c r="T79" s="51"/>
      <c r="U79"/>
    </row>
    <row r="80" spans="1:21" x14ac:dyDescent="0.25">
      <c r="A80" s="46"/>
      <c r="B80" s="48"/>
      <c r="C80" s="57"/>
      <c r="D80" s="57"/>
      <c r="E80" s="57"/>
      <c r="F80" s="46"/>
      <c r="G80" s="47">
        <v>1061.5999999999999</v>
      </c>
      <c r="H80" s="16">
        <f>G80*Paramètres!K$2*Paramètres!I$2</f>
        <v>481.86024000000003</v>
      </c>
      <c r="I80" s="16">
        <f t="shared" si="22"/>
        <v>108.18851066536948</v>
      </c>
      <c r="J80" s="16">
        <f t="shared" si="23"/>
        <v>590.04875066536954</v>
      </c>
      <c r="K80" s="17">
        <f t="shared" si="24"/>
        <v>1027.6682407421854</v>
      </c>
      <c r="L80" s="47"/>
      <c r="M80" s="43">
        <f>L80*0.35*44/12</f>
        <v>0</v>
      </c>
      <c r="N80" s="69"/>
      <c r="O80" s="69"/>
      <c r="P80" s="69"/>
      <c r="Q80" s="70">
        <f>EXP(-[2]Paramètres!D$11)*Q79+(1-EXP(-[2]Paramètres!D$11))*N79*M79/[2]Paramètres!D$11</f>
        <v>0</v>
      </c>
      <c r="R80" s="52"/>
      <c r="S80"/>
      <c r="T80" s="51"/>
      <c r="U80"/>
    </row>
    <row r="81" spans="1:21" x14ac:dyDescent="0.25">
      <c r="A81" s="46"/>
      <c r="B81" s="48"/>
      <c r="C81" s="57"/>
      <c r="D81" s="57"/>
      <c r="E81" s="57"/>
      <c r="F81" s="46"/>
      <c r="G81" s="47">
        <v>1080.8</v>
      </c>
      <c r="H81" s="16">
        <f>G81*Paramètres!K$2*Paramètres!I$2</f>
        <v>490.57512000000003</v>
      </c>
      <c r="I81" s="16">
        <f t="shared" si="22"/>
        <v>109.91563196478042</v>
      </c>
      <c r="J81" s="16">
        <f t="shared" si="23"/>
        <v>600.49075196478043</v>
      </c>
      <c r="K81" s="17">
        <f t="shared" si="24"/>
        <v>1045.8547263386592</v>
      </c>
      <c r="L81" s="47"/>
      <c r="M81" s="43">
        <f>L81*0.35*44/12</f>
        <v>0</v>
      </c>
      <c r="N81" s="69"/>
      <c r="O81" s="69"/>
      <c r="P81" s="69"/>
      <c r="Q81" s="70">
        <f>EXP(-[2]Paramètres!D$11)*Q80+(1-EXP(-[2]Paramètres!D$11))*N80*M80/[2]Paramètres!D$11</f>
        <v>0</v>
      </c>
      <c r="R81" s="52"/>
      <c r="S81"/>
      <c r="T81" s="51"/>
      <c r="U81"/>
    </row>
    <row r="82" spans="1:21" x14ac:dyDescent="0.25">
      <c r="A82" s="46"/>
      <c r="B82" s="48"/>
      <c r="C82" s="57"/>
      <c r="D82" s="57"/>
      <c r="E82" s="57"/>
      <c r="F82" s="46"/>
      <c r="G82" s="47">
        <v>1100</v>
      </c>
      <c r="H82" s="16">
        <f>G82*Paramètres!K$2*Paramètres!I$2</f>
        <v>499.28999999999996</v>
      </c>
      <c r="I82" s="16">
        <f t="shared" si="22"/>
        <v>111.63918541143811</v>
      </c>
      <c r="J82" s="16">
        <f t="shared" si="23"/>
        <v>610.92918541143808</v>
      </c>
      <c r="K82" s="17">
        <f t="shared" si="24"/>
        <v>1064.0349979249211</v>
      </c>
      <c r="L82" s="47"/>
      <c r="M82" s="43">
        <f>L82*0.35*44/12</f>
        <v>0</v>
      </c>
      <c r="N82" s="69"/>
      <c r="O82" s="69"/>
      <c r="P82" s="69"/>
      <c r="Q82" s="70">
        <f>EXP(-[2]Paramètres!D$11)*Q81+(1-EXP(-[2]Paramètres!D$11))*N81*M81/[2]Paramètres!D$11</f>
        <v>0</v>
      </c>
      <c r="R82" s="52"/>
      <c r="S82"/>
      <c r="T82" s="51"/>
      <c r="U82"/>
    </row>
    <row r="83" spans="1:21" x14ac:dyDescent="0.25">
      <c r="A83" s="44"/>
      <c r="B83" s="7"/>
      <c r="C83" s="45"/>
      <c r="D83" s="45"/>
      <c r="E83" s="45"/>
      <c r="F83" s="46"/>
      <c r="G83" s="5">
        <v>1100</v>
      </c>
      <c r="H83" s="16">
        <f>G83*Paramètres!K$2*Paramètres!I$2</f>
        <v>499.28999999999996</v>
      </c>
      <c r="I83" s="16">
        <f t="shared" si="22"/>
        <v>111.63918541143811</v>
      </c>
      <c r="J83" s="16">
        <f t="shared" si="23"/>
        <v>610.92918541143808</v>
      </c>
      <c r="K83" s="17">
        <f t="shared" si="24"/>
        <v>1064.0349979249211</v>
      </c>
      <c r="L83" s="47"/>
      <c r="M83" s="43">
        <f>L83*0.35*44/12</f>
        <v>0</v>
      </c>
      <c r="N83" s="69"/>
      <c r="O83" s="69"/>
      <c r="P83" s="69"/>
      <c r="Q83" s="70">
        <f>EXP(-[2]Paramètres!D$11)*Q82+(1-EXP(-[2]Paramètres!D$11))*N82*M82/[2]Paramètres!D$11</f>
        <v>0</v>
      </c>
      <c r="R83" s="52"/>
      <c r="S83"/>
      <c r="T83" s="51"/>
      <c r="U83"/>
    </row>
    <row r="84" spans="1:21" x14ac:dyDescent="0.25">
      <c r="A84" s="44"/>
      <c r="B84" s="7"/>
      <c r="C84" s="45"/>
      <c r="D84" s="45"/>
      <c r="E84" s="45"/>
      <c r="F84" s="46"/>
      <c r="G84" s="47">
        <v>1115.4000000000001</v>
      </c>
      <c r="H84" s="16">
        <f>G84*Paramètres!K$2*Paramètres!I$2</f>
        <v>506.28006000000005</v>
      </c>
      <c r="I84" s="16">
        <f t="shared" si="22"/>
        <v>113.0190873538169</v>
      </c>
      <c r="J84" s="16">
        <f t="shared" si="23"/>
        <v>619.29914735381692</v>
      </c>
      <c r="K84" s="17">
        <f t="shared" si="24"/>
        <v>1078.6126816412311</v>
      </c>
      <c r="L84" s="47"/>
      <c r="M84" s="43">
        <f>L84*0.35*44/12</f>
        <v>0</v>
      </c>
      <c r="N84" s="69"/>
      <c r="O84" s="69"/>
      <c r="P84" s="69"/>
      <c r="Q84" s="70">
        <f>EXP(-[2]Paramètres!D$11)*Q83+(1-EXP(-[2]Paramètres!D$11))*N83*M83/[2]Paramètres!D$11</f>
        <v>0</v>
      </c>
      <c r="R84" s="52"/>
      <c r="S84"/>
      <c r="T84" s="51"/>
      <c r="U84"/>
    </row>
    <row r="85" spans="1:21" x14ac:dyDescent="0.25">
      <c r="A85" s="44"/>
      <c r="B85" s="7"/>
      <c r="C85" s="45"/>
      <c r="D85" s="45"/>
      <c r="E85" s="45"/>
      <c r="F85" s="46"/>
      <c r="G85" s="47">
        <v>1130.8</v>
      </c>
      <c r="H85" s="16">
        <f>G85*Paramètres!K$2*Paramètres!I$2</f>
        <v>513.27012000000002</v>
      </c>
      <c r="I85" s="16">
        <f t="shared" si="22"/>
        <v>114.39677336155617</v>
      </c>
      <c r="J85" s="16">
        <f t="shared" si="23"/>
        <v>627.66689336155616</v>
      </c>
      <c r="K85" s="17">
        <f t="shared" si="24"/>
        <v>1093.1865059380436</v>
      </c>
      <c r="L85" s="47"/>
      <c r="M85" s="43">
        <f>L85*0.35*44/12</f>
        <v>0</v>
      </c>
      <c r="N85" s="69"/>
      <c r="O85" s="69"/>
      <c r="P85" s="69"/>
      <c r="Q85" s="70">
        <f>EXP(-[2]Paramètres!D$11)*Q84+(1-EXP(-[2]Paramètres!D$11))*N84*M84/[2]Paramètres!D$11</f>
        <v>0</v>
      </c>
      <c r="R85" s="52"/>
      <c r="S85"/>
      <c r="T85" s="51"/>
      <c r="U85"/>
    </row>
    <row r="86" spans="1:21" x14ac:dyDescent="0.25">
      <c r="A86" s="44"/>
      <c r="B86" s="7"/>
      <c r="C86" s="45"/>
      <c r="D86" s="45"/>
      <c r="E86" s="45"/>
      <c r="F86" s="46"/>
      <c r="G86" s="47">
        <v>1146.2</v>
      </c>
      <c r="H86" s="16">
        <f>G86*Paramètres!K$2*Paramètres!I$2</f>
        <v>520.26017999999999</v>
      </c>
      <c r="I86" s="16">
        <f t="shared" si="22"/>
        <v>115.77227710089004</v>
      </c>
      <c r="J86" s="16">
        <f t="shared" si="23"/>
        <v>636.03245710089004</v>
      </c>
      <c r="K86" s="17">
        <f t="shared" si="24"/>
        <v>1107.7565294507167</v>
      </c>
      <c r="L86" s="47"/>
      <c r="M86" s="43">
        <f>L86*0.35*44/12</f>
        <v>0</v>
      </c>
      <c r="N86" s="69"/>
      <c r="O86" s="69"/>
      <c r="P86" s="69"/>
      <c r="Q86" s="70">
        <f>EXP(-[2]Paramètres!D$11)*Q85+(1-EXP(-[2]Paramètres!D$11))*N85*M85/[2]Paramètres!D$11</f>
        <v>0</v>
      </c>
      <c r="R86" s="52"/>
      <c r="S86"/>
      <c r="T86" s="51"/>
      <c r="U86"/>
    </row>
    <row r="87" spans="1:21" x14ac:dyDescent="0.25">
      <c r="A87" s="44"/>
      <c r="B87" s="7"/>
      <c r="C87" s="45"/>
      <c r="D87" s="45"/>
      <c r="E87" s="45"/>
      <c r="F87" s="46"/>
      <c r="G87" s="47">
        <v>1161.5999999999999</v>
      </c>
      <c r="H87" s="16">
        <f>G87*Paramètres!K$2*Paramètres!I$2</f>
        <v>527.25023999999996</v>
      </c>
      <c r="I87" s="16">
        <f t="shared" si="22"/>
        <v>117.14563128140382</v>
      </c>
      <c r="J87" s="16">
        <f t="shared" si="23"/>
        <v>644.39587128140374</v>
      </c>
      <c r="K87" s="17">
        <f t="shared" si="24"/>
        <v>1122.322809148445</v>
      </c>
      <c r="L87" s="47"/>
      <c r="M87" s="43">
        <f>L87*0.35*44/12</f>
        <v>0</v>
      </c>
      <c r="N87" s="69"/>
      <c r="O87" s="69"/>
      <c r="P87" s="69"/>
      <c r="Q87" s="70">
        <f>EXP(-[2]Paramètres!D$11)*Q86+(1-EXP(-[2]Paramètres!D$11))*N86*M86/[2]Paramètres!D$11</f>
        <v>0</v>
      </c>
      <c r="R87" s="52"/>
      <c r="S87"/>
      <c r="T87" s="51"/>
      <c r="U87"/>
    </row>
    <row r="88" spans="1:21" x14ac:dyDescent="0.25">
      <c r="A88" s="44"/>
      <c r="B88" s="7"/>
      <c r="C88" s="45"/>
      <c r="D88" s="45"/>
      <c r="E88" s="45"/>
      <c r="F88" s="46"/>
      <c r="G88" s="47">
        <v>1177</v>
      </c>
      <c r="H88" s="16">
        <f>G88*Paramètres!K$2*Paramètres!I$2</f>
        <v>534.24030000000005</v>
      </c>
      <c r="I88" s="16">
        <f t="shared" si="22"/>
        <v>118.51686769553503</v>
      </c>
      <c r="J88" s="16">
        <f t="shared" si="23"/>
        <v>652.75716769553503</v>
      </c>
      <c r="K88" s="17">
        <f t="shared" si="24"/>
        <v>1136.8854004030568</v>
      </c>
      <c r="L88" s="47"/>
      <c r="M88" s="43">
        <f>L88*0.35*44/12</f>
        <v>0</v>
      </c>
      <c r="N88" s="69"/>
      <c r="O88" s="69"/>
      <c r="P88" s="69"/>
      <c r="Q88" s="70">
        <f>EXP(-[2]Paramètres!D$11)*Q87+(1-EXP(-[2]Paramètres!D$11))*N87*M87/[2]Paramètres!D$11</f>
        <v>0</v>
      </c>
      <c r="R88" s="52"/>
      <c r="S88"/>
      <c r="T88" s="51"/>
      <c r="U88"/>
    </row>
    <row r="89" spans="1:21" x14ac:dyDescent="0.25">
      <c r="A89" s="44"/>
      <c r="B89" s="7"/>
      <c r="C89" s="45"/>
      <c r="D89" s="45"/>
      <c r="E89" s="45"/>
      <c r="F89" s="46"/>
      <c r="G89" s="47">
        <v>1092</v>
      </c>
      <c r="H89" s="16">
        <f>G89*Paramètres!K$2*Paramètres!I$2</f>
        <v>495.65880000000004</v>
      </c>
      <c r="I89" s="16">
        <f t="shared" si="22"/>
        <v>110.9214672212816</v>
      </c>
      <c r="J89" s="16">
        <f t="shared" si="23"/>
        <v>606.5802672212817</v>
      </c>
      <c r="K89" s="17">
        <f t="shared" si="24"/>
        <v>1056.4606320770656</v>
      </c>
      <c r="L89" s="47"/>
      <c r="M89" s="43">
        <f>L89*0.35*44/12</f>
        <v>0</v>
      </c>
      <c r="N89" s="69">
        <v>0</v>
      </c>
      <c r="O89" s="69">
        <v>0.56000000000000005</v>
      </c>
      <c r="P89" s="69">
        <v>0.44</v>
      </c>
      <c r="Q89" s="70">
        <f>EXP(-[2]Paramètres!D$11)*Q88+(1-EXP(-[2]Paramètres!D$11))*N88*M88/[2]Paramètres!D$11</f>
        <v>0</v>
      </c>
      <c r="R89" s="52"/>
      <c r="S89"/>
      <c r="T89" s="51"/>
      <c r="U89"/>
    </row>
    <row r="90" spans="1:21" x14ac:dyDescent="0.25">
      <c r="A90" s="44"/>
      <c r="B90" s="7"/>
      <c r="C90" s="45"/>
      <c r="D90" s="45"/>
      <c r="E90" s="45"/>
      <c r="F90" s="46"/>
      <c r="G90" s="47">
        <v>1104.4000000000001</v>
      </c>
      <c r="H90" s="16">
        <f>G90*Paramètres!K$2*Paramètres!I$2</f>
        <v>501.28716000000003</v>
      </c>
      <c r="I90" s="16">
        <f t="shared" si="22"/>
        <v>112.03367122715026</v>
      </c>
      <c r="J90" s="16">
        <f t="shared" si="23"/>
        <v>613.32083122715028</v>
      </c>
      <c r="K90" s="17">
        <f t="shared" si="24"/>
        <v>1068.2004477206199</v>
      </c>
      <c r="L90" s="47"/>
      <c r="M90" s="43">
        <f>L90*0.35*44/12</f>
        <v>0</v>
      </c>
      <c r="N90" s="69"/>
      <c r="O90" s="69"/>
      <c r="P90" s="69"/>
      <c r="Q90" s="70">
        <f>EXP(-[2]Paramètres!D$11)*Q89+(1-EXP(-[2]Paramètres!D$11))*N89*M89/[2]Paramètres!D$11</f>
        <v>0</v>
      </c>
      <c r="R90" s="52"/>
      <c r="S90"/>
      <c r="T90" s="51"/>
      <c r="U90"/>
    </row>
    <row r="91" spans="1:21" x14ac:dyDescent="0.25">
      <c r="A91" s="44"/>
      <c r="B91" s="7"/>
      <c r="C91" s="45"/>
      <c r="D91" s="45"/>
      <c r="E91" s="45"/>
      <c r="F91" s="46"/>
      <c r="G91" s="47">
        <v>1116.8</v>
      </c>
      <c r="H91" s="16">
        <f>G91*Paramètres!K$2*Paramètres!I$2</f>
        <v>506.91551999999996</v>
      </c>
      <c r="I91" s="16">
        <f t="shared" si="22"/>
        <v>113.14442259097527</v>
      </c>
      <c r="J91" s="16">
        <f t="shared" si="23"/>
        <v>620.0599425909752</v>
      </c>
      <c r="K91" s="17">
        <f t="shared" si="24"/>
        <v>1079.9377333459483</v>
      </c>
      <c r="L91" s="47"/>
      <c r="M91" s="43">
        <f>L91*0.35*44/12</f>
        <v>0</v>
      </c>
      <c r="N91" s="69"/>
      <c r="O91" s="69"/>
      <c r="P91" s="69"/>
      <c r="Q91" s="70">
        <f>EXP(-[2]Paramètres!D$11)*Q90+(1-EXP(-[2]Paramètres!D$11))*N90*M90/[2]Paramètres!D$11</f>
        <v>0</v>
      </c>
      <c r="R91" s="52"/>
      <c r="S91"/>
      <c r="T91" s="51"/>
      <c r="U91"/>
    </row>
    <row r="92" spans="1:21" x14ac:dyDescent="0.25">
      <c r="A92" s="44"/>
      <c r="B92" s="7"/>
      <c r="C92" s="45"/>
      <c r="D92" s="45"/>
      <c r="E92" s="45"/>
      <c r="F92" s="46"/>
      <c r="G92" s="47">
        <v>1129.2</v>
      </c>
      <c r="H92" s="16">
        <f>G92*Paramètres!K$2*Paramètres!I$2</f>
        <v>512.54388000000006</v>
      </c>
      <c r="I92" s="16">
        <f t="shared" si="22"/>
        <v>114.25373930817879</v>
      </c>
      <c r="J92" s="16">
        <f t="shared" si="23"/>
        <v>626.79761930817881</v>
      </c>
      <c r="K92" s="17">
        <f t="shared" si="24"/>
        <v>1091.6725202950781</v>
      </c>
      <c r="L92" s="47"/>
      <c r="M92" s="43">
        <f>L92*0.35*44/12</f>
        <v>0</v>
      </c>
      <c r="N92" s="69"/>
      <c r="O92" s="69"/>
      <c r="P92" s="69"/>
      <c r="Q92" s="70">
        <f>EXP(-[2]Paramètres!D$11)*Q91+(1-EXP(-[2]Paramètres!D$11))*N91*M91/[2]Paramètres!D$11</f>
        <v>0</v>
      </c>
      <c r="R92" s="52"/>
      <c r="S92"/>
      <c r="T92" s="51"/>
      <c r="U92"/>
    </row>
    <row r="93" spans="1:21" x14ac:dyDescent="0.25">
      <c r="A93" s="44"/>
      <c r="B93" s="7"/>
      <c r="C93" s="45"/>
      <c r="D93" s="45"/>
      <c r="E93" s="45"/>
      <c r="F93" s="46"/>
      <c r="G93" s="5">
        <v>1141.5999999999999</v>
      </c>
      <c r="H93" s="16">
        <f>G93*Paramètres!K$2*Paramètres!I$2</f>
        <v>518.17223999999999</v>
      </c>
      <c r="I93" s="16">
        <f t="shared" si="22"/>
        <v>115.36163895619984</v>
      </c>
      <c r="J93" s="16">
        <f t="shared" si="23"/>
        <v>633.53387895619983</v>
      </c>
      <c r="K93" s="17">
        <f t="shared" si="24"/>
        <v>1103.4048391820481</v>
      </c>
      <c r="L93" s="47"/>
      <c r="M93" s="43">
        <f>L93*0.35*44/12</f>
        <v>0</v>
      </c>
      <c r="N93" s="69"/>
      <c r="O93" s="69"/>
      <c r="P93" s="69"/>
      <c r="Q93" s="70">
        <f>EXP(-[2]Paramètres!D$11)*Q92+(1-EXP(-[2]Paramètres!D$11))*N92*M92/[2]Paramètres!D$11</f>
        <v>0</v>
      </c>
      <c r="R93" s="52"/>
      <c r="S93"/>
      <c r="T93" s="51"/>
      <c r="U93"/>
    </row>
    <row r="94" spans="1:21" x14ac:dyDescent="0.25">
      <c r="A94" s="44"/>
      <c r="B94" s="44"/>
      <c r="C94" s="45"/>
      <c r="D94" s="45"/>
      <c r="E94" s="45"/>
      <c r="F94" s="46"/>
      <c r="G94" s="47">
        <v>1154</v>
      </c>
      <c r="H94" s="16">
        <f>G94*Paramètres!K$2*Paramètres!I$2</f>
        <v>523.80060000000003</v>
      </c>
      <c r="I94" s="16">
        <f t="shared" si="22"/>
        <v>116.46813870863447</v>
      </c>
      <c r="J94" s="16">
        <f t="shared" si="23"/>
        <v>640.26873870863449</v>
      </c>
      <c r="K94" s="17">
        <f t="shared" si="24"/>
        <v>1115.1347199175384</v>
      </c>
      <c r="L94" s="47"/>
      <c r="M94" s="43">
        <f>L94*0.35*44/12</f>
        <v>0</v>
      </c>
      <c r="N94" s="69"/>
      <c r="O94" s="69"/>
      <c r="P94" s="69"/>
      <c r="Q94" s="70">
        <f>EXP(-[2]Paramètres!D$11)*Q93+(1-EXP(-[2]Paramètres!D$11))*N93*M93/[2]Paramètres!D$11</f>
        <v>0</v>
      </c>
      <c r="R94" s="52"/>
      <c r="S94"/>
      <c r="T94" s="51"/>
      <c r="U94"/>
    </row>
    <row r="95" spans="1:21" x14ac:dyDescent="0.25">
      <c r="A95" s="44"/>
      <c r="B95" s="44"/>
      <c r="C95" s="45"/>
      <c r="D95" s="45"/>
      <c r="E95" s="45"/>
      <c r="F95" s="46"/>
      <c r="G95" s="47"/>
      <c r="H95" s="47"/>
      <c r="I95" s="24"/>
      <c r="J95" s="24"/>
      <c r="K95" s="24"/>
      <c r="L95" s="50"/>
      <c r="M95" s="5"/>
      <c r="N95" s="5"/>
      <c r="O95" s="5"/>
      <c r="P95" s="5"/>
      <c r="Q95" s="5"/>
      <c r="R95" s="5"/>
    </row>
    <row r="96" spans="1:21" x14ac:dyDescent="0.25">
      <c r="A96" s="44"/>
      <c r="B96" s="44"/>
      <c r="C96" s="45"/>
      <c r="D96" s="45"/>
      <c r="E96" s="45"/>
      <c r="F96" s="46"/>
      <c r="G96" s="47"/>
      <c r="H96" s="47"/>
      <c r="I96" s="24"/>
      <c r="J96" s="24"/>
      <c r="K96" s="24"/>
      <c r="L96" s="50"/>
      <c r="M96" s="5"/>
      <c r="N96" s="5"/>
      <c r="O96" s="5"/>
      <c r="P96" s="5"/>
      <c r="Q96" s="5"/>
      <c r="R96" s="5"/>
    </row>
    <row r="97" spans="1:18" x14ac:dyDescent="0.25">
      <c r="A97" s="44"/>
      <c r="B97" s="44"/>
      <c r="C97" s="45"/>
      <c r="D97" s="45"/>
      <c r="E97" s="45"/>
      <c r="F97" s="46"/>
      <c r="G97" s="47"/>
      <c r="H97" s="47"/>
      <c r="I97" s="24"/>
      <c r="J97" s="24"/>
      <c r="K97" s="24"/>
      <c r="L97" s="50"/>
      <c r="M97" s="5"/>
      <c r="N97" s="5"/>
      <c r="O97" s="5"/>
      <c r="P97" s="5"/>
      <c r="Q97" s="5"/>
      <c r="R97" s="5"/>
    </row>
    <row r="98" spans="1:18" x14ac:dyDescent="0.25">
      <c r="A98" s="44"/>
      <c r="B98" s="44"/>
      <c r="C98" s="45"/>
      <c r="D98" s="45"/>
      <c r="E98" s="45"/>
      <c r="F98" s="46"/>
      <c r="G98" s="47"/>
      <c r="H98" s="47"/>
      <c r="I98" s="24"/>
      <c r="J98" s="24"/>
      <c r="K98" s="24"/>
      <c r="L98" s="50"/>
      <c r="M98" s="5"/>
      <c r="N98" s="5"/>
      <c r="O98" s="5"/>
      <c r="P98" s="5"/>
      <c r="Q98" s="5"/>
      <c r="R98" s="5"/>
    </row>
    <row r="99" spans="1:18" x14ac:dyDescent="0.25">
      <c r="A99" s="44"/>
      <c r="B99" s="44"/>
      <c r="C99" s="45"/>
      <c r="D99" s="45"/>
      <c r="E99" s="45"/>
      <c r="F99" s="46"/>
      <c r="G99" s="47"/>
      <c r="H99" s="47"/>
      <c r="I99" s="24"/>
      <c r="J99" s="24"/>
      <c r="K99" s="24"/>
      <c r="L99" s="50"/>
      <c r="M99" s="5"/>
      <c r="N99" s="5"/>
      <c r="O99" s="5"/>
      <c r="P99" s="5"/>
      <c r="Q99" s="5"/>
      <c r="R99" s="5"/>
    </row>
    <row r="100" spans="1:18" x14ac:dyDescent="0.25">
      <c r="A100" s="44"/>
      <c r="B100" s="44"/>
      <c r="C100" s="45"/>
      <c r="D100" s="45"/>
      <c r="E100" s="45"/>
      <c r="F100" s="46"/>
      <c r="G100" s="47"/>
      <c r="H100" s="47"/>
      <c r="I100" s="24"/>
      <c r="J100" s="24"/>
      <c r="K100" s="24"/>
      <c r="L100" s="50"/>
      <c r="M100" s="5"/>
      <c r="N100" s="5"/>
      <c r="O100" s="5"/>
      <c r="P100" s="5"/>
      <c r="Q100" s="5"/>
      <c r="R100" s="5"/>
    </row>
    <row r="101" spans="1:18" x14ac:dyDescent="0.25">
      <c r="A101" s="44"/>
      <c r="B101" s="44"/>
      <c r="C101" s="45"/>
      <c r="D101" s="45"/>
      <c r="E101" s="45"/>
      <c r="F101" s="46"/>
      <c r="G101" s="47"/>
      <c r="H101" s="47"/>
      <c r="I101" s="24"/>
      <c r="J101" s="24"/>
      <c r="K101" s="24"/>
      <c r="L101" s="50"/>
      <c r="M101" s="5"/>
      <c r="N101" s="5"/>
      <c r="O101" s="5"/>
      <c r="P101" s="5"/>
      <c r="Q101" s="5"/>
      <c r="R101" s="5"/>
    </row>
    <row r="102" spans="1:18" x14ac:dyDescent="0.25">
      <c r="A102" s="44"/>
      <c r="B102" s="44"/>
      <c r="C102" s="45"/>
      <c r="D102" s="45"/>
      <c r="E102" s="45"/>
      <c r="F102" s="46"/>
      <c r="G102" s="47"/>
      <c r="H102" s="47"/>
      <c r="I102" s="24"/>
      <c r="J102" s="24"/>
      <c r="K102" s="24"/>
      <c r="L102" s="50"/>
      <c r="M102" s="5"/>
      <c r="N102" s="5"/>
      <c r="O102" s="5"/>
      <c r="P102" s="5"/>
      <c r="Q102" s="5"/>
      <c r="R102" s="5"/>
    </row>
    <row r="103" spans="1:18" x14ac:dyDescent="0.25">
      <c r="A103" s="44"/>
      <c r="B103" s="44"/>
      <c r="C103" s="45"/>
      <c r="D103" s="45"/>
      <c r="E103" s="45"/>
      <c r="F103" s="46"/>
      <c r="G103" s="5"/>
      <c r="H103" s="47"/>
      <c r="I103" s="24"/>
      <c r="J103" s="24"/>
      <c r="K103" s="24"/>
      <c r="L103" s="50"/>
      <c r="M103" s="5"/>
      <c r="N103" s="5"/>
      <c r="O103" s="5"/>
      <c r="P103" s="5"/>
      <c r="Q103" s="5"/>
      <c r="R103" s="5"/>
    </row>
    <row r="104" spans="1:18" x14ac:dyDescent="0.25">
      <c r="A104" s="44"/>
      <c r="B104" s="44"/>
      <c r="C104" s="45"/>
      <c r="D104" s="45"/>
      <c r="E104" s="45"/>
      <c r="F104" s="46"/>
      <c r="G104" s="24"/>
      <c r="H104" s="48"/>
      <c r="I104" s="24"/>
      <c r="J104" s="24"/>
      <c r="K104" s="24"/>
      <c r="L104" s="50"/>
      <c r="M104" s="5"/>
      <c r="N104" s="5"/>
      <c r="O104" s="5"/>
      <c r="P104" s="5"/>
      <c r="Q104" s="5"/>
      <c r="R104" s="5"/>
    </row>
    <row r="105" spans="1:18" x14ac:dyDescent="0.25">
      <c r="A105" s="44"/>
      <c r="B105" s="44"/>
      <c r="C105" s="45"/>
      <c r="D105" s="45"/>
      <c r="E105" s="45"/>
      <c r="F105" s="46"/>
      <c r="G105" s="24"/>
      <c r="H105" s="48"/>
      <c r="I105" s="24"/>
      <c r="J105" s="24"/>
      <c r="K105" s="24"/>
      <c r="L105" s="50"/>
      <c r="M105" s="5"/>
      <c r="N105" s="5"/>
      <c r="O105" s="5"/>
      <c r="P105" s="5"/>
      <c r="Q105" s="5"/>
      <c r="R105" s="5"/>
    </row>
    <row r="106" spans="1:18" x14ac:dyDescent="0.25">
      <c r="A106" s="44"/>
      <c r="B106" s="44"/>
      <c r="C106" s="45"/>
      <c r="D106" s="45"/>
      <c r="E106" s="45"/>
      <c r="F106" s="46"/>
      <c r="G106" s="24"/>
      <c r="H106" s="48"/>
      <c r="I106" s="24"/>
      <c r="J106" s="24"/>
      <c r="K106" s="24"/>
      <c r="L106" s="50"/>
      <c r="M106" s="5"/>
      <c r="N106" s="5"/>
      <c r="O106" s="5"/>
      <c r="P106" s="5"/>
      <c r="Q106" s="5"/>
      <c r="R106" s="5"/>
    </row>
    <row r="107" spans="1:18" x14ac:dyDescent="0.25">
      <c r="A107" s="44"/>
      <c r="B107" s="44"/>
      <c r="C107" s="45"/>
      <c r="D107" s="45"/>
      <c r="E107" s="45"/>
      <c r="F107" s="46"/>
      <c r="G107" s="24"/>
      <c r="H107" s="48"/>
      <c r="I107" s="24"/>
      <c r="J107" s="24"/>
      <c r="K107" s="24"/>
      <c r="L107" s="50"/>
      <c r="M107" s="5"/>
      <c r="N107" s="5"/>
      <c r="O107" s="5"/>
      <c r="P107" s="5"/>
      <c r="Q107" s="5"/>
      <c r="R107" s="5"/>
    </row>
    <row r="108" spans="1:18" x14ac:dyDescent="0.25">
      <c r="A108" s="44"/>
      <c r="B108" s="44"/>
      <c r="C108" s="45"/>
      <c r="D108" s="45"/>
      <c r="E108" s="45"/>
      <c r="F108" s="25"/>
      <c r="G108" s="24"/>
      <c r="H108" s="48"/>
      <c r="I108" s="24"/>
      <c r="J108" s="24"/>
      <c r="K108" s="24"/>
      <c r="L108" s="50"/>
      <c r="M108" s="5"/>
      <c r="N108" s="5"/>
      <c r="O108" s="5"/>
      <c r="P108" s="5"/>
      <c r="Q108" s="5"/>
      <c r="R108" s="5"/>
    </row>
    <row r="109" spans="1:18" x14ac:dyDescent="0.25">
      <c r="A109" s="44"/>
      <c r="B109" s="44"/>
      <c r="C109" s="44"/>
      <c r="D109" s="24"/>
      <c r="E109" s="32"/>
      <c r="F109" s="25"/>
      <c r="G109" s="24"/>
      <c r="H109" s="24"/>
      <c r="I109" s="24"/>
      <c r="J109" s="24"/>
      <c r="K109" s="24"/>
      <c r="L109" s="50"/>
      <c r="M109" s="5"/>
      <c r="N109" s="5"/>
      <c r="O109" s="5"/>
      <c r="P109" s="5"/>
      <c r="Q109" s="5"/>
      <c r="R109" s="5"/>
    </row>
    <row r="110" spans="1:18" x14ac:dyDescent="0.25">
      <c r="A110" s="44"/>
      <c r="B110" s="44"/>
      <c r="C110" s="44"/>
      <c r="D110" s="24"/>
      <c r="E110" s="32"/>
      <c r="F110" s="25"/>
      <c r="G110" s="24"/>
      <c r="H110" s="24"/>
      <c r="I110" s="24"/>
      <c r="J110" s="24"/>
      <c r="K110" s="24"/>
      <c r="L110" s="50"/>
      <c r="M110" s="5"/>
      <c r="N110" s="5"/>
      <c r="O110" s="5"/>
      <c r="P110" s="5"/>
      <c r="Q110" s="5"/>
      <c r="R110" s="5"/>
    </row>
    <row r="111" spans="1:18" x14ac:dyDescent="0.25">
      <c r="A111" s="44"/>
      <c r="B111" s="44"/>
      <c r="C111" s="44"/>
      <c r="D111" s="24"/>
      <c r="E111" s="32"/>
      <c r="F111" s="25"/>
      <c r="G111" s="24"/>
      <c r="H111" s="24"/>
      <c r="I111" s="24"/>
      <c r="J111" s="24"/>
      <c r="K111" s="24"/>
      <c r="L111" s="50"/>
      <c r="M111" s="5"/>
      <c r="N111" s="5"/>
      <c r="O111" s="5"/>
      <c r="P111" s="5"/>
      <c r="Q111" s="5"/>
      <c r="R111" s="5"/>
    </row>
    <row r="112" spans="1:18" x14ac:dyDescent="0.25">
      <c r="A112" s="44"/>
      <c r="B112" s="44"/>
      <c r="C112" s="44"/>
      <c r="D112" s="24"/>
      <c r="E112" s="32"/>
      <c r="F112" s="25"/>
      <c r="G112" s="24"/>
      <c r="H112" s="24"/>
      <c r="I112" s="24"/>
      <c r="J112" s="24"/>
      <c r="K112" s="24"/>
      <c r="L112" s="50"/>
      <c r="M112" s="5"/>
      <c r="N112" s="5"/>
      <c r="O112" s="5"/>
      <c r="P112" s="5"/>
      <c r="Q112" s="5"/>
      <c r="R112" s="5"/>
    </row>
    <row r="113" spans="1:18" x14ac:dyDescent="0.25">
      <c r="A113" s="44"/>
      <c r="B113" s="44"/>
      <c r="C113" s="44"/>
      <c r="D113" s="24"/>
      <c r="E113" s="32"/>
      <c r="F113" s="25"/>
      <c r="G113" s="24"/>
      <c r="H113" s="24"/>
      <c r="I113" s="24"/>
      <c r="J113" s="24"/>
      <c r="K113" s="24"/>
      <c r="L113" s="50"/>
      <c r="M113" s="5"/>
      <c r="N113" s="5"/>
      <c r="O113" s="5"/>
      <c r="P113" s="5"/>
      <c r="Q113" s="5"/>
      <c r="R113" s="5"/>
    </row>
    <row r="114" spans="1:18" x14ac:dyDescent="0.25">
      <c r="A114" s="44"/>
      <c r="B114" s="44"/>
      <c r="C114" s="44"/>
      <c r="D114" s="24"/>
      <c r="E114" s="32"/>
      <c r="F114" s="25"/>
      <c r="G114" s="24"/>
      <c r="H114" s="24"/>
      <c r="I114" s="24"/>
      <c r="J114" s="24"/>
      <c r="K114" s="24"/>
      <c r="L114" s="50"/>
      <c r="M114" s="5"/>
      <c r="N114" s="5"/>
      <c r="O114" s="5"/>
      <c r="P114" s="5"/>
      <c r="Q114" s="5"/>
      <c r="R114" s="5"/>
    </row>
    <row r="115" spans="1:18" x14ac:dyDescent="0.25">
      <c r="A115" s="13"/>
      <c r="B115" s="13"/>
      <c r="C115" s="13"/>
      <c r="F115" s="4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1:18" x14ac:dyDescent="0.25">
      <c r="A116" s="13"/>
      <c r="B116" s="13"/>
      <c r="C116" s="13"/>
      <c r="F116" s="4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x14ac:dyDescent="0.25">
      <c r="A117" s="13"/>
      <c r="B117" s="13"/>
      <c r="C117" s="13"/>
      <c r="F117" s="4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1:18" x14ac:dyDescent="0.25">
      <c r="A118" s="13"/>
      <c r="B118" s="13"/>
      <c r="C118" s="13"/>
      <c r="F118" s="4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1:18" x14ac:dyDescent="0.25">
      <c r="A119" s="13"/>
      <c r="B119" s="13"/>
      <c r="C119" s="13"/>
      <c r="F119" s="4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1:18" x14ac:dyDescent="0.25">
      <c r="A120" s="13"/>
      <c r="B120" s="13"/>
      <c r="C120" s="13"/>
      <c r="F120" s="4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</sheetData>
  <mergeCells count="2">
    <mergeCell ref="D1:E1"/>
    <mergeCell ref="F1:L1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3" sqref="K3"/>
    </sheetView>
  </sheetViews>
  <sheetFormatPr baseColWidth="10" defaultRowHeight="15" x14ac:dyDescent="0.25"/>
  <sheetData>
    <row r="1" spans="1:12" ht="63.75" x14ac:dyDescent="0.25">
      <c r="A1" s="1" t="s">
        <v>1</v>
      </c>
      <c r="B1" s="1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2" t="s">
        <v>11</v>
      </c>
      <c r="L1" s="1" t="s">
        <v>12</v>
      </c>
    </row>
    <row r="2" spans="1:12" x14ac:dyDescent="0.25">
      <c r="A2" t="s">
        <v>84</v>
      </c>
      <c r="B2" t="s">
        <v>85</v>
      </c>
      <c r="C2" t="s">
        <v>85</v>
      </c>
      <c r="D2" t="s">
        <v>85</v>
      </c>
      <c r="E2" t="s">
        <v>85</v>
      </c>
      <c r="F2" t="s">
        <v>85</v>
      </c>
      <c r="G2" t="s">
        <v>13</v>
      </c>
      <c r="H2">
        <v>1.3</v>
      </c>
      <c r="I2">
        <v>1.335</v>
      </c>
      <c r="J2" t="s">
        <v>84</v>
      </c>
      <c r="K2">
        <v>0.34</v>
      </c>
    </row>
    <row r="7" spans="1:12" x14ac:dyDescent="0.25">
      <c r="A7" s="3"/>
      <c r="B7" s="3"/>
      <c r="C7" s="3"/>
      <c r="D7" s="3"/>
      <c r="E7" s="3"/>
    </row>
    <row r="8" spans="1:12" x14ac:dyDescent="0.25">
      <c r="A8" s="4" t="s">
        <v>14</v>
      </c>
      <c r="B8" s="3"/>
      <c r="C8" s="3"/>
      <c r="D8" s="3"/>
      <c r="E8" s="3"/>
    </row>
    <row r="9" spans="1:12" x14ac:dyDescent="0.25">
      <c r="B9" s="3" t="s">
        <v>15</v>
      </c>
      <c r="C9" s="3" t="s">
        <v>16</v>
      </c>
      <c r="D9" s="3" t="s">
        <v>17</v>
      </c>
      <c r="E9" s="5" t="s">
        <v>18</v>
      </c>
    </row>
    <row r="10" spans="1:12" x14ac:dyDescent="0.25">
      <c r="A10" s="6" t="s">
        <v>19</v>
      </c>
      <c r="B10" s="3">
        <v>35</v>
      </c>
      <c r="C10" s="3">
        <v>25</v>
      </c>
      <c r="D10" s="3">
        <v>2</v>
      </c>
      <c r="E10" s="3">
        <v>1</v>
      </c>
    </row>
    <row r="11" spans="1:12" x14ac:dyDescent="0.25">
      <c r="A11" s="6" t="s">
        <v>20</v>
      </c>
      <c r="B11" s="3">
        <f>LN(2)/B10</f>
        <v>1.980420515885558E-2</v>
      </c>
      <c r="C11" s="3">
        <f>LN(2)/C10</f>
        <v>2.7725887222397813E-2</v>
      </c>
      <c r="D11" s="3">
        <f>LN(2)/D10</f>
        <v>0.34657359027997264</v>
      </c>
      <c r="E11" s="3">
        <f>LN(2)/E10</f>
        <v>0.69314718055994529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workbookViewId="0">
      <selection activeCell="C93" sqref="C2:C93"/>
    </sheetView>
  </sheetViews>
  <sheetFormatPr baseColWidth="10" defaultRowHeight="15" x14ac:dyDescent="0.25"/>
  <cols>
    <col min="5" max="5" width="14.140625" customWidth="1"/>
  </cols>
  <sheetData>
    <row r="1" spans="1:15" ht="30" x14ac:dyDescent="0.25">
      <c r="A1" t="s">
        <v>0</v>
      </c>
      <c r="C1" t="s">
        <v>83</v>
      </c>
      <c r="D1" s="59" t="s">
        <v>91</v>
      </c>
      <c r="E1" s="59" t="s">
        <v>92</v>
      </c>
    </row>
    <row r="2" spans="1:15" x14ac:dyDescent="0.25">
      <c r="A2">
        <v>0</v>
      </c>
      <c r="B2" s="28">
        <v>0</v>
      </c>
      <c r="C2" s="28">
        <v>0</v>
      </c>
      <c r="D2" s="28"/>
    </row>
    <row r="3" spans="1:15" x14ac:dyDescent="0.25">
      <c r="A3">
        <v>1</v>
      </c>
      <c r="B3" s="28">
        <v>1</v>
      </c>
      <c r="C3" s="28">
        <f>C2+B3</f>
        <v>1</v>
      </c>
      <c r="D3" s="28" t="str">
        <f>IF(C2-C3&gt;0,C2-C3,"")</f>
        <v/>
      </c>
      <c r="E3" s="60" t="s">
        <v>93</v>
      </c>
    </row>
    <row r="4" spans="1:15" x14ac:dyDescent="0.25">
      <c r="A4">
        <v>2</v>
      </c>
      <c r="B4" s="28">
        <v>1</v>
      </c>
      <c r="C4" s="28">
        <f t="shared" ref="C4:C15" si="0">C3+B4</f>
        <v>2</v>
      </c>
      <c r="D4" s="28" t="str">
        <f t="shared" ref="D4:D67" si="1">IF(C3-C4&gt;0,C3-C4,"")</f>
        <v/>
      </c>
      <c r="E4" s="60" t="s">
        <v>93</v>
      </c>
      <c r="H4" t="s">
        <v>82</v>
      </c>
      <c r="I4" t="s">
        <v>81</v>
      </c>
    </row>
    <row r="5" spans="1:15" x14ac:dyDescent="0.25">
      <c r="A5">
        <v>3</v>
      </c>
      <c r="B5" s="28">
        <v>2</v>
      </c>
      <c r="C5" s="28">
        <f t="shared" si="0"/>
        <v>4</v>
      </c>
      <c r="D5" s="28" t="str">
        <f t="shared" si="1"/>
        <v/>
      </c>
      <c r="E5" s="60" t="s">
        <v>93</v>
      </c>
      <c r="G5" s="37" t="s">
        <v>73</v>
      </c>
      <c r="H5" s="37" t="s">
        <v>79</v>
      </c>
      <c r="I5" s="37" t="s">
        <v>79</v>
      </c>
    </row>
    <row r="6" spans="1:15" x14ac:dyDescent="0.25">
      <c r="A6">
        <v>4</v>
      </c>
      <c r="B6" s="28">
        <v>2</v>
      </c>
      <c r="C6" s="28">
        <f t="shared" si="0"/>
        <v>6</v>
      </c>
      <c r="D6" s="28" t="str">
        <f t="shared" si="1"/>
        <v/>
      </c>
      <c r="E6" s="60" t="s">
        <v>93</v>
      </c>
      <c r="G6" s="38">
        <v>14</v>
      </c>
      <c r="H6" s="38">
        <v>92</v>
      </c>
      <c r="I6" s="38">
        <v>92</v>
      </c>
    </row>
    <row r="7" spans="1:15" x14ac:dyDescent="0.25">
      <c r="A7">
        <v>5</v>
      </c>
      <c r="B7" s="28">
        <v>3</v>
      </c>
      <c r="C7" s="28">
        <f t="shared" si="0"/>
        <v>9</v>
      </c>
      <c r="D7" s="28" t="str">
        <f t="shared" si="1"/>
        <v/>
      </c>
      <c r="E7" s="60" t="s">
        <v>93</v>
      </c>
      <c r="G7" s="38">
        <v>19</v>
      </c>
      <c r="H7" s="38">
        <v>235</v>
      </c>
      <c r="I7" s="38">
        <v>130</v>
      </c>
      <c r="J7" s="30"/>
      <c r="K7" s="30"/>
      <c r="L7" s="30"/>
      <c r="M7" s="30"/>
      <c r="N7" s="30"/>
      <c r="O7" s="30"/>
    </row>
    <row r="8" spans="1:15" x14ac:dyDescent="0.25">
      <c r="A8">
        <v>6</v>
      </c>
      <c r="B8" s="28">
        <v>4</v>
      </c>
      <c r="C8" s="28">
        <f t="shared" si="0"/>
        <v>13</v>
      </c>
      <c r="D8" s="28" t="str">
        <f t="shared" si="1"/>
        <v/>
      </c>
      <c r="E8" s="60" t="s">
        <v>93</v>
      </c>
      <c r="G8" s="38">
        <v>24</v>
      </c>
      <c r="H8" s="38">
        <v>444</v>
      </c>
      <c r="I8" s="38">
        <v>234</v>
      </c>
      <c r="J8" s="30"/>
      <c r="K8" s="30"/>
      <c r="L8" s="30"/>
      <c r="M8" s="31"/>
      <c r="N8" s="30">
        <v>220</v>
      </c>
      <c r="O8" s="30">
        <v>240</v>
      </c>
    </row>
    <row r="9" spans="1:15" x14ac:dyDescent="0.25">
      <c r="A9">
        <v>7</v>
      </c>
      <c r="B9" s="28">
        <v>4</v>
      </c>
      <c r="C9" s="28">
        <f t="shared" si="0"/>
        <v>17</v>
      </c>
      <c r="D9" s="28" t="str">
        <f t="shared" si="1"/>
        <v/>
      </c>
      <c r="E9" s="60" t="s">
        <v>93</v>
      </c>
      <c r="G9" s="38">
        <v>29</v>
      </c>
      <c r="H9" s="38">
        <v>675</v>
      </c>
      <c r="I9" s="38">
        <v>360</v>
      </c>
      <c r="J9" s="30"/>
      <c r="K9" s="30"/>
      <c r="L9" s="30"/>
      <c r="M9" s="31"/>
      <c r="N9" s="30">
        <v>549.98347114800004</v>
      </c>
      <c r="O9" s="30">
        <v>695.52617089199998</v>
      </c>
    </row>
    <row r="10" spans="1:15" x14ac:dyDescent="0.25">
      <c r="A10">
        <v>8</v>
      </c>
      <c r="B10" s="28">
        <v>5</v>
      </c>
      <c r="C10" s="28">
        <f t="shared" si="0"/>
        <v>22</v>
      </c>
      <c r="D10" s="28" t="str">
        <f t="shared" si="1"/>
        <v/>
      </c>
      <c r="E10" s="60" t="s">
        <v>93</v>
      </c>
      <c r="G10" s="38">
        <v>34</v>
      </c>
      <c r="H10" s="38">
        <v>901</v>
      </c>
      <c r="I10" s="38">
        <v>481</v>
      </c>
      <c r="J10" s="30"/>
      <c r="K10" s="30"/>
      <c r="L10" s="30"/>
      <c r="M10" s="31"/>
      <c r="N10" s="30">
        <v>909.64187340000001</v>
      </c>
      <c r="O10" s="30">
        <v>1133.5537191600001</v>
      </c>
    </row>
    <row r="11" spans="1:15" x14ac:dyDescent="0.25">
      <c r="A11">
        <v>9</v>
      </c>
      <c r="B11" s="28">
        <v>6</v>
      </c>
      <c r="C11" s="28">
        <f t="shared" si="0"/>
        <v>28</v>
      </c>
      <c r="D11" s="28" t="str">
        <f t="shared" si="1"/>
        <v/>
      </c>
      <c r="E11" s="60" t="s">
        <v>93</v>
      </c>
      <c r="G11" s="38">
        <v>39</v>
      </c>
      <c r="H11" s="38">
        <v>1109</v>
      </c>
      <c r="I11" s="38">
        <v>584</v>
      </c>
      <c r="J11" s="30"/>
      <c r="K11" s="30"/>
      <c r="L11" s="30"/>
      <c r="M11" s="31"/>
      <c r="N11" s="30">
        <v>1259.5041324000001</v>
      </c>
      <c r="O11" s="30">
        <v>1539.3939396000001</v>
      </c>
    </row>
    <row r="12" spans="1:15" x14ac:dyDescent="0.25">
      <c r="A12">
        <v>10</v>
      </c>
      <c r="B12" s="28">
        <v>7</v>
      </c>
      <c r="C12" s="28">
        <f t="shared" si="0"/>
        <v>35</v>
      </c>
      <c r="D12" s="28" t="str">
        <f t="shared" si="1"/>
        <v/>
      </c>
      <c r="E12" s="60" t="s">
        <v>93</v>
      </c>
      <c r="G12" s="38">
        <v>44</v>
      </c>
      <c r="H12" s="38">
        <v>1299</v>
      </c>
      <c r="I12" s="38">
        <v>687</v>
      </c>
      <c r="J12" s="30"/>
      <c r="K12" s="30"/>
      <c r="L12" s="30"/>
      <c r="M12" s="31"/>
      <c r="N12" s="30">
        <v>1609.3663914000001</v>
      </c>
      <c r="O12" s="30">
        <v>1945.23416004</v>
      </c>
    </row>
    <row r="13" spans="1:15" x14ac:dyDescent="0.25">
      <c r="A13">
        <v>11</v>
      </c>
      <c r="B13" s="28">
        <v>9</v>
      </c>
      <c r="C13" s="28">
        <f t="shared" si="0"/>
        <v>44</v>
      </c>
      <c r="D13" s="28" t="str">
        <f t="shared" si="1"/>
        <v/>
      </c>
      <c r="E13" s="60" t="s">
        <v>93</v>
      </c>
      <c r="G13" s="38">
        <v>49</v>
      </c>
      <c r="H13" s="38">
        <v>1468</v>
      </c>
      <c r="I13" s="38">
        <v>784</v>
      </c>
      <c r="J13" s="30"/>
      <c r="K13" s="30"/>
      <c r="L13" s="30"/>
      <c r="M13" s="31"/>
      <c r="N13" s="30">
        <v>1929.8402206440001</v>
      </c>
      <c r="O13" s="30">
        <v>2310.490358436</v>
      </c>
    </row>
    <row r="14" spans="1:15" x14ac:dyDescent="0.25">
      <c r="A14">
        <v>12</v>
      </c>
      <c r="B14">
        <v>12</v>
      </c>
      <c r="C14" s="28">
        <f t="shared" si="0"/>
        <v>56</v>
      </c>
      <c r="D14" s="28" t="str">
        <f t="shared" si="1"/>
        <v/>
      </c>
      <c r="E14" s="60" t="s">
        <v>93</v>
      </c>
      <c r="G14" s="38">
        <v>54</v>
      </c>
      <c r="H14" s="38">
        <v>1617</v>
      </c>
      <c r="I14" s="38">
        <v>869</v>
      </c>
      <c r="J14" s="30"/>
      <c r="K14" s="30"/>
      <c r="L14" s="30"/>
      <c r="M14" s="31"/>
      <c r="N14" s="30">
        <v>2239.1184576000001</v>
      </c>
      <c r="O14" s="30">
        <v>2658.9531683999999</v>
      </c>
    </row>
    <row r="15" spans="1:15" x14ac:dyDescent="0.25">
      <c r="A15">
        <v>13</v>
      </c>
      <c r="B15">
        <v>18</v>
      </c>
      <c r="C15" s="28">
        <f t="shared" si="0"/>
        <v>74</v>
      </c>
      <c r="D15" s="28" t="str">
        <f t="shared" si="1"/>
        <v/>
      </c>
      <c r="E15" s="60" t="s">
        <v>93</v>
      </c>
      <c r="G15" s="38">
        <v>59</v>
      </c>
      <c r="H15" s="38">
        <v>1747</v>
      </c>
      <c r="I15" s="38">
        <v>943</v>
      </c>
      <c r="J15" s="30"/>
      <c r="K15" s="30"/>
      <c r="L15" s="30"/>
      <c r="M15" s="31"/>
      <c r="N15" s="30">
        <v>2523.206611908</v>
      </c>
      <c r="O15" s="30">
        <v>2976.6280995719999</v>
      </c>
    </row>
    <row r="16" spans="1:15" x14ac:dyDescent="0.25">
      <c r="A16">
        <v>14</v>
      </c>
      <c r="C16" s="28">
        <v>92</v>
      </c>
      <c r="D16" s="28" t="str">
        <f t="shared" si="1"/>
        <v/>
      </c>
      <c r="E16" s="60" t="s">
        <v>93</v>
      </c>
      <c r="G16" s="38">
        <v>64</v>
      </c>
      <c r="H16" s="38">
        <v>1859</v>
      </c>
      <c r="I16" s="38">
        <v>1004</v>
      </c>
      <c r="J16" s="30"/>
      <c r="K16" s="30"/>
      <c r="L16" s="30"/>
      <c r="M16" s="31"/>
      <c r="N16" s="30">
        <v>2794.6997248920002</v>
      </c>
      <c r="O16" s="30">
        <v>3266.3140500240002</v>
      </c>
    </row>
    <row r="17" spans="1:15" x14ac:dyDescent="0.25">
      <c r="A17">
        <v>15</v>
      </c>
      <c r="C17" s="28">
        <f>$C$16+(A17-$A$16)*($C$21-$C$16)/($A$21-$A$16)</f>
        <v>120.6</v>
      </c>
      <c r="D17" s="28" t="str">
        <f t="shared" si="1"/>
        <v/>
      </c>
      <c r="E17" s="60" t="s">
        <v>93</v>
      </c>
      <c r="G17" s="38">
        <v>69</v>
      </c>
      <c r="H17" s="38">
        <v>1955</v>
      </c>
      <c r="I17" s="38">
        <v>1055</v>
      </c>
      <c r="J17" s="30"/>
      <c r="K17" s="30"/>
      <c r="L17" s="30"/>
      <c r="M17" s="31"/>
      <c r="N17" s="30">
        <v>3059.1955926959999</v>
      </c>
      <c r="O17" s="30">
        <v>3574.1928379440001</v>
      </c>
    </row>
    <row r="18" spans="1:15" x14ac:dyDescent="0.25">
      <c r="A18">
        <v>16</v>
      </c>
      <c r="C18" s="28">
        <f t="shared" ref="C18:C20" si="2">$C$16+(A18-$A$16)*($C$21-$C$16)/($A$21-$A$16)</f>
        <v>149.19999999999999</v>
      </c>
      <c r="D18" s="28" t="str">
        <f t="shared" si="1"/>
        <v/>
      </c>
      <c r="E18" s="60" t="s">
        <v>93</v>
      </c>
      <c r="G18" s="38">
        <v>74</v>
      </c>
      <c r="H18" s="38">
        <v>2033</v>
      </c>
      <c r="I18" s="38">
        <v>1092</v>
      </c>
    </row>
    <row r="19" spans="1:15" x14ac:dyDescent="0.25">
      <c r="A19">
        <v>17</v>
      </c>
      <c r="C19" s="28">
        <f t="shared" si="2"/>
        <v>177.8</v>
      </c>
      <c r="D19" s="28" t="str">
        <f t="shared" si="1"/>
        <v/>
      </c>
      <c r="E19" s="60" t="s">
        <v>93</v>
      </c>
      <c r="G19" s="38">
        <v>79</v>
      </c>
      <c r="H19" s="38">
        <v>2094</v>
      </c>
      <c r="I19" s="38">
        <v>1118</v>
      </c>
    </row>
    <row r="20" spans="1:15" x14ac:dyDescent="0.25">
      <c r="A20">
        <v>18</v>
      </c>
      <c r="C20" s="28">
        <f t="shared" si="2"/>
        <v>206.4</v>
      </c>
      <c r="D20" s="28" t="str">
        <f t="shared" si="1"/>
        <v/>
      </c>
      <c r="E20" s="60" t="s">
        <v>93</v>
      </c>
    </row>
    <row r="21" spans="1:15" x14ac:dyDescent="0.25">
      <c r="A21">
        <v>19</v>
      </c>
      <c r="C21" s="28">
        <f>C22+105</f>
        <v>235</v>
      </c>
      <c r="D21" s="28" t="str">
        <f t="shared" si="1"/>
        <v/>
      </c>
      <c r="E21" s="60" t="s">
        <v>93</v>
      </c>
    </row>
    <row r="22" spans="1:15" x14ac:dyDescent="0.25">
      <c r="A22">
        <v>19</v>
      </c>
      <c r="C22" s="28">
        <v>130</v>
      </c>
      <c r="D22" s="28">
        <f t="shared" si="1"/>
        <v>105</v>
      </c>
      <c r="E22" s="60">
        <v>105</v>
      </c>
    </row>
    <row r="23" spans="1:15" x14ac:dyDescent="0.25">
      <c r="A23">
        <v>20</v>
      </c>
      <c r="C23" s="28">
        <f>$C$22+(A23-$A$22)*($C$27-$C$22)/($A$27-$A$22)</f>
        <v>171.8</v>
      </c>
      <c r="D23" s="28" t="str">
        <f t="shared" si="1"/>
        <v/>
      </c>
      <c r="E23" s="60" t="s">
        <v>93</v>
      </c>
    </row>
    <row r="24" spans="1:15" x14ac:dyDescent="0.25">
      <c r="A24">
        <v>21</v>
      </c>
      <c r="C24" s="28">
        <f t="shared" ref="C24:C26" si="3">$C$22+(A24-$A$22)*($C$27-$C$22)/($A$27-$A$22)</f>
        <v>213.6</v>
      </c>
      <c r="D24" s="28" t="str">
        <f t="shared" si="1"/>
        <v/>
      </c>
      <c r="E24" s="60" t="s">
        <v>93</v>
      </c>
    </row>
    <row r="25" spans="1:15" x14ac:dyDescent="0.25">
      <c r="A25">
        <v>22</v>
      </c>
      <c r="C25" s="28">
        <f t="shared" si="3"/>
        <v>255.4</v>
      </c>
      <c r="D25" s="28" t="str">
        <f t="shared" si="1"/>
        <v/>
      </c>
      <c r="E25" s="60" t="s">
        <v>93</v>
      </c>
    </row>
    <row r="26" spans="1:15" x14ac:dyDescent="0.25">
      <c r="A26">
        <v>23</v>
      </c>
      <c r="C26" s="28">
        <f t="shared" si="3"/>
        <v>297.2</v>
      </c>
      <c r="D26" s="28" t="str">
        <f t="shared" si="1"/>
        <v/>
      </c>
      <c r="E26" s="60" t="s">
        <v>93</v>
      </c>
    </row>
    <row r="27" spans="1:15" x14ac:dyDescent="0.25">
      <c r="A27">
        <v>24</v>
      </c>
      <c r="C27" s="28">
        <f>C28+105</f>
        <v>339</v>
      </c>
      <c r="D27" s="28" t="str">
        <f t="shared" si="1"/>
        <v/>
      </c>
      <c r="E27" s="60" t="s">
        <v>93</v>
      </c>
    </row>
    <row r="28" spans="1:15" x14ac:dyDescent="0.25">
      <c r="A28">
        <v>24</v>
      </c>
      <c r="C28" s="28">
        <v>234</v>
      </c>
      <c r="D28" s="28">
        <f t="shared" si="1"/>
        <v>105</v>
      </c>
      <c r="E28" s="60">
        <v>105</v>
      </c>
    </row>
    <row r="29" spans="1:15" x14ac:dyDescent="0.25">
      <c r="A29">
        <v>25</v>
      </c>
      <c r="C29" s="28">
        <f>$C$28+(A29-$A$28)*($C$33-$C$28)/($A$33-$A$28)</f>
        <v>280.2</v>
      </c>
      <c r="D29" s="28" t="str">
        <f t="shared" si="1"/>
        <v/>
      </c>
      <c r="E29" s="60" t="s">
        <v>93</v>
      </c>
    </row>
    <row r="30" spans="1:15" x14ac:dyDescent="0.25">
      <c r="A30">
        <v>26</v>
      </c>
      <c r="C30" s="28">
        <f t="shared" ref="C30:C32" si="4">$C$28+(A30-$A$28)*($C$33-$C$28)/($A$33-$A$28)</f>
        <v>326.39999999999998</v>
      </c>
      <c r="D30" s="28" t="str">
        <f t="shared" si="1"/>
        <v/>
      </c>
      <c r="E30" s="60" t="s">
        <v>93</v>
      </c>
    </row>
    <row r="31" spans="1:15" x14ac:dyDescent="0.25">
      <c r="A31">
        <v>27</v>
      </c>
      <c r="C31" s="28">
        <f t="shared" si="4"/>
        <v>372.6</v>
      </c>
      <c r="D31" s="28" t="str">
        <f t="shared" si="1"/>
        <v/>
      </c>
      <c r="E31" s="60" t="s">
        <v>93</v>
      </c>
    </row>
    <row r="32" spans="1:15" x14ac:dyDescent="0.25">
      <c r="A32">
        <v>28</v>
      </c>
      <c r="C32" s="28">
        <f t="shared" si="4"/>
        <v>418.8</v>
      </c>
      <c r="D32" s="28" t="str">
        <f t="shared" si="1"/>
        <v/>
      </c>
      <c r="E32" s="60" t="s">
        <v>93</v>
      </c>
    </row>
    <row r="33" spans="1:5" x14ac:dyDescent="0.25">
      <c r="A33">
        <v>29</v>
      </c>
      <c r="C33" s="28">
        <f>C34+105</f>
        <v>465</v>
      </c>
      <c r="D33" s="28" t="str">
        <f t="shared" si="1"/>
        <v/>
      </c>
      <c r="E33" s="60" t="s">
        <v>93</v>
      </c>
    </row>
    <row r="34" spans="1:5" x14ac:dyDescent="0.25">
      <c r="A34">
        <v>29</v>
      </c>
      <c r="C34" s="28">
        <v>360</v>
      </c>
      <c r="D34" s="28">
        <f t="shared" si="1"/>
        <v>105</v>
      </c>
      <c r="E34" s="60">
        <v>105</v>
      </c>
    </row>
    <row r="35" spans="1:5" x14ac:dyDescent="0.25">
      <c r="A35">
        <v>30</v>
      </c>
      <c r="C35" s="28">
        <f>$C$34+(A35-$A$34)*($C$39-$C$34)/($A$39-$A$34)</f>
        <v>405.2</v>
      </c>
      <c r="D35" s="28" t="str">
        <f t="shared" si="1"/>
        <v/>
      </c>
      <c r="E35" s="60" t="s">
        <v>93</v>
      </c>
    </row>
    <row r="36" spans="1:5" x14ac:dyDescent="0.25">
      <c r="A36">
        <v>31</v>
      </c>
      <c r="C36" s="28">
        <f t="shared" ref="C36:C38" si="5">$C$34+(A36-$A$34)*($C$39-$C$34)/($A$39-$A$34)</f>
        <v>450.4</v>
      </c>
      <c r="D36" s="28" t="str">
        <f t="shared" si="1"/>
        <v/>
      </c>
      <c r="E36" s="60" t="s">
        <v>93</v>
      </c>
    </row>
    <row r="37" spans="1:5" x14ac:dyDescent="0.25">
      <c r="A37">
        <v>32</v>
      </c>
      <c r="C37" s="28">
        <f t="shared" si="5"/>
        <v>495.6</v>
      </c>
      <c r="D37" s="28" t="str">
        <f t="shared" si="1"/>
        <v/>
      </c>
      <c r="E37" s="60" t="s">
        <v>93</v>
      </c>
    </row>
    <row r="38" spans="1:5" x14ac:dyDescent="0.25">
      <c r="A38">
        <v>33</v>
      </c>
      <c r="C38" s="28">
        <f t="shared" si="5"/>
        <v>540.79999999999995</v>
      </c>
      <c r="D38" s="28" t="str">
        <f t="shared" si="1"/>
        <v/>
      </c>
      <c r="E38" s="60" t="s">
        <v>93</v>
      </c>
    </row>
    <row r="39" spans="1:5" x14ac:dyDescent="0.25">
      <c r="A39">
        <v>34</v>
      </c>
      <c r="C39" s="28">
        <f>C40+105</f>
        <v>586</v>
      </c>
      <c r="D39" s="28" t="str">
        <f t="shared" si="1"/>
        <v/>
      </c>
      <c r="E39" s="60" t="s">
        <v>93</v>
      </c>
    </row>
    <row r="40" spans="1:5" x14ac:dyDescent="0.25">
      <c r="A40">
        <v>34</v>
      </c>
      <c r="C40" s="28">
        <v>481</v>
      </c>
      <c r="D40" s="28">
        <f t="shared" si="1"/>
        <v>105</v>
      </c>
      <c r="E40" s="60">
        <v>105</v>
      </c>
    </row>
    <row r="41" spans="1:5" x14ac:dyDescent="0.25">
      <c r="A41">
        <v>35</v>
      </c>
      <c r="C41" s="28">
        <f>$C$40+(A41-$A$40)*($C$45-$C$40)/($A$45-$A$40)</f>
        <v>522.6</v>
      </c>
      <c r="D41" s="28" t="str">
        <f t="shared" si="1"/>
        <v/>
      </c>
      <c r="E41" s="60" t="s">
        <v>93</v>
      </c>
    </row>
    <row r="42" spans="1:5" x14ac:dyDescent="0.25">
      <c r="A42">
        <v>36</v>
      </c>
      <c r="C42" s="28">
        <f t="shared" ref="C42:C44" si="6">$C$40+(A42-$A$40)*($C$45-$C$40)/($A$45-$A$40)</f>
        <v>564.20000000000005</v>
      </c>
      <c r="D42" s="28" t="str">
        <f t="shared" si="1"/>
        <v/>
      </c>
      <c r="E42" s="60" t="s">
        <v>93</v>
      </c>
    </row>
    <row r="43" spans="1:5" x14ac:dyDescent="0.25">
      <c r="A43">
        <v>37</v>
      </c>
      <c r="C43" s="28">
        <f t="shared" si="6"/>
        <v>605.79999999999995</v>
      </c>
      <c r="D43" s="28" t="str">
        <f t="shared" si="1"/>
        <v/>
      </c>
      <c r="E43" s="60" t="s">
        <v>93</v>
      </c>
    </row>
    <row r="44" spans="1:5" x14ac:dyDescent="0.25">
      <c r="A44">
        <v>38</v>
      </c>
      <c r="C44" s="28">
        <f t="shared" si="6"/>
        <v>647.4</v>
      </c>
      <c r="D44" s="28" t="str">
        <f t="shared" si="1"/>
        <v/>
      </c>
      <c r="E44" s="60" t="s">
        <v>93</v>
      </c>
    </row>
    <row r="45" spans="1:5" x14ac:dyDescent="0.25">
      <c r="A45">
        <v>39</v>
      </c>
      <c r="C45" s="28">
        <f>C46+105</f>
        <v>689</v>
      </c>
      <c r="D45" s="28" t="str">
        <f t="shared" si="1"/>
        <v/>
      </c>
      <c r="E45" s="60" t="s">
        <v>93</v>
      </c>
    </row>
    <row r="46" spans="1:5" x14ac:dyDescent="0.25">
      <c r="A46">
        <v>39</v>
      </c>
      <c r="C46" s="28">
        <v>584</v>
      </c>
      <c r="D46" s="28">
        <f t="shared" si="1"/>
        <v>105</v>
      </c>
      <c r="E46" s="60">
        <v>105</v>
      </c>
    </row>
    <row r="47" spans="1:5" x14ac:dyDescent="0.25">
      <c r="A47">
        <v>40</v>
      </c>
      <c r="C47" s="28">
        <f>$C$46+(A47-$A$46)*($C$51-$C$46)/($A$51-$A$46)</f>
        <v>621.79999999999995</v>
      </c>
      <c r="D47" s="28" t="str">
        <f t="shared" si="1"/>
        <v/>
      </c>
      <c r="E47" s="60" t="s">
        <v>93</v>
      </c>
    </row>
    <row r="48" spans="1:5" x14ac:dyDescent="0.25">
      <c r="A48">
        <v>41</v>
      </c>
      <c r="C48" s="28">
        <f t="shared" ref="C48:C50" si="7">$C$46+(A48-$A$46)*($C$51-$C$46)/($A$51-$A$46)</f>
        <v>659.6</v>
      </c>
      <c r="D48" s="28" t="str">
        <f t="shared" si="1"/>
        <v/>
      </c>
      <c r="E48" s="60" t="s">
        <v>93</v>
      </c>
    </row>
    <row r="49" spans="1:13" x14ac:dyDescent="0.25">
      <c r="A49">
        <v>42</v>
      </c>
      <c r="C49" s="28">
        <f t="shared" si="7"/>
        <v>697.4</v>
      </c>
      <c r="D49" s="28" t="str">
        <f t="shared" si="1"/>
        <v/>
      </c>
      <c r="E49" s="60" t="s">
        <v>93</v>
      </c>
    </row>
    <row r="50" spans="1:13" x14ac:dyDescent="0.25">
      <c r="A50">
        <v>43</v>
      </c>
      <c r="C50" s="28">
        <f t="shared" si="7"/>
        <v>735.2</v>
      </c>
      <c r="D50" s="28" t="str">
        <f t="shared" si="1"/>
        <v/>
      </c>
      <c r="E50" s="60" t="s">
        <v>93</v>
      </c>
    </row>
    <row r="51" spans="1:13" x14ac:dyDescent="0.25">
      <c r="A51">
        <v>44</v>
      </c>
      <c r="C51" s="28">
        <f>C52+86</f>
        <v>773</v>
      </c>
      <c r="D51" s="28" t="str">
        <f t="shared" si="1"/>
        <v/>
      </c>
      <c r="E51" s="60" t="s">
        <v>93</v>
      </c>
    </row>
    <row r="52" spans="1:13" x14ac:dyDescent="0.25">
      <c r="A52">
        <v>44</v>
      </c>
      <c r="C52" s="28">
        <v>687</v>
      </c>
      <c r="D52" s="28">
        <f t="shared" si="1"/>
        <v>86</v>
      </c>
      <c r="E52" s="60">
        <v>86</v>
      </c>
    </row>
    <row r="53" spans="1:13" x14ac:dyDescent="0.25">
      <c r="A53">
        <v>45</v>
      </c>
      <c r="C53" s="28">
        <f>$C$52+(A53-$A$52)*($C$57-$C$52)/($A$57-$A$52)</f>
        <v>721</v>
      </c>
      <c r="D53" s="28" t="str">
        <f t="shared" si="1"/>
        <v/>
      </c>
      <c r="E53" s="60" t="s">
        <v>93</v>
      </c>
      <c r="I53" s="32"/>
      <c r="J53" s="32"/>
      <c r="K53" s="32"/>
      <c r="L53" s="32"/>
      <c r="M53" s="32"/>
    </row>
    <row r="54" spans="1:13" x14ac:dyDescent="0.25">
      <c r="A54">
        <v>46</v>
      </c>
      <c r="C54" s="28">
        <f t="shared" ref="C54:C56" si="8">$C$52+(A54-$A$52)*($C$57-$C$52)/($A$57-$A$52)</f>
        <v>755</v>
      </c>
      <c r="D54" s="28" t="str">
        <f t="shared" si="1"/>
        <v/>
      </c>
      <c r="E54" s="60" t="s">
        <v>93</v>
      </c>
      <c r="I54" s="32"/>
      <c r="J54" s="32"/>
      <c r="K54" s="32"/>
      <c r="L54" s="32"/>
      <c r="M54" s="32"/>
    </row>
    <row r="55" spans="1:13" x14ac:dyDescent="0.25">
      <c r="A55">
        <v>47</v>
      </c>
      <c r="C55" s="28">
        <f t="shared" si="8"/>
        <v>789</v>
      </c>
      <c r="D55" s="28" t="str">
        <f t="shared" si="1"/>
        <v/>
      </c>
      <c r="E55" s="60" t="s">
        <v>93</v>
      </c>
      <c r="I55" s="32"/>
      <c r="J55" s="32"/>
      <c r="K55" s="32"/>
      <c r="L55" s="32"/>
      <c r="M55" s="32"/>
    </row>
    <row r="56" spans="1:13" x14ac:dyDescent="0.25">
      <c r="A56">
        <v>48</v>
      </c>
      <c r="C56" s="28">
        <f t="shared" si="8"/>
        <v>823</v>
      </c>
      <c r="D56" s="28" t="str">
        <f t="shared" si="1"/>
        <v/>
      </c>
      <c r="E56" s="60" t="s">
        <v>93</v>
      </c>
      <c r="I56" s="32"/>
      <c r="J56" s="32"/>
      <c r="K56" s="33"/>
      <c r="L56" s="32"/>
      <c r="M56" s="32"/>
    </row>
    <row r="57" spans="1:13" x14ac:dyDescent="0.25">
      <c r="A57">
        <v>49</v>
      </c>
      <c r="C57" s="28">
        <f>C58+73</f>
        <v>857</v>
      </c>
      <c r="D57" s="28" t="str">
        <f t="shared" si="1"/>
        <v/>
      </c>
      <c r="E57" s="60" t="s">
        <v>93</v>
      </c>
      <c r="I57" s="32"/>
      <c r="J57" s="32"/>
      <c r="K57" s="33"/>
      <c r="L57" s="32"/>
      <c r="M57" s="32"/>
    </row>
    <row r="58" spans="1:13" x14ac:dyDescent="0.25">
      <c r="A58">
        <v>49</v>
      </c>
      <c r="C58" s="28">
        <v>784</v>
      </c>
      <c r="D58" s="28">
        <f t="shared" si="1"/>
        <v>73</v>
      </c>
      <c r="E58" s="60">
        <v>73</v>
      </c>
      <c r="I58" s="32"/>
      <c r="J58" s="32"/>
      <c r="K58" s="33"/>
      <c r="L58" s="32"/>
      <c r="M58" s="32"/>
    </row>
    <row r="59" spans="1:13" x14ac:dyDescent="0.25">
      <c r="A59">
        <v>50</v>
      </c>
      <c r="C59" s="28">
        <f>$C$58+(A59-$A$58)*($C$63-$C$58)/($A$63-$A$58)</f>
        <v>813.8</v>
      </c>
      <c r="D59" s="28" t="str">
        <f t="shared" si="1"/>
        <v/>
      </c>
      <c r="E59" s="60" t="s">
        <v>93</v>
      </c>
      <c r="I59" s="32"/>
      <c r="J59" s="32"/>
      <c r="K59" s="33"/>
      <c r="L59" s="32"/>
      <c r="M59" s="32"/>
    </row>
    <row r="60" spans="1:13" x14ac:dyDescent="0.25">
      <c r="A60">
        <v>51</v>
      </c>
      <c r="C60" s="28">
        <f t="shared" ref="C60:C62" si="9">$C$58+(A60-$A$58)*($C$63-$C$58)/($A$63-$A$58)</f>
        <v>843.6</v>
      </c>
      <c r="D60" s="28" t="str">
        <f t="shared" si="1"/>
        <v/>
      </c>
      <c r="E60" s="60" t="s">
        <v>93</v>
      </c>
      <c r="I60" s="32"/>
      <c r="J60" s="32"/>
      <c r="K60" s="33"/>
      <c r="L60" s="32"/>
      <c r="M60" s="32"/>
    </row>
    <row r="61" spans="1:13" x14ac:dyDescent="0.25">
      <c r="A61">
        <v>52</v>
      </c>
      <c r="C61" s="28">
        <f t="shared" si="9"/>
        <v>873.4</v>
      </c>
      <c r="D61" s="28" t="str">
        <f t="shared" si="1"/>
        <v/>
      </c>
      <c r="E61" s="60" t="s">
        <v>93</v>
      </c>
      <c r="I61" s="32"/>
      <c r="J61" s="32"/>
      <c r="K61" s="32"/>
      <c r="L61" s="32"/>
      <c r="M61" s="32"/>
    </row>
    <row r="62" spans="1:13" x14ac:dyDescent="0.25">
      <c r="A62">
        <v>53</v>
      </c>
      <c r="C62" s="28">
        <f t="shared" si="9"/>
        <v>903.2</v>
      </c>
      <c r="D62" s="28" t="str">
        <f t="shared" si="1"/>
        <v/>
      </c>
      <c r="E62" s="60" t="s">
        <v>93</v>
      </c>
      <c r="I62" s="32"/>
      <c r="J62" s="32"/>
      <c r="K62" s="32"/>
      <c r="L62" s="32"/>
      <c r="M62" s="32"/>
    </row>
    <row r="63" spans="1:13" x14ac:dyDescent="0.25">
      <c r="A63">
        <v>54</v>
      </c>
      <c r="C63" s="28">
        <f>C64+64</f>
        <v>933</v>
      </c>
      <c r="D63" s="28" t="str">
        <f t="shared" si="1"/>
        <v/>
      </c>
      <c r="E63" s="60" t="s">
        <v>93</v>
      </c>
      <c r="I63" s="32"/>
      <c r="J63" s="32"/>
      <c r="K63" s="32"/>
      <c r="L63" s="32"/>
      <c r="M63" s="32"/>
    </row>
    <row r="64" spans="1:13" x14ac:dyDescent="0.25">
      <c r="A64">
        <v>54</v>
      </c>
      <c r="C64" s="28">
        <v>869</v>
      </c>
      <c r="D64" s="28">
        <f t="shared" si="1"/>
        <v>64</v>
      </c>
      <c r="E64" s="60">
        <v>64</v>
      </c>
      <c r="I64" s="32"/>
      <c r="J64" s="32"/>
      <c r="K64" s="32"/>
      <c r="L64" s="32"/>
      <c r="M64" s="32"/>
    </row>
    <row r="65" spans="1:13" x14ac:dyDescent="0.25">
      <c r="A65">
        <v>55</v>
      </c>
      <c r="C65" s="28">
        <f>$C$64+(A65-$A$64)*($C$69-$C$64)/($A$69-$A$64)</f>
        <v>918</v>
      </c>
      <c r="D65" s="28" t="str">
        <f t="shared" si="1"/>
        <v/>
      </c>
      <c r="E65" s="60" t="s">
        <v>93</v>
      </c>
      <c r="I65" s="32"/>
      <c r="J65" s="32"/>
      <c r="K65" s="32"/>
      <c r="L65" s="32"/>
      <c r="M65" s="32"/>
    </row>
    <row r="66" spans="1:13" x14ac:dyDescent="0.25">
      <c r="A66">
        <v>56</v>
      </c>
      <c r="C66" s="28">
        <f t="shared" ref="C66:C68" si="10">$C$64+(A66-$A$64)*($C$69-$C$64)/($A$69-$A$64)</f>
        <v>967</v>
      </c>
      <c r="D66" s="28" t="str">
        <f t="shared" si="1"/>
        <v/>
      </c>
      <c r="E66" s="60" t="s">
        <v>93</v>
      </c>
      <c r="I66" s="32"/>
      <c r="J66" s="32"/>
      <c r="K66" s="32"/>
      <c r="L66" s="32"/>
      <c r="M66" s="32"/>
    </row>
    <row r="67" spans="1:13" x14ac:dyDescent="0.25">
      <c r="A67">
        <v>57</v>
      </c>
      <c r="C67" s="28">
        <f t="shared" si="10"/>
        <v>1016</v>
      </c>
      <c r="D67" s="28" t="str">
        <f t="shared" si="1"/>
        <v/>
      </c>
      <c r="E67" s="60" t="s">
        <v>93</v>
      </c>
    </row>
    <row r="68" spans="1:13" x14ac:dyDescent="0.25">
      <c r="A68">
        <v>58</v>
      </c>
      <c r="C68" s="28">
        <f t="shared" si="10"/>
        <v>1065</v>
      </c>
      <c r="D68" s="28" t="str">
        <f t="shared" ref="D68:D93" si="11">IF(C67-C68&gt;0,C67-C68,"")</f>
        <v/>
      </c>
      <c r="E68" s="60" t="s">
        <v>93</v>
      </c>
    </row>
    <row r="69" spans="1:13" x14ac:dyDescent="0.25">
      <c r="A69">
        <v>59</v>
      </c>
      <c r="C69" s="28">
        <f>C70+57</f>
        <v>1114</v>
      </c>
      <c r="D69" s="28" t="str">
        <f t="shared" si="11"/>
        <v/>
      </c>
      <c r="E69" s="60" t="s">
        <v>93</v>
      </c>
    </row>
    <row r="70" spans="1:13" x14ac:dyDescent="0.25">
      <c r="A70">
        <v>59</v>
      </c>
      <c r="C70" s="28">
        <v>1057</v>
      </c>
      <c r="D70" s="28">
        <f t="shared" si="11"/>
        <v>57</v>
      </c>
      <c r="E70" s="60">
        <v>57</v>
      </c>
    </row>
    <row r="71" spans="1:13" x14ac:dyDescent="0.25">
      <c r="A71">
        <v>60</v>
      </c>
      <c r="C71" s="28">
        <f>$C$70+(A71-$A$70)*($C$75-$C$70)/($A$75-$A$70)</f>
        <v>1068</v>
      </c>
      <c r="D71" s="28" t="str">
        <f t="shared" si="11"/>
        <v/>
      </c>
      <c r="E71" s="60" t="s">
        <v>93</v>
      </c>
    </row>
    <row r="72" spans="1:13" x14ac:dyDescent="0.25">
      <c r="A72">
        <v>61</v>
      </c>
      <c r="C72" s="28">
        <f t="shared" ref="C72:C74" si="12">$C$70+(A72-$A$70)*($C$75-$C$70)/($A$75-$A$70)</f>
        <v>1079</v>
      </c>
      <c r="D72" s="28" t="str">
        <f t="shared" si="11"/>
        <v/>
      </c>
      <c r="E72" s="60" t="s">
        <v>93</v>
      </c>
    </row>
    <row r="73" spans="1:13" x14ac:dyDescent="0.25">
      <c r="A73">
        <v>62</v>
      </c>
      <c r="C73" s="28">
        <f t="shared" si="12"/>
        <v>1090</v>
      </c>
      <c r="D73" s="28" t="str">
        <f t="shared" si="11"/>
        <v/>
      </c>
      <c r="E73" s="60" t="s">
        <v>93</v>
      </c>
    </row>
    <row r="74" spans="1:13" x14ac:dyDescent="0.25">
      <c r="A74">
        <v>63</v>
      </c>
      <c r="C74" s="28">
        <f t="shared" si="12"/>
        <v>1101</v>
      </c>
      <c r="D74" s="28" t="str">
        <f t="shared" si="11"/>
        <v/>
      </c>
      <c r="E74" s="60" t="s">
        <v>93</v>
      </c>
    </row>
    <row r="75" spans="1:13" x14ac:dyDescent="0.25">
      <c r="A75">
        <v>64</v>
      </c>
      <c r="C75" s="28">
        <v>1112</v>
      </c>
      <c r="D75" s="28" t="str">
        <f t="shared" si="11"/>
        <v/>
      </c>
      <c r="E75" s="61"/>
    </row>
    <row r="76" spans="1:13" x14ac:dyDescent="0.25">
      <c r="A76">
        <v>64</v>
      </c>
      <c r="C76" s="28">
        <v>1004</v>
      </c>
      <c r="D76" s="28">
        <f t="shared" si="11"/>
        <v>108</v>
      </c>
      <c r="E76" s="60">
        <v>51</v>
      </c>
    </row>
    <row r="77" spans="1:13" x14ac:dyDescent="0.25">
      <c r="A77">
        <v>65</v>
      </c>
      <c r="C77" s="28">
        <f>$C$76+(A77-$A$76)*($C$81-$C$76)/($A$81-$A$76)</f>
        <v>1023.2</v>
      </c>
      <c r="D77" s="28" t="str">
        <f t="shared" si="11"/>
        <v/>
      </c>
      <c r="E77" s="60" t="s">
        <v>93</v>
      </c>
    </row>
    <row r="78" spans="1:13" x14ac:dyDescent="0.25">
      <c r="A78">
        <v>66</v>
      </c>
      <c r="C78" s="28">
        <f t="shared" ref="C78:C80" si="13">$C$76+(A78-$A$76)*($C$81-$C$76)/($A$81-$A$76)</f>
        <v>1042.4000000000001</v>
      </c>
      <c r="D78" s="28" t="str">
        <f t="shared" si="11"/>
        <v/>
      </c>
      <c r="E78" s="60" t="s">
        <v>93</v>
      </c>
    </row>
    <row r="79" spans="1:13" x14ac:dyDescent="0.25">
      <c r="A79">
        <v>67</v>
      </c>
      <c r="C79" s="28">
        <f t="shared" si="13"/>
        <v>1061.5999999999999</v>
      </c>
      <c r="D79" s="28" t="str">
        <f t="shared" si="11"/>
        <v/>
      </c>
      <c r="E79" s="60" t="s">
        <v>93</v>
      </c>
    </row>
    <row r="80" spans="1:13" x14ac:dyDescent="0.25">
      <c r="A80">
        <v>68</v>
      </c>
      <c r="C80" s="28">
        <f t="shared" si="13"/>
        <v>1080.8</v>
      </c>
      <c r="D80" s="28" t="str">
        <f t="shared" si="11"/>
        <v/>
      </c>
      <c r="E80" s="60" t="s">
        <v>93</v>
      </c>
    </row>
    <row r="81" spans="1:5" x14ac:dyDescent="0.25">
      <c r="A81">
        <v>69</v>
      </c>
      <c r="C81" s="28">
        <v>1100</v>
      </c>
      <c r="D81" s="28" t="str">
        <f t="shared" si="11"/>
        <v/>
      </c>
      <c r="E81" s="60" t="s">
        <v>93</v>
      </c>
    </row>
    <row r="82" spans="1:5" x14ac:dyDescent="0.25">
      <c r="A82">
        <v>69</v>
      </c>
      <c r="C82">
        <f>1055+45</f>
        <v>1100</v>
      </c>
      <c r="D82" s="28" t="str">
        <f t="shared" si="11"/>
        <v/>
      </c>
      <c r="E82" s="60">
        <v>45</v>
      </c>
    </row>
    <row r="83" spans="1:5" x14ac:dyDescent="0.25">
      <c r="A83">
        <v>70</v>
      </c>
      <c r="C83" s="28">
        <f>$C$82+(A83-$A$82)*($C$87-$C$82)/($A$87-$A$82)</f>
        <v>1115.4000000000001</v>
      </c>
      <c r="D83" s="28" t="str">
        <f t="shared" si="11"/>
        <v/>
      </c>
      <c r="E83" s="60" t="s">
        <v>93</v>
      </c>
    </row>
    <row r="84" spans="1:5" x14ac:dyDescent="0.25">
      <c r="A84">
        <v>71</v>
      </c>
      <c r="C84" s="28">
        <f t="shared" ref="C84:C86" si="14">$C$82+(A84-$A$82)*($C$87-$C$82)/($A$87-$A$82)</f>
        <v>1130.8</v>
      </c>
      <c r="D84" s="28" t="str">
        <f t="shared" si="11"/>
        <v/>
      </c>
      <c r="E84" s="60" t="s">
        <v>93</v>
      </c>
    </row>
    <row r="85" spans="1:5" x14ac:dyDescent="0.25">
      <c r="A85">
        <v>72</v>
      </c>
      <c r="C85" s="28">
        <f t="shared" si="14"/>
        <v>1146.2</v>
      </c>
      <c r="D85" s="28" t="str">
        <f t="shared" si="11"/>
        <v/>
      </c>
      <c r="E85" s="60" t="s">
        <v>93</v>
      </c>
    </row>
    <row r="86" spans="1:5" x14ac:dyDescent="0.25">
      <c r="A86">
        <v>73</v>
      </c>
      <c r="C86" s="28">
        <f t="shared" si="14"/>
        <v>1161.5999999999999</v>
      </c>
      <c r="D86" s="28" t="str">
        <f t="shared" si="11"/>
        <v/>
      </c>
      <c r="E86" s="60" t="s">
        <v>93</v>
      </c>
    </row>
    <row r="87" spans="1:5" x14ac:dyDescent="0.25">
      <c r="A87">
        <v>74</v>
      </c>
      <c r="C87" s="28">
        <v>1177</v>
      </c>
      <c r="D87" s="28" t="str">
        <f t="shared" si="11"/>
        <v/>
      </c>
      <c r="E87" s="61"/>
    </row>
    <row r="88" spans="1:5" x14ac:dyDescent="0.25">
      <c r="A88">
        <v>74</v>
      </c>
      <c r="C88" s="28">
        <v>1092</v>
      </c>
      <c r="D88" s="28">
        <f t="shared" si="11"/>
        <v>85</v>
      </c>
      <c r="E88" s="60">
        <v>40</v>
      </c>
    </row>
    <row r="89" spans="1:5" x14ac:dyDescent="0.25">
      <c r="A89">
        <v>75</v>
      </c>
      <c r="C89" s="28">
        <f>$C$88+(A89-$A$88)*($C$93-$C$88)/($A$93-$A$88)</f>
        <v>1104.4000000000001</v>
      </c>
      <c r="D89" s="28" t="str">
        <f t="shared" si="11"/>
        <v/>
      </c>
      <c r="E89" s="60" t="s">
        <v>93</v>
      </c>
    </row>
    <row r="90" spans="1:5" x14ac:dyDescent="0.25">
      <c r="A90">
        <v>76</v>
      </c>
      <c r="C90" s="28">
        <f t="shared" ref="C90:C92" si="15">$C$88+(A90-$A$88)*($C$93-$C$88)/($A$93-$A$88)</f>
        <v>1116.8</v>
      </c>
      <c r="D90" s="28" t="str">
        <f t="shared" si="11"/>
        <v/>
      </c>
      <c r="E90" s="60" t="s">
        <v>93</v>
      </c>
    </row>
    <row r="91" spans="1:5" x14ac:dyDescent="0.25">
      <c r="A91">
        <v>77</v>
      </c>
      <c r="C91" s="28">
        <f t="shared" si="15"/>
        <v>1129.2</v>
      </c>
      <c r="D91" s="28" t="str">
        <f t="shared" si="11"/>
        <v/>
      </c>
      <c r="E91" s="60" t="s">
        <v>93</v>
      </c>
    </row>
    <row r="92" spans="1:5" x14ac:dyDescent="0.25">
      <c r="A92">
        <v>78</v>
      </c>
      <c r="C92" s="28">
        <f t="shared" si="15"/>
        <v>1141.5999999999999</v>
      </c>
      <c r="D92" s="28" t="str">
        <f t="shared" si="11"/>
        <v/>
      </c>
      <c r="E92" s="60" t="s">
        <v>93</v>
      </c>
    </row>
    <row r="93" spans="1:5" x14ac:dyDescent="0.25">
      <c r="A93">
        <v>79</v>
      </c>
      <c r="C93" s="28">
        <f>1118+36</f>
        <v>1154</v>
      </c>
      <c r="D93" s="28" t="str">
        <f t="shared" si="11"/>
        <v/>
      </c>
      <c r="E93" s="60" t="s">
        <v>93</v>
      </c>
    </row>
    <row r="94" spans="1:5" x14ac:dyDescent="0.25">
      <c r="C94" s="28"/>
      <c r="D94" s="28"/>
    </row>
    <row r="95" spans="1:5" x14ac:dyDescent="0.25">
      <c r="C95" s="28"/>
      <c r="D95" s="28"/>
    </row>
    <row r="96" spans="1:5" x14ac:dyDescent="0.25">
      <c r="C96" s="28"/>
      <c r="D96" s="28"/>
    </row>
    <row r="97" spans="3:4" x14ac:dyDescent="0.25">
      <c r="C97" s="28"/>
      <c r="D97" s="28"/>
    </row>
    <row r="98" spans="3:4" x14ac:dyDescent="0.25">
      <c r="C98" s="28"/>
      <c r="D98" s="28"/>
    </row>
    <row r="99" spans="3:4" x14ac:dyDescent="0.25">
      <c r="C99" s="28"/>
      <c r="D99" s="28"/>
    </row>
    <row r="100" spans="3:4" x14ac:dyDescent="0.25">
      <c r="C100" s="28"/>
      <c r="D100" s="28"/>
    </row>
    <row r="101" spans="3:4" x14ac:dyDescent="0.25">
      <c r="C101" s="28"/>
      <c r="D101" s="2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L7" sqref="L7:L20"/>
    </sheetView>
  </sheetViews>
  <sheetFormatPr baseColWidth="10" defaultRowHeight="15" x14ac:dyDescent="0.25"/>
  <sheetData>
    <row r="1" spans="1:15" ht="21" x14ac:dyDescent="0.25">
      <c r="A1" s="34" t="s">
        <v>48</v>
      </c>
      <c r="B1" s="34" t="s">
        <v>49</v>
      </c>
      <c r="C1" s="34" t="s">
        <v>50</v>
      </c>
      <c r="D1" s="34" t="s">
        <v>51</v>
      </c>
      <c r="E1" s="34" t="s">
        <v>52</v>
      </c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5">
      <c r="A2" s="35" t="s">
        <v>53</v>
      </c>
      <c r="B2" s="36">
        <v>30</v>
      </c>
      <c r="C2" s="35" t="s">
        <v>54</v>
      </c>
      <c r="D2" s="36">
        <v>1.8</v>
      </c>
      <c r="E2" s="36">
        <v>1</v>
      </c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1" x14ac:dyDescent="0.25">
      <c r="A3" s="34" t="s">
        <v>55</v>
      </c>
      <c r="B3" s="34" t="s">
        <v>56</v>
      </c>
      <c r="C3" s="34" t="s">
        <v>57</v>
      </c>
      <c r="D3" s="34" t="s">
        <v>58</v>
      </c>
      <c r="E3" s="34" t="s">
        <v>59</v>
      </c>
      <c r="F3" s="34" t="s">
        <v>60</v>
      </c>
      <c r="G3" s="34" t="s">
        <v>61</v>
      </c>
      <c r="H3" s="34" t="s">
        <v>62</v>
      </c>
      <c r="I3" s="35"/>
      <c r="J3" s="35"/>
      <c r="K3" s="35"/>
      <c r="L3" s="35"/>
      <c r="M3" s="35"/>
      <c r="N3" s="35"/>
      <c r="O3" s="35"/>
    </row>
    <row r="4" spans="1:15" x14ac:dyDescent="0.25">
      <c r="A4" s="35" t="s">
        <v>63</v>
      </c>
      <c r="B4" s="35" t="s">
        <v>64</v>
      </c>
      <c r="C4" s="35" t="s">
        <v>65</v>
      </c>
      <c r="D4" s="35" t="s">
        <v>66</v>
      </c>
      <c r="E4" s="35" t="s">
        <v>67</v>
      </c>
      <c r="F4" s="35" t="s">
        <v>64</v>
      </c>
      <c r="G4" s="35" t="s">
        <v>68</v>
      </c>
      <c r="H4" s="35" t="s">
        <v>68</v>
      </c>
      <c r="I4" s="35"/>
      <c r="J4" s="35"/>
      <c r="K4" s="35"/>
      <c r="L4" s="35"/>
      <c r="M4" s="35"/>
      <c r="N4" s="35"/>
      <c r="O4" s="35"/>
    </row>
    <row r="5" spans="1:15" x14ac:dyDescent="0.25">
      <c r="A5" s="34"/>
      <c r="B5" s="34"/>
      <c r="C5" s="66" t="s">
        <v>69</v>
      </c>
      <c r="D5" s="66"/>
      <c r="E5" s="66"/>
      <c r="F5" s="66"/>
      <c r="G5" s="66"/>
      <c r="H5" s="66" t="s">
        <v>70</v>
      </c>
      <c r="I5" s="66"/>
      <c r="J5" s="66"/>
      <c r="K5" s="66"/>
      <c r="L5" s="66"/>
      <c r="M5" s="66" t="s">
        <v>71</v>
      </c>
      <c r="N5" s="66"/>
      <c r="O5" s="37" t="s">
        <v>72</v>
      </c>
    </row>
    <row r="6" spans="1:15" ht="21" x14ac:dyDescent="0.25">
      <c r="A6" s="37" t="s">
        <v>73</v>
      </c>
      <c r="B6" s="37" t="s">
        <v>74</v>
      </c>
      <c r="C6" s="37" t="s">
        <v>75</v>
      </c>
      <c r="D6" s="37" t="s">
        <v>76</v>
      </c>
      <c r="E6" s="37" t="s">
        <v>77</v>
      </c>
      <c r="F6" s="37" t="s">
        <v>78</v>
      </c>
      <c r="G6" s="37" t="s">
        <v>79</v>
      </c>
      <c r="H6" s="37" t="s">
        <v>75</v>
      </c>
      <c r="I6" s="37" t="s">
        <v>76</v>
      </c>
      <c r="J6" s="37" t="s">
        <v>77</v>
      </c>
      <c r="K6" s="37" t="s">
        <v>78</v>
      </c>
      <c r="L6" s="37" t="s">
        <v>79</v>
      </c>
      <c r="M6" s="37" t="s">
        <v>77</v>
      </c>
      <c r="N6" s="37" t="s">
        <v>79</v>
      </c>
      <c r="O6" s="37" t="s">
        <v>80</v>
      </c>
    </row>
    <row r="7" spans="1:15" x14ac:dyDescent="0.25">
      <c r="A7" s="38">
        <v>14</v>
      </c>
      <c r="B7" s="38">
        <v>9.1</v>
      </c>
      <c r="C7" s="38">
        <v>2722</v>
      </c>
      <c r="D7" s="38">
        <v>12</v>
      </c>
      <c r="E7" s="38">
        <v>31</v>
      </c>
      <c r="F7" s="38">
        <v>0.03</v>
      </c>
      <c r="G7" s="38">
        <v>92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31</v>
      </c>
      <c r="N7" s="38">
        <v>92</v>
      </c>
      <c r="O7" s="36">
        <v>6.5</v>
      </c>
    </row>
    <row r="8" spans="1:15" x14ac:dyDescent="0.25">
      <c r="A8" s="38">
        <v>19</v>
      </c>
      <c r="B8" s="38">
        <v>14.1</v>
      </c>
      <c r="C8" s="38">
        <v>1271</v>
      </c>
      <c r="D8" s="38">
        <v>15</v>
      </c>
      <c r="E8" s="38">
        <v>23</v>
      </c>
      <c r="F8" s="38">
        <v>0.1</v>
      </c>
      <c r="G8" s="38">
        <v>130</v>
      </c>
      <c r="H8" s="38">
        <v>1451</v>
      </c>
      <c r="I8" s="38">
        <v>14</v>
      </c>
      <c r="J8" s="38">
        <v>22</v>
      </c>
      <c r="K8" s="38">
        <v>7.0000000000000007E-2</v>
      </c>
      <c r="L8" s="38">
        <v>105</v>
      </c>
      <c r="M8" s="38">
        <v>46</v>
      </c>
      <c r="N8" s="38">
        <v>235</v>
      </c>
      <c r="O8" s="36">
        <v>12.4</v>
      </c>
    </row>
    <row r="9" spans="1:15" x14ac:dyDescent="0.25">
      <c r="A9" s="38">
        <v>24</v>
      </c>
      <c r="B9" s="38">
        <v>19.2</v>
      </c>
      <c r="C9" s="38">
        <v>784</v>
      </c>
      <c r="D9" s="38">
        <v>21</v>
      </c>
      <c r="E9" s="38">
        <v>27</v>
      </c>
      <c r="F9" s="38">
        <v>0.3</v>
      </c>
      <c r="G9" s="38">
        <v>234</v>
      </c>
      <c r="H9" s="38">
        <v>487</v>
      </c>
      <c r="I9" s="38">
        <v>18</v>
      </c>
      <c r="J9" s="38">
        <v>13</v>
      </c>
      <c r="K9" s="38">
        <v>0.22</v>
      </c>
      <c r="L9" s="38">
        <v>105</v>
      </c>
      <c r="M9" s="38">
        <v>62</v>
      </c>
      <c r="N9" s="38">
        <v>444</v>
      </c>
      <c r="O9" s="36">
        <v>18.5</v>
      </c>
    </row>
    <row r="10" spans="1:15" x14ac:dyDescent="0.25">
      <c r="A10" s="38">
        <v>29</v>
      </c>
      <c r="B10" s="38">
        <v>23.9</v>
      </c>
      <c r="C10" s="38">
        <v>555</v>
      </c>
      <c r="D10" s="38">
        <v>27</v>
      </c>
      <c r="E10" s="38">
        <v>32</v>
      </c>
      <c r="F10" s="38">
        <v>0.65</v>
      </c>
      <c r="G10" s="38">
        <v>360</v>
      </c>
      <c r="H10" s="38">
        <v>230</v>
      </c>
      <c r="I10" s="38">
        <v>24</v>
      </c>
      <c r="J10" s="38">
        <v>10</v>
      </c>
      <c r="K10" s="38">
        <v>0.46</v>
      </c>
      <c r="L10" s="38">
        <v>105</v>
      </c>
      <c r="M10" s="38">
        <v>77</v>
      </c>
      <c r="N10" s="38">
        <v>675</v>
      </c>
      <c r="O10" s="36">
        <v>23.3</v>
      </c>
    </row>
    <row r="11" spans="1:15" x14ac:dyDescent="0.25">
      <c r="A11" s="38">
        <v>34</v>
      </c>
      <c r="B11" s="38">
        <v>28.1</v>
      </c>
      <c r="C11" s="38">
        <v>435</v>
      </c>
      <c r="D11" s="38">
        <v>33</v>
      </c>
      <c r="E11" s="38">
        <v>37</v>
      </c>
      <c r="F11" s="38">
        <v>1.1000000000000001</v>
      </c>
      <c r="G11" s="38">
        <v>481</v>
      </c>
      <c r="H11" s="38">
        <v>119</v>
      </c>
      <c r="I11" s="38">
        <v>29</v>
      </c>
      <c r="J11" s="38">
        <v>8</v>
      </c>
      <c r="K11" s="38">
        <v>0.88</v>
      </c>
      <c r="L11" s="38">
        <v>105</v>
      </c>
      <c r="M11" s="38">
        <v>90</v>
      </c>
      <c r="N11" s="38">
        <v>901</v>
      </c>
      <c r="O11" s="36">
        <v>26.5</v>
      </c>
    </row>
    <row r="12" spans="1:15" x14ac:dyDescent="0.25">
      <c r="A12" s="38">
        <v>39</v>
      </c>
      <c r="B12" s="38">
        <v>31.7</v>
      </c>
      <c r="C12" s="38">
        <v>358</v>
      </c>
      <c r="D12" s="38">
        <v>38</v>
      </c>
      <c r="E12" s="38">
        <v>41</v>
      </c>
      <c r="F12" s="38">
        <v>1.63</v>
      </c>
      <c r="G12" s="38">
        <v>584</v>
      </c>
      <c r="H12" s="38">
        <v>78</v>
      </c>
      <c r="I12" s="38">
        <v>34</v>
      </c>
      <c r="J12" s="38">
        <v>7</v>
      </c>
      <c r="K12" s="38">
        <v>1.35</v>
      </c>
      <c r="L12" s="38">
        <v>105</v>
      </c>
      <c r="M12" s="38">
        <v>101</v>
      </c>
      <c r="N12" s="38">
        <v>1109</v>
      </c>
      <c r="O12" s="36">
        <v>28.4</v>
      </c>
    </row>
    <row r="13" spans="1:15" x14ac:dyDescent="0.25">
      <c r="A13" s="38">
        <v>44</v>
      </c>
      <c r="B13" s="38">
        <v>34.700000000000003</v>
      </c>
      <c r="C13" s="38">
        <v>312</v>
      </c>
      <c r="D13" s="38">
        <v>43</v>
      </c>
      <c r="E13" s="38">
        <v>45</v>
      </c>
      <c r="F13" s="38">
        <v>2.2000000000000002</v>
      </c>
      <c r="G13" s="38">
        <v>687</v>
      </c>
      <c r="H13" s="38">
        <v>46</v>
      </c>
      <c r="I13" s="38">
        <v>39</v>
      </c>
      <c r="J13" s="38">
        <v>6</v>
      </c>
      <c r="K13" s="38">
        <v>1.89</v>
      </c>
      <c r="L13" s="38">
        <v>86</v>
      </c>
      <c r="M13" s="38">
        <v>111</v>
      </c>
      <c r="N13" s="38">
        <v>1299</v>
      </c>
      <c r="O13" s="36">
        <v>29.5</v>
      </c>
    </row>
    <row r="14" spans="1:15" x14ac:dyDescent="0.25">
      <c r="A14" s="38">
        <v>49</v>
      </c>
      <c r="B14" s="38">
        <v>37.200000000000003</v>
      </c>
      <c r="C14" s="38">
        <v>282</v>
      </c>
      <c r="D14" s="38">
        <v>47</v>
      </c>
      <c r="E14" s="38">
        <v>49</v>
      </c>
      <c r="F14" s="38">
        <v>2.78</v>
      </c>
      <c r="G14" s="38">
        <v>784</v>
      </c>
      <c r="H14" s="38">
        <v>30</v>
      </c>
      <c r="I14" s="38">
        <v>44</v>
      </c>
      <c r="J14" s="38">
        <v>5</v>
      </c>
      <c r="K14" s="38">
        <v>2.42</v>
      </c>
      <c r="L14" s="38">
        <v>73</v>
      </c>
      <c r="M14" s="38">
        <v>120</v>
      </c>
      <c r="N14" s="38">
        <v>1468</v>
      </c>
      <c r="O14" s="36">
        <v>30</v>
      </c>
    </row>
    <row r="15" spans="1:15" x14ac:dyDescent="0.25">
      <c r="A15" s="38">
        <v>54</v>
      </c>
      <c r="B15" s="38">
        <v>39.299999999999997</v>
      </c>
      <c r="C15" s="38">
        <v>260</v>
      </c>
      <c r="D15" s="38">
        <v>51</v>
      </c>
      <c r="E15" s="38">
        <v>53</v>
      </c>
      <c r="F15" s="38">
        <v>3.34</v>
      </c>
      <c r="G15" s="38">
        <v>869</v>
      </c>
      <c r="H15" s="38">
        <v>22</v>
      </c>
      <c r="I15" s="38">
        <v>48</v>
      </c>
      <c r="J15" s="38">
        <v>4</v>
      </c>
      <c r="K15" s="38">
        <v>2.96</v>
      </c>
      <c r="L15" s="38">
        <v>64</v>
      </c>
      <c r="M15" s="38">
        <v>128</v>
      </c>
      <c r="N15" s="38">
        <v>1617</v>
      </c>
      <c r="O15" s="36">
        <v>29.9</v>
      </c>
    </row>
    <row r="16" spans="1:15" x14ac:dyDescent="0.25">
      <c r="A16" s="38">
        <v>59</v>
      </c>
      <c r="B16" s="38">
        <v>41.1</v>
      </c>
      <c r="C16" s="38">
        <v>244</v>
      </c>
      <c r="D16" s="38">
        <v>54</v>
      </c>
      <c r="E16" s="38">
        <v>57</v>
      </c>
      <c r="F16" s="38">
        <v>3.86</v>
      </c>
      <c r="G16" s="38">
        <v>943</v>
      </c>
      <c r="H16" s="38">
        <v>16</v>
      </c>
      <c r="I16" s="38">
        <v>52</v>
      </c>
      <c r="J16" s="38">
        <v>3</v>
      </c>
      <c r="K16" s="38">
        <v>3.49</v>
      </c>
      <c r="L16" s="38">
        <v>57</v>
      </c>
      <c r="M16" s="38">
        <v>135</v>
      </c>
      <c r="N16" s="38">
        <v>1747</v>
      </c>
      <c r="O16" s="36">
        <v>29.6</v>
      </c>
    </row>
    <row r="17" spans="1:15" x14ac:dyDescent="0.25">
      <c r="A17" s="38">
        <v>64</v>
      </c>
      <c r="B17" s="38">
        <v>42.6</v>
      </c>
      <c r="C17" s="38">
        <v>232</v>
      </c>
      <c r="D17" s="38">
        <v>57</v>
      </c>
      <c r="E17" s="38">
        <v>60</v>
      </c>
      <c r="F17" s="38">
        <v>4.33</v>
      </c>
      <c r="G17" s="38">
        <v>1004</v>
      </c>
      <c r="H17" s="38">
        <v>13</v>
      </c>
      <c r="I17" s="38">
        <v>56</v>
      </c>
      <c r="J17" s="38">
        <v>3</v>
      </c>
      <c r="K17" s="38">
        <v>4.05</v>
      </c>
      <c r="L17" s="38">
        <v>51</v>
      </c>
      <c r="M17" s="38">
        <v>141</v>
      </c>
      <c r="N17" s="38">
        <v>1859</v>
      </c>
      <c r="O17" s="36">
        <v>29.1</v>
      </c>
    </row>
    <row r="18" spans="1:15" x14ac:dyDescent="0.25">
      <c r="A18" s="38">
        <v>69</v>
      </c>
      <c r="B18" s="38">
        <v>43.7</v>
      </c>
      <c r="C18" s="38">
        <v>222</v>
      </c>
      <c r="D18" s="38">
        <v>60</v>
      </c>
      <c r="E18" s="38">
        <v>62</v>
      </c>
      <c r="F18" s="38">
        <v>4.75</v>
      </c>
      <c r="G18" s="38">
        <v>1055</v>
      </c>
      <c r="H18" s="38">
        <v>10</v>
      </c>
      <c r="I18" s="38">
        <v>59</v>
      </c>
      <c r="J18" s="38">
        <v>3</v>
      </c>
      <c r="K18" s="38">
        <v>4.6100000000000003</v>
      </c>
      <c r="L18" s="38">
        <v>45</v>
      </c>
      <c r="M18" s="38">
        <v>146</v>
      </c>
      <c r="N18" s="38">
        <v>1955</v>
      </c>
      <c r="O18" s="36">
        <v>28.3</v>
      </c>
    </row>
    <row r="19" spans="1:15" x14ac:dyDescent="0.25">
      <c r="A19" s="38">
        <v>74</v>
      </c>
      <c r="B19" s="38">
        <v>44.7</v>
      </c>
      <c r="C19" s="38">
        <v>214</v>
      </c>
      <c r="D19" s="38">
        <v>62</v>
      </c>
      <c r="E19" s="38">
        <v>64</v>
      </c>
      <c r="F19" s="38">
        <v>5.0999999999999996</v>
      </c>
      <c r="G19" s="38">
        <v>1092</v>
      </c>
      <c r="H19" s="38">
        <v>8</v>
      </c>
      <c r="I19" s="38">
        <v>62</v>
      </c>
      <c r="J19" s="38">
        <v>2</v>
      </c>
      <c r="K19" s="38">
        <v>4.99</v>
      </c>
      <c r="L19" s="38">
        <v>40</v>
      </c>
      <c r="M19" s="38">
        <v>150</v>
      </c>
      <c r="N19" s="38">
        <v>2033</v>
      </c>
      <c r="O19" s="36">
        <v>27.5</v>
      </c>
    </row>
    <row r="20" spans="1:15" x14ac:dyDescent="0.25">
      <c r="A20" s="38">
        <v>79</v>
      </c>
      <c r="B20" s="38">
        <v>45.4</v>
      </c>
      <c r="C20" s="38">
        <v>208</v>
      </c>
      <c r="D20" s="38">
        <v>63</v>
      </c>
      <c r="E20" s="38">
        <v>66</v>
      </c>
      <c r="F20" s="38">
        <v>5.39</v>
      </c>
      <c r="G20" s="38">
        <v>1118</v>
      </c>
      <c r="H20" s="38">
        <v>7</v>
      </c>
      <c r="I20" s="38">
        <v>64</v>
      </c>
      <c r="J20" s="38">
        <v>2</v>
      </c>
      <c r="K20" s="38">
        <v>5.52</v>
      </c>
      <c r="L20" s="38">
        <v>36</v>
      </c>
      <c r="M20" s="38">
        <v>154</v>
      </c>
      <c r="N20" s="38">
        <v>2094</v>
      </c>
      <c r="O20" s="36">
        <v>26.5</v>
      </c>
    </row>
  </sheetData>
  <mergeCells count="3">
    <mergeCell ref="C5:G5"/>
    <mergeCell ref="H5:L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 calculs</vt:lpstr>
      <vt:lpstr>Paramètres</vt:lpstr>
      <vt:lpstr>Interpolation linéaire</vt:lpstr>
      <vt:lpstr>Table de production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GILEN</cp:lastModifiedBy>
  <dcterms:created xsi:type="dcterms:W3CDTF">2020-11-04T14:07:21Z</dcterms:created>
  <dcterms:modified xsi:type="dcterms:W3CDTF">2021-03-03T15:57:35Z</dcterms:modified>
</cp:coreProperties>
</file>