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Formulaire Reconstitution 1\"/>
    </mc:Choice>
  </mc:AlternateContent>
  <bookViews>
    <workbookView xWindow="0" yWindow="0" windowWidth="23940" windowHeight="9630"/>
  </bookViews>
  <sheets>
    <sheet name="Sommaire" sheetId="2" r:id="rId1"/>
    <sheet name="6" sheetId="3" r:id="rId2"/>
    <sheet name="8" sheetId="4" r:id="rId3"/>
    <sheet name="10" sheetId="5" r:id="rId4"/>
    <sheet name="11" sheetId="6" r:id="rId5"/>
  </sheets>
  <externalReferences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K4" i="6" l="1"/>
  <c r="K3" i="6"/>
  <c r="B11" i="6"/>
  <c r="E5" i="6"/>
  <c r="C5" i="6"/>
  <c r="G4" i="6"/>
  <c r="F4" i="6"/>
  <c r="D4" i="6"/>
  <c r="D5" i="6" s="1"/>
  <c r="B4" i="6"/>
  <c r="G3" i="6"/>
  <c r="F3" i="6"/>
  <c r="H11" i="6" s="1"/>
  <c r="I11" i="6" s="1"/>
  <c r="H5" i="2" s="1"/>
  <c r="B3" i="6"/>
  <c r="B11" i="5"/>
  <c r="G3" i="5"/>
  <c r="J11" i="5" s="1"/>
  <c r="I4" i="2" s="1"/>
  <c r="F3" i="5"/>
  <c r="H11" i="5" s="1"/>
  <c r="G4" i="2" s="1"/>
  <c r="B3" i="5"/>
  <c r="F11" i="5" s="1"/>
  <c r="B11" i="4"/>
  <c r="E5" i="4"/>
  <c r="C5" i="4"/>
  <c r="K4" i="4"/>
  <c r="G4" i="4"/>
  <c r="F4" i="4"/>
  <c r="D4" i="4"/>
  <c r="B4" i="4"/>
  <c r="K3" i="4"/>
  <c r="G3" i="4"/>
  <c r="F3" i="4"/>
  <c r="H11" i="4" s="1"/>
  <c r="I11" i="4" s="1"/>
  <c r="H3" i="2" s="1"/>
  <c r="B3" i="4"/>
  <c r="B11" i="3"/>
  <c r="E5" i="3"/>
  <c r="C5" i="3"/>
  <c r="K4" i="3"/>
  <c r="G4" i="3"/>
  <c r="F4" i="3"/>
  <c r="D4" i="3"/>
  <c r="D5" i="3" s="1"/>
  <c r="B4" i="3"/>
  <c r="K3" i="3"/>
  <c r="G3" i="3"/>
  <c r="F3" i="3"/>
  <c r="H11" i="3" s="1"/>
  <c r="I11" i="3" s="1"/>
  <c r="H2" i="2" s="1"/>
  <c r="B3" i="3"/>
  <c r="G5" i="6" l="1"/>
  <c r="J11" i="3"/>
  <c r="K11" i="3" s="1"/>
  <c r="J2" i="2" s="1"/>
  <c r="F11" i="6"/>
  <c r="G3" i="2"/>
  <c r="G11" i="5"/>
  <c r="F4" i="2" s="1"/>
  <c r="E4" i="2"/>
  <c r="K4" i="2" s="1"/>
  <c r="H4" i="3"/>
  <c r="L4" i="3" s="1"/>
  <c r="B5" i="4"/>
  <c r="H3" i="6"/>
  <c r="M3" i="6" s="1"/>
  <c r="G5" i="4"/>
  <c r="H3" i="3"/>
  <c r="L3" i="3" s="1"/>
  <c r="H4" i="6"/>
  <c r="M4" i="6" s="1"/>
  <c r="H4" i="4"/>
  <c r="M4" i="4" s="1"/>
  <c r="G2" i="2"/>
  <c r="J11" i="6"/>
  <c r="I5" i="2" s="1"/>
  <c r="G5" i="2"/>
  <c r="K11" i="5"/>
  <c r="J4" i="2" s="1"/>
  <c r="B5" i="6"/>
  <c r="E5" i="2"/>
  <c r="F5" i="6"/>
  <c r="I11" i="5"/>
  <c r="H4" i="2" s="1"/>
  <c r="H13" i="2" s="1"/>
  <c r="L11" i="5"/>
  <c r="M11" i="5" s="1"/>
  <c r="H3" i="5"/>
  <c r="D5" i="4"/>
  <c r="H3" i="4"/>
  <c r="F5" i="4"/>
  <c r="J11" i="4"/>
  <c r="F11" i="4"/>
  <c r="E3" i="2" s="1"/>
  <c r="B5" i="3"/>
  <c r="F11" i="3"/>
  <c r="E2" i="2" s="1"/>
  <c r="F5" i="3"/>
  <c r="G5" i="3"/>
  <c r="I2" i="2" l="1"/>
  <c r="K2" i="2" s="1"/>
  <c r="G13" i="2"/>
  <c r="L4" i="4"/>
  <c r="L4" i="6"/>
  <c r="E13" i="2"/>
  <c r="K11" i="6"/>
  <c r="J5" i="2" s="1"/>
  <c r="J13" i="2"/>
  <c r="K5" i="2"/>
  <c r="M3" i="3"/>
  <c r="M5" i="3" s="1"/>
  <c r="H5" i="3"/>
  <c r="L3" i="6"/>
  <c r="M4" i="3"/>
  <c r="H5" i="6"/>
  <c r="K11" i="4"/>
  <c r="J3" i="2" s="1"/>
  <c r="I3" i="2"/>
  <c r="K3" i="2" s="1"/>
  <c r="L4" i="2"/>
  <c r="G11" i="6"/>
  <c r="F5" i="2" s="1"/>
  <c r="L11" i="6"/>
  <c r="M11" i="6" s="1"/>
  <c r="L5" i="6"/>
  <c r="M5" i="6"/>
  <c r="L3" i="5"/>
  <c r="M3" i="5"/>
  <c r="L11" i="4"/>
  <c r="M11" i="4" s="1"/>
  <c r="G11" i="4"/>
  <c r="F3" i="2" s="1"/>
  <c r="M3" i="4"/>
  <c r="M5" i="4" s="1"/>
  <c r="H5" i="4"/>
  <c r="L3" i="4"/>
  <c r="L5" i="4" s="1"/>
  <c r="G11" i="3"/>
  <c r="F2" i="2" s="1"/>
  <c r="L11" i="3"/>
  <c r="M11" i="3" s="1"/>
  <c r="L5" i="3"/>
  <c r="K13" i="2" l="1"/>
  <c r="L2" i="2"/>
  <c r="F13" i="2"/>
  <c r="I13" i="2"/>
  <c r="L3" i="2"/>
  <c r="L5" i="2"/>
  <c r="L13" i="2" l="1"/>
</calcChain>
</file>

<file path=xl/sharedStrings.xml><?xml version="1.0" encoding="utf-8"?>
<sst xmlns="http://schemas.openxmlformats.org/spreadsheetml/2006/main" count="132" uniqueCount="45">
  <si>
    <t>N°Feuille</t>
  </si>
  <si>
    <t>Propriétaire</t>
  </si>
  <si>
    <t>Essences</t>
  </si>
  <si>
    <t>Surface 
retenue (-10%)</t>
  </si>
  <si>
    <t>REA forêt</t>
  </si>
  <si>
    <t>REA forêt
avec rabais</t>
  </si>
  <si>
    <t>REA 
produits</t>
  </si>
  <si>
    <t>REA produits 
avec rabais</t>
  </si>
  <si>
    <t>REI 
substitution</t>
  </si>
  <si>
    <t>REI subs. 
avec rabais</t>
  </si>
  <si>
    <t>REE</t>
  </si>
  <si>
    <t>REE avec 
rabais</t>
  </si>
  <si>
    <t>Aulne glutineux 100%</t>
  </si>
  <si>
    <t>Cabrol</t>
  </si>
  <si>
    <t>Chêne rouge 86% Sequoia 14%</t>
  </si>
  <si>
    <t>Bidart</t>
  </si>
  <si>
    <t>Luro</t>
  </si>
  <si>
    <t>Chêne rouge 88% et Sequoia 12%</t>
  </si>
  <si>
    <t>Tableau synthétique</t>
  </si>
  <si>
    <t>Reconstitution Hergarai 1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</si>
  <si>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</si>
  <si>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</si>
  <si>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</si>
  <si>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</si>
  <si>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risque 
non permanence</t>
  </si>
  <si>
    <t>Rabais risque incendie</t>
  </si>
  <si>
    <t>Surface (ha)</t>
  </si>
  <si>
    <t>REE (tCO₂)</t>
  </si>
  <si>
    <t>REE sans 
rabais (tCO₂)</t>
  </si>
  <si>
    <t>Biomasse</t>
  </si>
  <si>
    <t>Sol</t>
  </si>
  <si>
    <t>Litière</t>
  </si>
  <si>
    <t>Bois mort</t>
  </si>
  <si>
    <t>Boisement Sequoia</t>
  </si>
  <si>
    <t>Boisement chêne rouge d'Amérique</t>
  </si>
  <si>
    <t>Total</t>
  </si>
  <si>
    <t>TOTAL</t>
  </si>
  <si>
    <t>Rabais</t>
  </si>
  <si>
    <t>REA forêt 
avec rabais</t>
  </si>
  <si>
    <t>REA produits</t>
  </si>
  <si>
    <t>REA produits
avec rabais</t>
  </si>
  <si>
    <t>REI substitution</t>
  </si>
  <si>
    <t>REI substitution
avec rabais</t>
  </si>
  <si>
    <t>REE avec rabais</t>
  </si>
  <si>
    <t>Aulne glutineux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</si>
</sst>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Border="1"/>
    <xf numFmtId="1" fontId="0" fillId="2" borderId="1" xfId="0" applyNumberFormat="1" applyFill="1" applyBorder="1"/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Border="1"/>
    <xf numFmtId="0" fontId="1" fillId="0" borderId="1" xfId="0" applyFont="1" applyFill="1" applyBorder="1"/>
    <xf numFmtId="164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sequoia%20avec%20acc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ch&#234;ne%20rouge%20avec%20acc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aulne%20glutine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alculs"/>
      <sheetName val="Paramètres"/>
      <sheetName val="Interpolation linéaire"/>
      <sheetName val="Table de production"/>
    </sheetNames>
    <sheetDataSet>
      <sheetData sheetId="0">
        <row r="7">
          <cell r="V7">
            <v>378.01836569956606</v>
          </cell>
        </row>
        <row r="14">
          <cell r="V14">
            <v>135.828</v>
          </cell>
        </row>
        <row r="15">
          <cell r="V15">
            <v>70.665170635898733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O7">
            <v>334.30499163994523</v>
          </cell>
        </row>
        <row r="9">
          <cell r="O9">
            <v>36.666666666666664</v>
          </cell>
        </row>
        <row r="14">
          <cell r="O14">
            <v>14.75</v>
          </cell>
        </row>
        <row r="15">
          <cell r="O1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M7">
            <v>232.71810987543691</v>
          </cell>
        </row>
        <row r="14">
          <cell r="M14">
            <v>0</v>
          </cell>
        </row>
        <row r="15">
          <cell r="M1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E1" workbookViewId="0">
      <selection activeCell="O10" sqref="O10"/>
    </sheetView>
  </sheetViews>
  <sheetFormatPr baseColWidth="10" defaultRowHeight="15" x14ac:dyDescent="0.25"/>
  <cols>
    <col min="3" max="3" width="40.85546875" customWidth="1"/>
    <col min="4" max="4" width="14.42578125" customWidth="1"/>
    <col min="5" max="5" width="12.5703125" bestFit="1" customWidth="1"/>
    <col min="6" max="6" width="12.7109375" bestFit="1" customWidth="1"/>
    <col min="7" max="7" width="9.28515625" bestFit="1" customWidth="1"/>
    <col min="10" max="10" width="12.85546875" customWidth="1"/>
    <col min="11" max="11" width="12.42578125" customWidth="1"/>
    <col min="13" max="13" width="10.140625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1" t="s">
        <v>10</v>
      </c>
      <c r="L1" s="2" t="s">
        <v>11</v>
      </c>
    </row>
    <row r="2" spans="1:12" x14ac:dyDescent="0.25">
      <c r="A2" s="7">
        <v>6</v>
      </c>
      <c r="B2" s="7" t="s">
        <v>13</v>
      </c>
      <c r="C2" s="7" t="s">
        <v>14</v>
      </c>
      <c r="D2" s="7">
        <v>0.75</v>
      </c>
      <c r="E2" s="8">
        <f>'6'!F11</f>
        <v>282.85364800621915</v>
      </c>
      <c r="F2" s="8">
        <f>'6'!G11</f>
        <v>216.38304072475765</v>
      </c>
      <c r="G2" s="9">
        <f>'6'!H11</f>
        <v>7.419842916769368</v>
      </c>
      <c r="H2" s="9">
        <f>'6'!I11</f>
        <v>5.6761798313285663</v>
      </c>
      <c r="I2" s="10">
        <f>'6'!J11</f>
        <v>23.775690000000001</v>
      </c>
      <c r="J2" s="10">
        <f>'6'!K11</f>
        <v>18.188402849999999</v>
      </c>
      <c r="K2" s="11">
        <f t="shared" ref="K2:L5" si="0">E2+G2+I2</f>
        <v>314.04918092298851</v>
      </c>
      <c r="L2" s="11">
        <f t="shared" si="0"/>
        <v>240.24762340608621</v>
      </c>
    </row>
    <row r="3" spans="1:12" x14ac:dyDescent="0.25">
      <c r="A3" s="7">
        <v>8</v>
      </c>
      <c r="B3" s="7" t="s">
        <v>15</v>
      </c>
      <c r="C3" s="7" t="s">
        <v>14</v>
      </c>
      <c r="D3" s="7">
        <v>0.6</v>
      </c>
      <c r="E3" s="8">
        <f>'8'!F11</f>
        <v>226.28291840497531</v>
      </c>
      <c r="F3" s="8">
        <f>'8'!G11</f>
        <v>173.10643257980612</v>
      </c>
      <c r="G3" s="9">
        <f>'8'!H11</f>
        <v>5.9358743334154935</v>
      </c>
      <c r="H3" s="9">
        <f>'8'!I11</f>
        <v>4.5409438650628529</v>
      </c>
      <c r="I3" s="10">
        <f>'8'!J11</f>
        <v>19.020552000000002</v>
      </c>
      <c r="J3" s="10">
        <f>'8'!K11</f>
        <v>14.550722280000002</v>
      </c>
      <c r="K3" s="11">
        <f t="shared" si="0"/>
        <v>251.2393447383908</v>
      </c>
      <c r="L3" s="11">
        <f t="shared" si="0"/>
        <v>192.19809872486897</v>
      </c>
    </row>
    <row r="4" spans="1:12" x14ac:dyDescent="0.25">
      <c r="A4" s="7">
        <v>10</v>
      </c>
      <c r="B4" s="7" t="s">
        <v>16</v>
      </c>
      <c r="C4" s="7" t="s">
        <v>12</v>
      </c>
      <c r="D4" s="7">
        <v>0.15</v>
      </c>
      <c r="E4" s="8">
        <f>'10'!F11</f>
        <v>40.457716481315529</v>
      </c>
      <c r="F4" s="8">
        <f>'10'!G11</f>
        <v>32.77075034986558</v>
      </c>
      <c r="G4" s="9">
        <f>'10'!H11</f>
        <v>0</v>
      </c>
      <c r="H4" s="9">
        <f>'10'!I11</f>
        <v>0</v>
      </c>
      <c r="I4" s="10">
        <f>'10'!J11</f>
        <v>0</v>
      </c>
      <c r="J4" s="10">
        <f>'10'!K11</f>
        <v>0</v>
      </c>
      <c r="K4" s="11">
        <f t="shared" si="0"/>
        <v>40.457716481315529</v>
      </c>
      <c r="L4" s="11">
        <f t="shared" si="0"/>
        <v>32.77075034986558</v>
      </c>
    </row>
    <row r="5" spans="1:12" x14ac:dyDescent="0.25">
      <c r="A5" s="7">
        <v>11</v>
      </c>
      <c r="B5" s="7" t="s">
        <v>16</v>
      </c>
      <c r="C5" s="7" t="s">
        <v>17</v>
      </c>
      <c r="D5" s="7">
        <v>0.6</v>
      </c>
      <c r="E5" s="8">
        <f>'11'!F11</f>
        <v>225.75435791625986</v>
      </c>
      <c r="F5" s="8">
        <f>'11'!G11</f>
        <v>182.86102991217049</v>
      </c>
      <c r="G5" s="9">
        <f>'11'!H11</f>
        <v>5.087892285784708</v>
      </c>
      <c r="H5" s="9">
        <f>'11'!I11</f>
        <v>4.1211927514856139</v>
      </c>
      <c r="I5" s="10">
        <f>'11'!J11</f>
        <v>17.567616000000001</v>
      </c>
      <c r="J5" s="10">
        <f>'11'!K11</f>
        <v>14.229768960000001</v>
      </c>
      <c r="K5" s="11">
        <f t="shared" si="0"/>
        <v>248.40986620204455</v>
      </c>
      <c r="L5" s="11">
        <f t="shared" si="0"/>
        <v>201.2119916236561</v>
      </c>
    </row>
    <row r="12" spans="1:12" ht="45" x14ac:dyDescent="0.25">
      <c r="C12" s="12" t="s">
        <v>18</v>
      </c>
      <c r="D12" s="2" t="s">
        <v>3</v>
      </c>
      <c r="E12" s="3" t="s">
        <v>4</v>
      </c>
      <c r="F12" s="4" t="s">
        <v>5</v>
      </c>
      <c r="G12" s="5" t="s">
        <v>6</v>
      </c>
      <c r="H12" s="5" t="s">
        <v>7</v>
      </c>
      <c r="I12" s="6" t="s">
        <v>8</v>
      </c>
      <c r="J12" s="6" t="s">
        <v>9</v>
      </c>
      <c r="K12" s="1" t="s">
        <v>10</v>
      </c>
      <c r="L12" s="2" t="s">
        <v>11</v>
      </c>
    </row>
    <row r="13" spans="1:12" x14ac:dyDescent="0.25">
      <c r="C13" s="12" t="s">
        <v>19</v>
      </c>
      <c r="D13" s="13">
        <f>SUM(D2:D5)</f>
        <v>2.1</v>
      </c>
      <c r="E13" s="13">
        <f t="shared" ref="E13:L13" si="1">SUM(E2:E5)</f>
        <v>775.34864080876991</v>
      </c>
      <c r="F13" s="13">
        <f t="shared" si="1"/>
        <v>605.12125356659988</v>
      </c>
      <c r="G13" s="13">
        <f t="shared" si="1"/>
        <v>18.443609535969571</v>
      </c>
      <c r="H13" s="13">
        <f t="shared" si="1"/>
        <v>14.338316447877032</v>
      </c>
      <c r="I13" s="13">
        <f t="shared" si="1"/>
        <v>60.363858000000008</v>
      </c>
      <c r="J13" s="13">
        <f t="shared" si="1"/>
        <v>46.968894090000006</v>
      </c>
      <c r="K13" s="11">
        <f t="shared" si="1"/>
        <v>854.15610834473932</v>
      </c>
      <c r="L13" s="11">
        <f t="shared" si="1"/>
        <v>666.42846410447692</v>
      </c>
    </row>
    <row r="15" spans="1:12" x14ac:dyDescent="0.25">
      <c r="K15" s="14"/>
    </row>
    <row r="19" spans="12:12" x14ac:dyDescent="0.25">
      <c r="L1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E1" workbookViewId="0">
      <selection activeCell="L8" sqref="L8"/>
    </sheetView>
  </sheetViews>
  <sheetFormatPr baseColWidth="10" defaultRowHeight="15" x14ac:dyDescent="0.25"/>
  <cols>
    <col min="1" max="1" width="33.42578125" bestFit="1" customWidth="1"/>
    <col min="8" max="8" width="13" bestFit="1" customWidth="1"/>
    <col min="9" max="9" width="12.7109375" customWidth="1"/>
    <col min="11" max="11" width="13.85546875" customWidth="1"/>
  </cols>
  <sheetData>
    <row r="1" spans="1:13" ht="15" customHeight="1" x14ac:dyDescent="0.25">
      <c r="A1" s="15"/>
      <c r="B1" s="46" t="s">
        <v>20</v>
      </c>
      <c r="C1" s="46"/>
      <c r="D1" s="46"/>
      <c r="E1" s="46"/>
      <c r="F1" s="47" t="s">
        <v>21</v>
      </c>
      <c r="G1" s="49" t="s">
        <v>22</v>
      </c>
      <c r="H1" s="42" t="s">
        <v>23</v>
      </c>
      <c r="I1" s="51" t="s">
        <v>24</v>
      </c>
      <c r="J1" s="52" t="s">
        <v>25</v>
      </c>
      <c r="K1" s="42" t="s">
        <v>26</v>
      </c>
      <c r="L1" s="43" t="s">
        <v>27</v>
      </c>
      <c r="M1" s="44" t="s">
        <v>28</v>
      </c>
    </row>
    <row r="2" spans="1:13" x14ac:dyDescent="0.25">
      <c r="A2" s="15"/>
      <c r="B2" s="16" t="s">
        <v>29</v>
      </c>
      <c r="C2" s="16" t="s">
        <v>30</v>
      </c>
      <c r="D2" s="16" t="s">
        <v>31</v>
      </c>
      <c r="E2" s="16" t="s">
        <v>32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7" t="s">
        <v>33</v>
      </c>
      <c r="B3" s="18">
        <f>'[1]Tableau calculs'!$V$7</f>
        <v>378.01836569956606</v>
      </c>
      <c r="C3" s="19">
        <v>0</v>
      </c>
      <c r="D3" s="18">
        <v>37</v>
      </c>
      <c r="E3" s="19">
        <v>0</v>
      </c>
      <c r="F3" s="20">
        <f>'[1]Tableau calculs'!$V$15</f>
        <v>70.665170635898733</v>
      </c>
      <c r="G3" s="21">
        <f>'[1]Tableau calculs'!$V$14</f>
        <v>135.828</v>
      </c>
      <c r="H3" s="22">
        <f>SUM(B3:G3)</f>
        <v>621.51153633546483</v>
      </c>
      <c r="I3" s="23">
        <v>0.1</v>
      </c>
      <c r="J3" s="24">
        <v>0.15</v>
      </c>
      <c r="K3" s="17">
        <f>0.14*0.75</f>
        <v>0.10500000000000001</v>
      </c>
      <c r="L3" s="25">
        <f>H3*(100%-I3)*(100%-J3)*K3</f>
        <v>49.92291415614622</v>
      </c>
      <c r="M3" s="26">
        <f>H3*K3</f>
        <v>65.258711315223806</v>
      </c>
    </row>
    <row r="4" spans="1:13" x14ac:dyDescent="0.25">
      <c r="A4" s="17" t="s">
        <v>34</v>
      </c>
      <c r="B4" s="18">
        <f>[2]Calcul!$O$7</f>
        <v>334.30499163994523</v>
      </c>
      <c r="C4" s="19">
        <v>0</v>
      </c>
      <c r="D4" s="18">
        <f>[2]Calcul!$O$9</f>
        <v>36.666666666666664</v>
      </c>
      <c r="E4" s="19">
        <v>0</v>
      </c>
      <c r="F4" s="20">
        <f>[2]Calcul!$O$15</f>
        <v>0</v>
      </c>
      <c r="G4" s="21">
        <f>[2]Calcul!$O$14</f>
        <v>14.75</v>
      </c>
      <c r="H4" s="22">
        <f>SUM(B4:G4)</f>
        <v>385.72165830661191</v>
      </c>
      <c r="I4" s="23">
        <v>0.1</v>
      </c>
      <c r="J4" s="23">
        <v>0.15</v>
      </c>
      <c r="K4" s="17">
        <f>0.86*0.75</f>
        <v>0.64500000000000002</v>
      </c>
      <c r="L4" s="25">
        <f>H4*(100%-I4)*(100%-J4)*K4</f>
        <v>190.32470924993999</v>
      </c>
      <c r="M4" s="26">
        <f>H4*K4</f>
        <v>248.79046960776469</v>
      </c>
    </row>
    <row r="5" spans="1:13" x14ac:dyDescent="0.25">
      <c r="A5" s="7" t="s">
        <v>35</v>
      </c>
      <c r="B5" s="22">
        <f>B3+B4</f>
        <v>712.32335733951129</v>
      </c>
      <c r="C5" s="22">
        <f t="shared" ref="C5:H5" si="0">C3+C4</f>
        <v>0</v>
      </c>
      <c r="D5" s="22">
        <f t="shared" si="0"/>
        <v>73.666666666666657</v>
      </c>
      <c r="E5" s="22">
        <f t="shared" si="0"/>
        <v>0</v>
      </c>
      <c r="F5" s="22">
        <f t="shared" si="0"/>
        <v>70.665170635898733</v>
      </c>
      <c r="G5" s="22">
        <f t="shared" si="0"/>
        <v>150.578</v>
      </c>
      <c r="H5" s="22">
        <f t="shared" si="0"/>
        <v>1007.2331946420768</v>
      </c>
      <c r="I5" s="15"/>
      <c r="J5" s="15"/>
      <c r="K5" s="27" t="s">
        <v>36</v>
      </c>
      <c r="L5" s="28">
        <f>SUM(L3:L4)</f>
        <v>240.24762340608621</v>
      </c>
      <c r="M5" s="29">
        <f>SUM(M3:M4)</f>
        <v>314.04918092298851</v>
      </c>
    </row>
    <row r="6" spans="1:13" x14ac:dyDescent="0.25">
      <c r="B6" s="30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x14ac:dyDescent="0.25">
      <c r="A7" s="15"/>
      <c r="B7" s="31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 x14ac:dyDescent="0.25">
      <c r="A8" s="15"/>
      <c r="B8" s="31"/>
      <c r="D8" s="15"/>
      <c r="E8" s="15"/>
      <c r="F8" s="15"/>
      <c r="G8" s="15"/>
      <c r="H8" s="15"/>
      <c r="I8" s="15"/>
      <c r="J8" s="15"/>
      <c r="K8" s="15"/>
      <c r="L8" s="15"/>
    </row>
    <row r="9" spans="1:13" x14ac:dyDescent="0.25">
      <c r="A9" s="15"/>
      <c r="B9" s="31"/>
      <c r="D9" s="15"/>
      <c r="E9" s="15"/>
      <c r="F9" s="15"/>
      <c r="G9" s="15"/>
      <c r="H9" s="15"/>
      <c r="I9" s="15"/>
      <c r="J9" s="15"/>
      <c r="K9" s="15"/>
      <c r="L9" s="15"/>
    </row>
    <row r="10" spans="1:13" ht="45" x14ac:dyDescent="0.25">
      <c r="A10" s="15"/>
      <c r="B10" s="31" t="s">
        <v>37</v>
      </c>
      <c r="D10" s="15"/>
      <c r="E10" s="15"/>
      <c r="F10" s="19" t="s">
        <v>4</v>
      </c>
      <c r="G10" s="32" t="s">
        <v>38</v>
      </c>
      <c r="H10" s="20" t="s">
        <v>39</v>
      </c>
      <c r="I10" s="33" t="s">
        <v>40</v>
      </c>
      <c r="J10" s="34" t="s">
        <v>41</v>
      </c>
      <c r="K10" s="35" t="s">
        <v>42</v>
      </c>
      <c r="L10" s="17" t="s">
        <v>10</v>
      </c>
      <c r="M10" s="36" t="s">
        <v>43</v>
      </c>
    </row>
    <row r="11" spans="1:13" x14ac:dyDescent="0.25">
      <c r="A11" s="15"/>
      <c r="B11" s="37">
        <f>(100%-I3)*(100%-J3)</f>
        <v>0.76500000000000001</v>
      </c>
      <c r="D11" s="15"/>
      <c r="E11" s="15"/>
      <c r="F11" s="18">
        <f>(B3+D3)*K3+(B4+D4)*K4</f>
        <v>282.85364800621915</v>
      </c>
      <c r="G11" s="18">
        <f>F11*B11</f>
        <v>216.38304072475765</v>
      </c>
      <c r="H11" s="20">
        <f>F3*K3</f>
        <v>7.419842916769368</v>
      </c>
      <c r="I11" s="20">
        <f>H11*B11</f>
        <v>5.6761798313285663</v>
      </c>
      <c r="J11" s="38">
        <f>G3*K3+G4*K4</f>
        <v>23.775690000000001</v>
      </c>
      <c r="K11" s="38">
        <f>B11*J11</f>
        <v>18.188402849999999</v>
      </c>
      <c r="L11" s="22">
        <f>F11+H11+J11</f>
        <v>314.04918092298851</v>
      </c>
      <c r="M11" s="11">
        <f>B11*L11</f>
        <v>240.24762340608621</v>
      </c>
    </row>
    <row r="12" spans="1:13" x14ac:dyDescent="0.25">
      <c r="A12" s="15"/>
      <c r="B12" s="39"/>
      <c r="D12" s="15"/>
      <c r="E12" s="15"/>
      <c r="F12" s="15"/>
      <c r="G12" s="15"/>
      <c r="H12" s="15"/>
      <c r="I12" s="15"/>
      <c r="J12" s="15"/>
      <c r="K12" s="15"/>
      <c r="L12" s="15"/>
    </row>
    <row r="13" spans="1:13" x14ac:dyDescent="0.25">
      <c r="A13" s="40"/>
      <c r="B13" s="41"/>
      <c r="E13" s="15"/>
    </row>
    <row r="14" spans="1:13" x14ac:dyDescent="0.25">
      <c r="E14" s="15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C1" workbookViewId="0">
      <selection activeCell="J4" sqref="J4"/>
    </sheetView>
  </sheetViews>
  <sheetFormatPr baseColWidth="10" defaultRowHeight="15" x14ac:dyDescent="0.25"/>
  <cols>
    <col min="9" max="9" width="12.7109375" customWidth="1"/>
    <col min="10" max="10" width="14.85546875" bestFit="1" customWidth="1"/>
    <col min="11" max="11" width="14.5703125" customWidth="1"/>
  </cols>
  <sheetData>
    <row r="1" spans="1:13" ht="15" customHeight="1" x14ac:dyDescent="0.25">
      <c r="A1" s="15"/>
      <c r="B1" s="58" t="s">
        <v>20</v>
      </c>
      <c r="C1" s="59"/>
      <c r="D1" s="59"/>
      <c r="E1" s="60"/>
      <c r="F1" s="61" t="s">
        <v>21</v>
      </c>
      <c r="G1" s="63" t="s">
        <v>22</v>
      </c>
      <c r="H1" s="54" t="s">
        <v>23</v>
      </c>
      <c r="I1" s="52" t="s">
        <v>24</v>
      </c>
      <c r="J1" s="52" t="s">
        <v>25</v>
      </c>
      <c r="K1" s="54" t="s">
        <v>26</v>
      </c>
      <c r="L1" s="56" t="s">
        <v>27</v>
      </c>
      <c r="M1" s="44" t="s">
        <v>28</v>
      </c>
    </row>
    <row r="2" spans="1:13" x14ac:dyDescent="0.25">
      <c r="A2" s="15"/>
      <c r="B2" s="16" t="s">
        <v>29</v>
      </c>
      <c r="C2" s="16" t="s">
        <v>30</v>
      </c>
      <c r="D2" s="16" t="s">
        <v>31</v>
      </c>
      <c r="E2" s="16" t="s">
        <v>32</v>
      </c>
      <c r="F2" s="62"/>
      <c r="G2" s="64"/>
      <c r="H2" s="55"/>
      <c r="I2" s="53"/>
      <c r="J2" s="53"/>
      <c r="K2" s="55"/>
      <c r="L2" s="57"/>
      <c r="M2" s="45"/>
    </row>
    <row r="3" spans="1:13" x14ac:dyDescent="0.25">
      <c r="A3" s="17" t="s">
        <v>33</v>
      </c>
      <c r="B3" s="18">
        <f>'[1]Tableau calculs'!$V$7</f>
        <v>378.01836569956606</v>
      </c>
      <c r="C3" s="19">
        <v>0</v>
      </c>
      <c r="D3" s="18">
        <v>37</v>
      </c>
      <c r="E3" s="19">
        <v>0</v>
      </c>
      <c r="F3" s="20">
        <f>'[1]Tableau calculs'!$V$15</f>
        <v>70.665170635898733</v>
      </c>
      <c r="G3" s="21">
        <f>'[1]Tableau calculs'!$V$14</f>
        <v>135.828</v>
      </c>
      <c r="H3" s="22">
        <f>SUM(B3:G3)</f>
        <v>621.51153633546483</v>
      </c>
      <c r="I3" s="23">
        <v>0.1</v>
      </c>
      <c r="J3" s="24">
        <v>0.15</v>
      </c>
      <c r="K3" s="17">
        <f>0.14*0.6</f>
        <v>8.4000000000000005E-2</v>
      </c>
      <c r="L3" s="25">
        <f>H3*(100%-I3)*(100%-J3)*K3</f>
        <v>39.938331324916973</v>
      </c>
      <c r="M3" s="26">
        <f>H3*K3</f>
        <v>52.206969052179048</v>
      </c>
    </row>
    <row r="4" spans="1:13" x14ac:dyDescent="0.25">
      <c r="A4" s="17" t="s">
        <v>34</v>
      </c>
      <c r="B4" s="18">
        <f>[2]Calcul!$O$7</f>
        <v>334.30499163994523</v>
      </c>
      <c r="C4" s="19">
        <v>0</v>
      </c>
      <c r="D4" s="18">
        <f>[2]Calcul!$O$9</f>
        <v>36.666666666666664</v>
      </c>
      <c r="E4" s="19">
        <v>0</v>
      </c>
      <c r="F4" s="20">
        <f>[2]Calcul!$O$15</f>
        <v>0</v>
      </c>
      <c r="G4" s="21">
        <f>[2]Calcul!$O$14</f>
        <v>14.75</v>
      </c>
      <c r="H4" s="22">
        <f>SUM(B4:G4)</f>
        <v>385.72165830661191</v>
      </c>
      <c r="I4" s="23">
        <v>0.1</v>
      </c>
      <c r="J4" s="23">
        <v>0.15</v>
      </c>
      <c r="K4" s="17">
        <f>0.86*0.6</f>
        <v>0.51600000000000001</v>
      </c>
      <c r="L4" s="25">
        <f>H4*(100%-I4)*(100%-J4)*K4</f>
        <v>152.25976739995198</v>
      </c>
      <c r="M4" s="26">
        <f>H4*K4</f>
        <v>199.03237568621176</v>
      </c>
    </row>
    <row r="5" spans="1:13" x14ac:dyDescent="0.25">
      <c r="A5" s="7" t="s">
        <v>35</v>
      </c>
      <c r="B5" s="22">
        <f>B3+B4</f>
        <v>712.32335733951129</v>
      </c>
      <c r="C5" s="22">
        <f t="shared" ref="C5:H5" si="0">C3+C4</f>
        <v>0</v>
      </c>
      <c r="D5" s="22">
        <f t="shared" si="0"/>
        <v>73.666666666666657</v>
      </c>
      <c r="E5" s="22">
        <f t="shared" si="0"/>
        <v>0</v>
      </c>
      <c r="F5" s="22">
        <f t="shared" si="0"/>
        <v>70.665170635898733</v>
      </c>
      <c r="G5" s="22">
        <f t="shared" si="0"/>
        <v>150.578</v>
      </c>
      <c r="H5" s="22">
        <f t="shared" si="0"/>
        <v>1007.2331946420768</v>
      </c>
      <c r="I5" s="15"/>
      <c r="J5" s="15"/>
      <c r="K5" s="27" t="s">
        <v>36</v>
      </c>
      <c r="L5" s="28">
        <f>SUM(L3:L4)</f>
        <v>192.19809872486894</v>
      </c>
      <c r="M5" s="29">
        <f>SUM(M3:M4)</f>
        <v>251.2393447383908</v>
      </c>
    </row>
    <row r="6" spans="1:13" x14ac:dyDescent="0.25">
      <c r="B6" s="30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x14ac:dyDescent="0.25">
      <c r="A7" s="15"/>
      <c r="B7" s="31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 x14ac:dyDescent="0.25">
      <c r="A8" s="15"/>
      <c r="B8" s="31"/>
      <c r="D8" s="15"/>
      <c r="E8" s="15"/>
      <c r="F8" s="15"/>
      <c r="G8" s="15"/>
      <c r="H8" s="15"/>
      <c r="I8" s="15"/>
      <c r="J8" s="15"/>
      <c r="K8" s="15"/>
      <c r="L8" s="15"/>
    </row>
    <row r="9" spans="1:13" x14ac:dyDescent="0.25">
      <c r="A9" s="15"/>
      <c r="B9" s="31"/>
      <c r="D9" s="15"/>
      <c r="E9" s="15"/>
      <c r="F9" s="15"/>
      <c r="G9" s="15"/>
      <c r="H9" s="15"/>
      <c r="I9" s="15"/>
      <c r="J9" s="15"/>
      <c r="K9" s="15"/>
      <c r="L9" s="15"/>
    </row>
    <row r="10" spans="1:13" ht="45" x14ac:dyDescent="0.25">
      <c r="A10" s="15"/>
      <c r="B10" s="31" t="s">
        <v>37</v>
      </c>
      <c r="D10" s="15"/>
      <c r="E10" s="15"/>
      <c r="F10" s="19" t="s">
        <v>4</v>
      </c>
      <c r="G10" s="32" t="s">
        <v>38</v>
      </c>
      <c r="H10" s="20" t="s">
        <v>39</v>
      </c>
      <c r="I10" s="33" t="s">
        <v>40</v>
      </c>
      <c r="J10" s="34" t="s">
        <v>41</v>
      </c>
      <c r="K10" s="35" t="s">
        <v>42</v>
      </c>
      <c r="L10" s="17" t="s">
        <v>10</v>
      </c>
      <c r="M10" s="36" t="s">
        <v>43</v>
      </c>
    </row>
    <row r="11" spans="1:13" x14ac:dyDescent="0.25">
      <c r="A11" s="15"/>
      <c r="B11" s="37">
        <f>(100%-I3)*(100%-J3)</f>
        <v>0.76500000000000001</v>
      </c>
      <c r="D11" s="15"/>
      <c r="E11" s="15"/>
      <c r="F11" s="18">
        <f>(B3+D3)*K3+(B4+D4)*K4</f>
        <v>226.28291840497531</v>
      </c>
      <c r="G11" s="18">
        <f>F11*B11</f>
        <v>173.10643257980612</v>
      </c>
      <c r="H11" s="20">
        <f>F3*K3</f>
        <v>5.9358743334154935</v>
      </c>
      <c r="I11" s="20">
        <f>H11*B11</f>
        <v>4.5409438650628529</v>
      </c>
      <c r="J11" s="38">
        <f>G3*K3+G4*K4</f>
        <v>19.020552000000002</v>
      </c>
      <c r="K11" s="38">
        <f>B11*J11</f>
        <v>14.550722280000002</v>
      </c>
      <c r="L11" s="22">
        <f>F11+H11+J11</f>
        <v>251.2393447383908</v>
      </c>
      <c r="M11" s="11">
        <f>B11*L11</f>
        <v>192.19809872486897</v>
      </c>
    </row>
    <row r="12" spans="1:13" x14ac:dyDescent="0.25">
      <c r="A12" s="15"/>
      <c r="B12" s="39"/>
      <c r="D12" s="15"/>
      <c r="E12" s="15"/>
      <c r="F12" s="15"/>
      <c r="G12" s="15"/>
      <c r="H12" s="15"/>
      <c r="I12" s="15"/>
      <c r="J12" s="15"/>
      <c r="K12" s="15"/>
      <c r="L12" s="15"/>
    </row>
    <row r="13" spans="1:13" x14ac:dyDescent="0.25">
      <c r="A13" s="40"/>
      <c r="B13" s="41"/>
      <c r="E13" s="15"/>
    </row>
    <row r="14" spans="1:13" x14ac:dyDescent="0.25">
      <c r="E14" s="15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E1" workbookViewId="0">
      <selection activeCell="K4" sqref="K4"/>
    </sheetView>
  </sheetViews>
  <sheetFormatPr baseColWidth="10" defaultRowHeight="15" x14ac:dyDescent="0.25"/>
  <cols>
    <col min="1" max="1" width="15.140625" bestFit="1" customWidth="1"/>
    <col min="11" max="11" width="15.85546875" customWidth="1"/>
  </cols>
  <sheetData>
    <row r="1" spans="1:13" ht="15" customHeight="1" x14ac:dyDescent="0.25">
      <c r="A1" s="15"/>
      <c r="B1" s="46" t="s">
        <v>20</v>
      </c>
      <c r="C1" s="46"/>
      <c r="D1" s="46"/>
      <c r="E1" s="46"/>
      <c r="F1" s="47" t="s">
        <v>21</v>
      </c>
      <c r="G1" s="49" t="s">
        <v>22</v>
      </c>
      <c r="H1" s="42" t="s">
        <v>23</v>
      </c>
      <c r="I1" s="51" t="s">
        <v>24</v>
      </c>
      <c r="J1" s="52" t="s">
        <v>25</v>
      </c>
      <c r="K1" s="42" t="s">
        <v>26</v>
      </c>
      <c r="L1" s="43" t="s">
        <v>27</v>
      </c>
      <c r="M1" s="44" t="s">
        <v>28</v>
      </c>
    </row>
    <row r="2" spans="1:13" x14ac:dyDescent="0.25">
      <c r="A2" s="15"/>
      <c r="B2" s="16" t="s">
        <v>29</v>
      </c>
      <c r="C2" s="16" t="s">
        <v>30</v>
      </c>
      <c r="D2" s="16" t="s">
        <v>31</v>
      </c>
      <c r="E2" s="16" t="s">
        <v>32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7" t="s">
        <v>44</v>
      </c>
      <c r="B3" s="18">
        <f>[3]Calcul!$M$7</f>
        <v>232.71810987543691</v>
      </c>
      <c r="C3" s="19">
        <v>0</v>
      </c>
      <c r="D3" s="18">
        <v>37</v>
      </c>
      <c r="E3" s="19">
        <v>0</v>
      </c>
      <c r="F3" s="20">
        <f>[3]Calcul!$M$15</f>
        <v>0</v>
      </c>
      <c r="G3" s="21">
        <f>[3]Calcul!$M$14</f>
        <v>0</v>
      </c>
      <c r="H3" s="22">
        <f>SUM(B3:G3)</f>
        <v>269.71810987543688</v>
      </c>
      <c r="I3" s="23">
        <v>0.1</v>
      </c>
      <c r="J3" s="24">
        <v>0.1</v>
      </c>
      <c r="K3" s="17">
        <v>0.15</v>
      </c>
      <c r="L3" s="25">
        <f>H3*(100%-I3)*(100%-J3)*K3</f>
        <v>32.77075034986558</v>
      </c>
      <c r="M3" s="26">
        <f>H3*K3</f>
        <v>40.457716481315529</v>
      </c>
    </row>
    <row r="6" spans="1:13" x14ac:dyDescent="0.25">
      <c r="A6" s="15"/>
      <c r="B6" s="31"/>
    </row>
    <row r="7" spans="1:13" x14ac:dyDescent="0.25">
      <c r="A7" s="15"/>
      <c r="B7" s="31"/>
    </row>
    <row r="8" spans="1:13" x14ac:dyDescent="0.25">
      <c r="A8" s="15"/>
      <c r="B8" s="31"/>
    </row>
    <row r="9" spans="1:13" x14ac:dyDescent="0.25">
      <c r="A9" s="15"/>
      <c r="B9" s="31"/>
    </row>
    <row r="10" spans="1:13" ht="45" x14ac:dyDescent="0.25">
      <c r="A10" s="15"/>
      <c r="B10" s="31" t="s">
        <v>37</v>
      </c>
      <c r="D10" s="15"/>
      <c r="E10" s="15"/>
      <c r="F10" s="19" t="s">
        <v>4</v>
      </c>
      <c r="G10" s="32" t="s">
        <v>38</v>
      </c>
      <c r="H10" s="20" t="s">
        <v>39</v>
      </c>
      <c r="I10" s="33" t="s">
        <v>40</v>
      </c>
      <c r="J10" s="34" t="s">
        <v>41</v>
      </c>
      <c r="K10" s="35" t="s">
        <v>42</v>
      </c>
      <c r="L10" s="17" t="s">
        <v>10</v>
      </c>
      <c r="M10" s="36" t="s">
        <v>43</v>
      </c>
    </row>
    <row r="11" spans="1:13" x14ac:dyDescent="0.25">
      <c r="A11" s="15"/>
      <c r="B11" s="37">
        <f>(100%-I3)*(100%-J3)</f>
        <v>0.81</v>
      </c>
      <c r="D11" s="15"/>
      <c r="E11" s="15"/>
      <c r="F11" s="18">
        <f>(B3+D3)*K3+(B4+D4)*L4</f>
        <v>40.457716481315529</v>
      </c>
      <c r="G11" s="18">
        <f>F11*B11</f>
        <v>32.77075034986558</v>
      </c>
      <c r="H11" s="20">
        <f>F3*K3</f>
        <v>0</v>
      </c>
      <c r="I11" s="20">
        <f>H11*B11</f>
        <v>0</v>
      </c>
      <c r="J11" s="38">
        <f>G3*K3+G4*L4</f>
        <v>0</v>
      </c>
      <c r="K11" s="38">
        <f>B11*J11</f>
        <v>0</v>
      </c>
      <c r="L11" s="22">
        <f>F11+H11+J11</f>
        <v>40.457716481315529</v>
      </c>
      <c r="M11" s="11">
        <f>B11*L11</f>
        <v>32.77075034986558</v>
      </c>
    </row>
    <row r="12" spans="1:13" x14ac:dyDescent="0.25">
      <c r="A12" s="40"/>
      <c r="B12" s="41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2" sqref="F12"/>
    </sheetView>
  </sheetViews>
  <sheetFormatPr baseColWidth="10" defaultRowHeight="15" x14ac:dyDescent="0.25"/>
  <cols>
    <col min="1" max="1" width="33.42578125" bestFit="1" customWidth="1"/>
    <col min="9" max="9" width="12.42578125" customWidth="1"/>
    <col min="11" max="11" width="15.140625" customWidth="1"/>
  </cols>
  <sheetData>
    <row r="1" spans="1:13" ht="15" customHeight="1" x14ac:dyDescent="0.25">
      <c r="A1" s="15"/>
      <c r="B1" s="46" t="s">
        <v>20</v>
      </c>
      <c r="C1" s="46"/>
      <c r="D1" s="46"/>
      <c r="E1" s="46"/>
      <c r="F1" s="47" t="s">
        <v>21</v>
      </c>
      <c r="G1" s="49" t="s">
        <v>22</v>
      </c>
      <c r="H1" s="42" t="s">
        <v>23</v>
      </c>
      <c r="I1" s="51" t="s">
        <v>24</v>
      </c>
      <c r="J1" s="52" t="s">
        <v>25</v>
      </c>
      <c r="K1" s="42" t="s">
        <v>26</v>
      </c>
      <c r="L1" s="43" t="s">
        <v>27</v>
      </c>
      <c r="M1" s="44" t="s">
        <v>28</v>
      </c>
    </row>
    <row r="2" spans="1:13" x14ac:dyDescent="0.25">
      <c r="A2" s="15"/>
      <c r="B2" s="16" t="s">
        <v>29</v>
      </c>
      <c r="C2" s="16" t="s">
        <v>30</v>
      </c>
      <c r="D2" s="16" t="s">
        <v>31</v>
      </c>
      <c r="E2" s="16" t="s">
        <v>32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7" t="s">
        <v>33</v>
      </c>
      <c r="B3" s="18">
        <f>'[1]Tableau calculs'!$V$7</f>
        <v>378.01836569956606</v>
      </c>
      <c r="C3" s="19">
        <v>0</v>
      </c>
      <c r="D3" s="18">
        <v>37</v>
      </c>
      <c r="E3" s="19">
        <v>0</v>
      </c>
      <c r="F3" s="20">
        <f>'[1]Tableau calculs'!$V$15</f>
        <v>70.665170635898733</v>
      </c>
      <c r="G3" s="21">
        <f>'[1]Tableau calculs'!$V$14</f>
        <v>135.828</v>
      </c>
      <c r="H3" s="22">
        <f>SUM(B3:G3)</f>
        <v>621.51153633546483</v>
      </c>
      <c r="I3" s="23">
        <v>0.1</v>
      </c>
      <c r="J3" s="24">
        <v>0.1</v>
      </c>
      <c r="K3" s="17">
        <f>0.12*0.6</f>
        <v>7.1999999999999995E-2</v>
      </c>
      <c r="L3" s="25">
        <f>H3*(100%-I3)*(100%-J3)*K3</f>
        <v>36.246552799084313</v>
      </c>
      <c r="M3" s="26">
        <f>H3*K3</f>
        <v>44.748830616153462</v>
      </c>
    </row>
    <row r="4" spans="1:13" x14ac:dyDescent="0.25">
      <c r="A4" s="17" t="s">
        <v>34</v>
      </c>
      <c r="B4" s="18">
        <f>[2]Calcul!$O$7</f>
        <v>334.30499163994523</v>
      </c>
      <c r="C4" s="19">
        <v>0</v>
      </c>
      <c r="D4" s="18">
        <f>[2]Calcul!$O$9</f>
        <v>36.666666666666664</v>
      </c>
      <c r="E4" s="19">
        <v>0</v>
      </c>
      <c r="F4" s="20">
        <f>[2]Calcul!$O$15</f>
        <v>0</v>
      </c>
      <c r="G4" s="21">
        <f>[2]Calcul!$O$14</f>
        <v>14.75</v>
      </c>
      <c r="H4" s="22">
        <f>SUM(B4:G4)</f>
        <v>385.72165830661191</v>
      </c>
      <c r="I4" s="23">
        <v>0.1</v>
      </c>
      <c r="J4" s="23">
        <v>0.1</v>
      </c>
      <c r="K4" s="17">
        <f>0.88*0.6</f>
        <v>0.52800000000000002</v>
      </c>
      <c r="L4" s="25">
        <f>H4*(100%-I4)*(100%-J4)*K4</f>
        <v>164.96543882457181</v>
      </c>
      <c r="M4" s="26">
        <f>H4*K4</f>
        <v>203.66103558589111</v>
      </c>
    </row>
    <row r="5" spans="1:13" x14ac:dyDescent="0.25">
      <c r="A5" s="7" t="s">
        <v>35</v>
      </c>
      <c r="B5" s="22">
        <f>B3+B4</f>
        <v>712.32335733951129</v>
      </c>
      <c r="C5" s="22">
        <f t="shared" ref="C5:H5" si="0">C3+C4</f>
        <v>0</v>
      </c>
      <c r="D5" s="22">
        <f t="shared" si="0"/>
        <v>73.666666666666657</v>
      </c>
      <c r="E5" s="22">
        <f t="shared" si="0"/>
        <v>0</v>
      </c>
      <c r="F5" s="22">
        <f t="shared" si="0"/>
        <v>70.665170635898733</v>
      </c>
      <c r="G5" s="22">
        <f t="shared" si="0"/>
        <v>150.578</v>
      </c>
      <c r="H5" s="22">
        <f t="shared" si="0"/>
        <v>1007.2331946420768</v>
      </c>
      <c r="I5" s="15"/>
      <c r="J5" s="15"/>
      <c r="K5" s="27" t="s">
        <v>36</v>
      </c>
      <c r="L5" s="28">
        <f>SUM(L3:L4)</f>
        <v>201.2119916236561</v>
      </c>
      <c r="M5" s="29">
        <f>SUM(M3:M4)</f>
        <v>248.40986620204458</v>
      </c>
    </row>
    <row r="6" spans="1:13" x14ac:dyDescent="0.25">
      <c r="B6" s="30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x14ac:dyDescent="0.25">
      <c r="A7" s="15"/>
      <c r="B7" s="31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 x14ac:dyDescent="0.25">
      <c r="A8" s="15"/>
      <c r="B8" s="31"/>
      <c r="D8" s="15"/>
      <c r="E8" s="15"/>
      <c r="F8" s="15"/>
      <c r="G8" s="15"/>
      <c r="H8" s="15"/>
      <c r="I8" s="15"/>
      <c r="J8" s="15"/>
      <c r="K8" s="15"/>
      <c r="L8" s="15"/>
    </row>
    <row r="9" spans="1:13" x14ac:dyDescent="0.25">
      <c r="A9" s="15"/>
      <c r="B9" s="31"/>
      <c r="D9" s="15"/>
      <c r="E9" s="15"/>
      <c r="F9" s="15"/>
      <c r="G9" s="15"/>
      <c r="H9" s="15"/>
      <c r="I9" s="15"/>
      <c r="J9" s="15"/>
      <c r="K9" s="15"/>
      <c r="L9" s="15"/>
    </row>
    <row r="10" spans="1:13" ht="30" x14ac:dyDescent="0.25">
      <c r="A10" s="15"/>
      <c r="B10" s="31" t="s">
        <v>37</v>
      </c>
      <c r="D10" s="15"/>
      <c r="E10" s="15"/>
      <c r="F10" s="19" t="s">
        <v>4</v>
      </c>
      <c r="G10" s="32" t="s">
        <v>38</v>
      </c>
      <c r="H10" s="20" t="s">
        <v>39</v>
      </c>
      <c r="I10" s="33" t="s">
        <v>40</v>
      </c>
      <c r="J10" s="34" t="s">
        <v>41</v>
      </c>
      <c r="K10" s="35" t="s">
        <v>42</v>
      </c>
      <c r="L10" s="17" t="s">
        <v>10</v>
      </c>
      <c r="M10" s="36" t="s">
        <v>43</v>
      </c>
    </row>
    <row r="11" spans="1:13" x14ac:dyDescent="0.25">
      <c r="A11" s="15"/>
      <c r="B11" s="37">
        <f>(100%-I3)*(100%-J3)</f>
        <v>0.81</v>
      </c>
      <c r="D11" s="15"/>
      <c r="E11" s="15"/>
      <c r="F11" s="18">
        <f>(B3+D3)*K3+(B4+D4)*K4</f>
        <v>225.75435791625986</v>
      </c>
      <c r="G11" s="18">
        <f>F11*B11</f>
        <v>182.86102991217049</v>
      </c>
      <c r="H11" s="20">
        <f>F3*K3</f>
        <v>5.087892285784708</v>
      </c>
      <c r="I11" s="20">
        <f>H11*B11</f>
        <v>4.1211927514856139</v>
      </c>
      <c r="J11" s="38">
        <f>G3*K3+G4*K4</f>
        <v>17.567616000000001</v>
      </c>
      <c r="K11" s="38">
        <f>B11*J11</f>
        <v>14.229768960000001</v>
      </c>
      <c r="L11" s="22">
        <f>F11+H11+J11</f>
        <v>248.40986620204455</v>
      </c>
      <c r="M11" s="11">
        <f>B11*L11</f>
        <v>201.2119916236561</v>
      </c>
    </row>
    <row r="12" spans="1:13" x14ac:dyDescent="0.25">
      <c r="A12" s="15"/>
      <c r="B12" s="39"/>
      <c r="D12" s="15"/>
      <c r="E12" s="15"/>
      <c r="F12" s="15"/>
      <c r="G12" s="15"/>
      <c r="H12" s="15"/>
      <c r="I12" s="15"/>
      <c r="J12" s="15"/>
      <c r="K12" s="15"/>
      <c r="L12" s="15"/>
    </row>
    <row r="13" spans="1:13" x14ac:dyDescent="0.25">
      <c r="A13" s="40"/>
      <c r="B13" s="41"/>
      <c r="E13" s="15"/>
    </row>
    <row r="14" spans="1:13" x14ac:dyDescent="0.25">
      <c r="E14" s="15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6</vt:lpstr>
      <vt:lpstr>8</vt:lpstr>
      <vt:lpstr>10</vt:lpstr>
      <vt:lpstr>11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GILEN</dc:creator>
  <cp:lastModifiedBy>GILEN</cp:lastModifiedBy>
  <dcterms:created xsi:type="dcterms:W3CDTF">2021-04-14T13:19:50Z</dcterms:created>
  <dcterms:modified xsi:type="dcterms:W3CDTF">2021-07-27T13:59:31Z</dcterms:modified>
</cp:coreProperties>
</file>