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8_Le Mans\2021\Nousilliere\"/>
    </mc:Choice>
  </mc:AlternateContent>
  <xr:revisionPtr revIDLastSave="0" documentId="13_ncr:1_{ED4B321E-2ED8-4DD3-9819-E8F18AB7C61F}" xr6:coauthVersionLast="47" xr6:coauthVersionMax="47" xr10:uidLastSave="{00000000-0000-0000-0000-000000000000}"/>
  <bookViews>
    <workbookView xWindow="-12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0" i="1" l="1"/>
  <c r="D120" i="1" s="1"/>
  <c r="D119" i="1"/>
  <c r="D118" i="1"/>
  <c r="D117" i="1"/>
  <c r="D116" i="1"/>
  <c r="D115" i="1"/>
  <c r="D114" i="1"/>
  <c r="D68" i="1"/>
  <c r="D94" i="1" l="1"/>
  <c r="D93" i="1"/>
  <c r="D92" i="1"/>
  <c r="D91" i="1"/>
  <c r="D90" i="1"/>
  <c r="D89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FS4" i="2" s="1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A4" i="2"/>
  <c r="BQ4" i="2"/>
  <c r="EX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A5" i="2"/>
  <c r="FR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EV6" i="2" s="1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I6" i="2"/>
  <c r="EA6" i="2"/>
  <c r="HH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FS7" i="2" s="1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C8" i="2" l="1"/>
  <c r="HG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HG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I10" i="2" s="1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FS11" i="2" l="1"/>
  <c r="EW11" i="2"/>
  <c r="EX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FS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EW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HH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V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X16" i="2"/>
  <c r="EC16" i="2"/>
  <c r="EA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EC17" i="2" l="1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I18" i="2" s="1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EC19" i="2" s="1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H20" i="2"/>
  <c r="HG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HG22" i="2"/>
  <c r="HI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I23" i="2" s="1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C23" i="2" l="1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I24" i="2" s="1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EC24" i="2" s="1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FR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FS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X28" i="2"/>
  <c r="EC28" i="2"/>
  <c r="HG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EC29" i="2" s="1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I30" i="2" s="1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X30" i="2" l="1"/>
  <c r="EV30" i="2"/>
  <c r="EB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HG31" i="2"/>
  <c r="D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GN34" i="2" s="1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HH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EB37" i="2"/>
  <c r="EA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I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EX39" i="2" s="1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FS39" i="2" l="1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FS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HG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EC45" i="2" s="1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FS46" i="2"/>
  <c r="EW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C47" i="2" l="1"/>
  <c r="HG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EX48" i="2" s="1"/>
  <c r="DV48" i="2"/>
  <c r="DM48" i="2"/>
  <c r="DA48" i="2"/>
  <c r="FW48" i="2"/>
  <c r="EU48" i="2"/>
  <c r="EG48" i="2"/>
  <c r="DW48" i="2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FL49" i="2"/>
  <c r="FC49" i="2"/>
  <c r="EU49" i="2"/>
  <c r="EG49" i="2"/>
  <c r="DW49" i="2"/>
  <c r="EC49" i="2" s="1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FS49" i="2" l="1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EW50" i="2" s="1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EA51" i="2"/>
  <c r="EB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EX52" i="2" s="1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B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EC56" i="2" l="1"/>
  <c r="HG56" i="2"/>
  <c r="FS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EC57" i="2" s="1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EX58" i="2" s="1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FS58" i="2" l="1"/>
  <c r="EC58" i="2"/>
  <c r="HI58" i="2"/>
  <c r="EA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EX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FS59" i="2"/>
  <c r="EB59" i="2"/>
  <c r="HI59" i="2"/>
  <c r="EC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C60" i="2"/>
  <c r="HG60" i="2"/>
  <c r="EV60" i="2"/>
  <c r="HI60" i="2"/>
  <c r="FS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FS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HI68" i="2" l="1"/>
  <c r="EX68" i="2"/>
  <c r="FS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EX69" i="2" s="1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I71" i="2" s="1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X71" i="2" l="1"/>
  <c r="FS71" i="2"/>
  <c r="EW71" i="2"/>
  <c r="EA71" i="2"/>
  <c r="HH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C74" i="2" s="1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EX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I75" i="2" l="1"/>
  <c r="HH75" i="2"/>
  <c r="EB75" i="2"/>
  <c r="EA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S77" i="2" s="1"/>
  <c r="FP77" i="2"/>
  <c r="GG77" i="2"/>
  <c r="FX77" i="2"/>
  <c r="EQ77" i="2"/>
  <c r="EH77" i="2"/>
  <c r="CJ77" i="2"/>
  <c r="GH77" i="2"/>
  <c r="FL77" i="2"/>
  <c r="FC77" i="2"/>
  <c r="FB77" i="2"/>
  <c r="ER77" i="2"/>
  <c r="EX77" i="2" s="1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EX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HG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X81" i="2" l="1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HH82" i="2"/>
  <c r="HG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EC83" i="2" s="1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X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HI83" i="2"/>
  <c r="EV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FS84" i="2"/>
  <c r="HG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S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EX86" i="2" s="1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HI86" i="2" l="1"/>
  <c r="EB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FS87" i="2" l="1"/>
  <c r="EA87" i="2"/>
  <c r="EB87" i="2"/>
  <c r="HG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FS88" i="2" s="1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C88" i="2" l="1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S89" i="2" s="1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EX89" i="2" s="1"/>
  <c r="DV89" i="2"/>
  <c r="DM89" i="2"/>
  <c r="DA89" i="2"/>
  <c r="HB89" i="2"/>
  <c r="GS89" i="2"/>
  <c r="EU89" i="2"/>
  <c r="EG89" i="2"/>
  <c r="DW89" i="2"/>
  <c r="EC89" i="2" s="1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C90" i="2" s="1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FS91" i="2" l="1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EX94" i="2" s="1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C94" i="2" l="1"/>
  <c r="FS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S95" i="2"/>
  <c r="EB95" i="2"/>
  <c r="FQ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EC97" i="2" s="1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C98" i="2" s="1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HI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X102" i="2" l="1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FS103" i="2" s="1"/>
  <c r="EU103" i="2"/>
  <c r="EG103" i="2"/>
  <c r="DW103" i="2"/>
  <c r="EC103" i="2" s="1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EC104" i="2" s="1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FS106" i="2"/>
  <c r="HI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EC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X108" i="2"/>
  <c r="EB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EC109" i="2" s="1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EW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C115" i="2" l="1"/>
  <c r="FS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EX116" i="2" s="1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V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EX117" i="2" s="1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HG119" i="2"/>
  <c r="FR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EC120" i="2"/>
  <c r="FQ120" i="2"/>
  <c r="HH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EC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I123" i="2" l="1"/>
  <c r="EC123" i="2"/>
  <c r="FS123" i="2"/>
  <c r="HH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EC124" i="2" s="1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S125" i="2" s="1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HG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EC127" i="2" s="1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EX129" i="2" s="1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C131" i="2" l="1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C132" i="2"/>
  <c r="HG132" i="2"/>
  <c r="FS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EA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EC136" i="2" s="1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I138" i="2" s="1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HI140" i="2" s="1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EX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FS142" i="2"/>
  <c r="HI142" i="2"/>
  <c r="EW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I143" i="2" s="1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EC143" i="2" s="1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FR144" i="2"/>
  <c r="EX144" i="2"/>
  <c r="EB144" i="2"/>
  <c r="HH144" i="2"/>
  <c r="HG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HI145" i="2" s="1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EX146" i="2" s="1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HI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EX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EX148" i="2" s="1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FS148" i="2" l="1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HG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HG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V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V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FL153" i="2"/>
  <c r="FC153" i="2"/>
  <c r="EQ153" i="2"/>
  <c r="EH153" i="2"/>
  <c r="CJ153" i="2"/>
  <c r="HC153" i="2"/>
  <c r="HI153" i="2" s="1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EX154" i="2"/>
  <c r="AB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I155" i="2" s="1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C155" i="2" s="1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W155" i="2" l="1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AB156" i="2"/>
  <c r="FS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B157" i="2"/>
  <c r="EC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EX159" i="2" s="1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C159" i="2"/>
  <c r="HI159" i="2"/>
  <c r="ED158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EX160" i="2"/>
  <c r="HG160" i="2"/>
  <c r="HH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C162" i="2"/>
  <c r="HH162" i="2"/>
  <c r="HG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C163" i="2" l="1"/>
  <c r="EV163" i="2"/>
  <c r="FS163" i="2"/>
  <c r="HI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DI163" i="2"/>
  <c r="EC164" i="2"/>
  <c r="EA164" i="2"/>
  <c r="HI164" i="2"/>
  <c r="EV164" i="2"/>
  <c r="FS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EC165" i="2" s="1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X166" i="2"/>
  <c r="HI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R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FS168" i="2" s="1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H168" i="2"/>
  <c r="EX168" i="2"/>
  <c r="EB168" i="2"/>
  <c r="EW168" i="2"/>
  <c r="DI167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HI169" i="2" s="1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A169" i="2"/>
  <c r="EB169" i="2"/>
  <c r="HH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EX170" i="2" s="1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EW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EC175" i="2" s="1"/>
  <c r="DY175" i="2"/>
  <c r="DA175" i="2"/>
  <c r="CG175" i="2"/>
  <c r="FL175" i="2"/>
  <c r="DZ175" i="2"/>
  <c r="DB175" i="2"/>
  <c r="CH175" i="2"/>
  <c r="FW175" i="2"/>
  <c r="ER175" i="2"/>
  <c r="EX175" i="2" s="1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HI175" i="2" l="1"/>
  <c r="EB175" i="2"/>
  <c r="EA175" i="2"/>
  <c r="FS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EX176" i="2" s="1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FS176" i="2" l="1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HH178" i="2"/>
  <c r="EB178" i="2"/>
  <c r="HG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X179" i="2" l="1"/>
  <c r="DF179" i="2"/>
  <c r="EA179" i="2"/>
  <c r="HG179" i="2"/>
  <c r="FS179" i="2"/>
  <c r="HI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EC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EX183" i="2" s="1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EC184" i="2" s="1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G185" i="2" l="1"/>
  <c r="HH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X187" i="2"/>
  <c r="HG187" i="2"/>
  <c r="HI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HI189" i="2"/>
  <c r="EC189" i="2"/>
  <c r="FS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C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X191" i="2" l="1"/>
  <c r="HH191" i="2"/>
  <c r="HG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V199" i="2"/>
  <c r="EW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EA201" i="2"/>
  <c r="EB201" i="2"/>
  <c r="HI201" i="2"/>
  <c r="HH201" i="2"/>
  <c r="EX201" i="2"/>
  <c r="FS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EX203" i="2" s="1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HG203" i="2"/>
  <c r="HI203" i="2"/>
  <c r="EC203" i="2"/>
  <c r="BP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<sst xmlns="http://schemas.openxmlformats.org/spreadsheetml/2006/main" count="1169" uniqueCount="321">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</sst>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9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1.8462109889683529</c:v>
                </c:pt>
                <c:pt idx="2">
                  <c:v>2.3451489488503281</c:v>
                </c:pt>
                <c:pt idx="3">
                  <c:v>2.9794649120615269</c:v>
                </c:pt>
                <c:pt idx="4">
                  <c:v>3.786029750845104</c:v>
                </c:pt>
                <c:pt idx="5">
                  <c:v>4.8117916429562113</c:v>
                </c:pt>
                <c:pt idx="6">
                  <c:v>6.1165393222775526</c:v>
                </c:pt>
                <c:pt idx="7">
                  <c:v>7.776425305000866</c:v>
                </c:pt>
                <c:pt idx="8">
                  <c:v>9.8884586824205432</c:v>
                </c:pt>
                <c:pt idx="9">
                  <c:v>12.576235018664383</c:v>
                </c:pt>
                <c:pt idx="10">
                  <c:v>15.997244896491198</c:v>
                </c:pt>
                <c:pt idx="11">
                  <c:v>35.11946593524749</c:v>
                </c:pt>
                <c:pt idx="12">
                  <c:v>53.941533317200332</c:v>
                </c:pt>
                <c:pt idx="13">
                  <c:v>72.587839462606041</c:v>
                </c:pt>
                <c:pt idx="14">
                  <c:v>91.110686124684605</c:v>
                </c:pt>
                <c:pt idx="15">
                  <c:v>109.53891756394221</c:v>
                </c:pt>
                <c:pt idx="16">
                  <c:v>127.89076379214985</c:v>
                </c:pt>
                <c:pt idx="17">
                  <c:v>146.17875680898462</c:v>
                </c:pt>
                <c:pt idx="18">
                  <c:v>164.41202153837858</c:v>
                </c:pt>
                <c:pt idx="19">
                  <c:v>182.59748696177417</c:v>
                </c:pt>
                <c:pt idx="20">
                  <c:v>200.74058596732007</c:v>
                </c:pt>
                <c:pt idx="21">
                  <c:v>151.28925619778201</c:v>
                </c:pt>
                <c:pt idx="22">
                  <c:v>178.23702366279221</c:v>
                </c:pt>
                <c:pt idx="23">
                  <c:v>205.08912920241869</c:v>
                </c:pt>
                <c:pt idx="24">
                  <c:v>231.85987083514172</c:v>
                </c:pt>
                <c:pt idx="25">
                  <c:v>258.55996582862002</c:v>
                </c:pt>
                <c:pt idx="26">
                  <c:v>285.19773351607643</c:v>
                </c:pt>
                <c:pt idx="27">
                  <c:v>311.77981081702814</c:v>
                </c:pt>
                <c:pt idx="28">
                  <c:v>338.31161007994922</c:v>
                </c:pt>
                <c:pt idx="29">
                  <c:v>364.79762541449355</c:v>
                </c:pt>
                <c:pt idx="30">
                  <c:v>391.24164524422287</c:v>
                </c:pt>
                <c:pt idx="31">
                  <c:v>283.75933157442824</c:v>
                </c:pt>
                <c:pt idx="32">
                  <c:v>310.10500044645295</c:v>
                </c:pt>
                <c:pt idx="33">
                  <c:v>336.40098850741833</c:v>
                </c:pt>
                <c:pt idx="34">
                  <c:v>362.6517220826974</c:v>
                </c:pt>
                <c:pt idx="35">
                  <c:v>388.86093454636375</c:v>
                </c:pt>
                <c:pt idx="36">
                  <c:v>415.03181517088063</c:v>
                </c:pt>
                <c:pt idx="37">
                  <c:v>441.16711844087371</c:v>
                </c:pt>
                <c:pt idx="38">
                  <c:v>467.26924609904478</c:v>
                </c:pt>
                <c:pt idx="39">
                  <c:v>493.34030989948968</c:v>
                </c:pt>
                <c:pt idx="40">
                  <c:v>519.3821804047584</c:v>
                </c:pt>
                <c:pt idx="41">
                  <c:v>409.3249286811602</c:v>
                </c:pt>
                <c:pt idx="42">
                  <c:v>432.14242504303388</c:v>
                </c:pt>
                <c:pt idx="43">
                  <c:v>454.93405296728002</c:v>
                </c:pt>
                <c:pt idx="44">
                  <c:v>477.701289583191</c:v>
                </c:pt>
                <c:pt idx="45">
                  <c:v>500.44545984540667</c:v>
                </c:pt>
                <c:pt idx="46">
                  <c:v>523.16775855438141</c:v>
                </c:pt>
                <c:pt idx="47">
                  <c:v>545.86926835341148</c:v>
                </c:pt>
                <c:pt idx="48">
                  <c:v>568.55097457736008</c:v>
                </c:pt>
                <c:pt idx="49">
                  <c:v>591.21377760988844</c:v>
                </c:pt>
                <c:pt idx="50">
                  <c:v>613.85850324857017</c:v>
                </c:pt>
                <c:pt idx="51">
                  <c:v>505.41779238953194</c:v>
                </c:pt>
                <c:pt idx="52">
                  <c:v>524.58720128194273</c:v>
                </c:pt>
                <c:pt idx="53">
                  <c:v>543.74185767351298</c:v>
                </c:pt>
                <c:pt idx="54">
                  <c:v>562.88235401865029</c:v>
                </c:pt>
                <c:pt idx="55">
                  <c:v>582.00923922497111</c:v>
                </c:pt>
                <c:pt idx="56">
                  <c:v>601.12302320907963</c:v>
                </c:pt>
                <c:pt idx="57">
                  <c:v>620.22418084313767</c:v>
                </c:pt>
                <c:pt idx="58">
                  <c:v>639.31315539031277</c:v>
                </c:pt>
                <c:pt idx="59">
                  <c:v>658.39036150888137</c:v>
                </c:pt>
                <c:pt idx="60">
                  <c:v>677.45618789031789</c:v>
                </c:pt>
                <c:pt idx="61">
                  <c:v>595.46101689050818</c:v>
                </c:pt>
                <c:pt idx="62">
                  <c:v>611.26468734168623</c:v>
                </c:pt>
                <c:pt idx="63">
                  <c:v>627.05988300825231</c:v>
                </c:pt>
                <c:pt idx="64">
                  <c:v>642.84684729505659</c:v>
                </c:pt>
                <c:pt idx="65">
                  <c:v>658.62581068526822</c:v>
                </c:pt>
                <c:pt idx="66">
                  <c:v>674.39699172585108</c:v>
                </c:pt>
                <c:pt idx="67">
                  <c:v>690.16059791612599</c:v>
                </c:pt>
                <c:pt idx="68">
                  <c:v>705.91682651099427</c:v>
                </c:pt>
                <c:pt idx="69">
                  <c:v>721.66586524877459</c:v>
                </c:pt>
                <c:pt idx="70">
                  <c:v>737.40789301225266</c:v>
                </c:pt>
                <c:pt idx="71">
                  <c:v>670.86679558240803</c:v>
                </c:pt>
                <c:pt idx="72">
                  <c:v>683.10319046019015</c:v>
                </c:pt>
                <c:pt idx="73">
                  <c:v>695.33508908742158</c:v>
                </c:pt>
                <c:pt idx="74">
                  <c:v>707.56258166653413</c:v>
                </c:pt>
                <c:pt idx="75">
                  <c:v>719.78575502980368</c:v>
                </c:pt>
                <c:pt idx="76">
                  <c:v>732.00469282155143</c:v>
                </c:pt>
                <c:pt idx="77">
                  <c:v>744.21947566755978</c:v>
                </c:pt>
                <c:pt idx="78">
                  <c:v>756.4301813327919</c:v>
                </c:pt>
                <c:pt idx="79">
                  <c:v>768.63688486840704</c:v>
                </c:pt>
                <c:pt idx="80">
                  <c:v>780.83965874895682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2.1084546262824464</c:v>
                </c:pt>
                <c:pt idx="2">
                  <c:v>2.6254017131462049</c:v>
                </c:pt>
                <c:pt idx="3">
                  <c:v>3.2695881700611316</c:v>
                </c:pt>
                <c:pt idx="4">
                  <c:v>4.0724473067224096</c:v>
                </c:pt>
                <c:pt idx="5">
                  <c:v>5.0732043889535907</c:v>
                </c:pt>
                <c:pt idx="6">
                  <c:v>6.3208143218656927</c:v>
                </c:pt>
                <c:pt idx="7">
                  <c:v>7.8763826040024405</c:v>
                </c:pt>
                <c:pt idx="8">
                  <c:v>9.816190407248568</c:v>
                </c:pt>
                <c:pt idx="9">
                  <c:v>12.235474934214913</c:v>
                </c:pt>
                <c:pt idx="10">
                  <c:v>15.253154113711277</c:v>
                </c:pt>
                <c:pt idx="11">
                  <c:v>19.017732132076485</c:v>
                </c:pt>
                <c:pt idx="12">
                  <c:v>23.714681663150724</c:v>
                </c:pt>
                <c:pt idx="13">
                  <c:v>29.575672957524475</c:v>
                </c:pt>
                <c:pt idx="14">
                  <c:v>36.890112945706299</c:v>
                </c:pt>
                <c:pt idx="15">
                  <c:v>46.019573913369747</c:v>
                </c:pt>
                <c:pt idx="16">
                  <c:v>57.415837023433852</c:v>
                </c:pt>
                <c:pt idx="17">
                  <c:v>71.643458384183418</c:v>
                </c:pt>
                <c:pt idx="18">
                  <c:v>89.407993758154475</c:v>
                </c:pt>
                <c:pt idx="19">
                  <c:v>111.59130397751041</c:v>
                </c:pt>
                <c:pt idx="20">
                  <c:v>139.29572121624977</c:v>
                </c:pt>
                <c:pt idx="21">
                  <c:v>95.108752180988873</c:v>
                </c:pt>
                <c:pt idx="22">
                  <c:v>112.66115650715976</c:v>
                </c:pt>
                <c:pt idx="23">
                  <c:v>130.1464013993324</c:v>
                </c:pt>
                <c:pt idx="24">
                  <c:v>147.57479897505831</c:v>
                </c:pt>
                <c:pt idx="25">
                  <c:v>164.95401652082663</c:v>
                </c:pt>
                <c:pt idx="26">
                  <c:v>182.28996901376695</c:v>
                </c:pt>
                <c:pt idx="27">
                  <c:v>199.58735214482223</c:v>
                </c:pt>
                <c:pt idx="28">
                  <c:v>216.84997998272073</c:v>
                </c:pt>
                <c:pt idx="29">
                  <c:v>234.08100908305065</c:v>
                </c:pt>
                <c:pt idx="30">
                  <c:v>251.28309296155342</c:v>
                </c:pt>
                <c:pt idx="31">
                  <c:v>186.54684017381783</c:v>
                </c:pt>
                <c:pt idx="32">
                  <c:v>201.00358266422015</c:v>
                </c:pt>
                <c:pt idx="33">
                  <c:v>215.43623857870276</c:v>
                </c:pt>
                <c:pt idx="34">
                  <c:v>229.84664931859376</c:v>
                </c:pt>
                <c:pt idx="35">
                  <c:v>244.23640635769297</c:v>
                </c:pt>
                <c:pt idx="36">
                  <c:v>258.60689820869123</c:v>
                </c:pt>
                <c:pt idx="37">
                  <c:v>272.95934638899354</c:v>
                </c:pt>
                <c:pt idx="38">
                  <c:v>287.2948334174269</c:v>
                </c:pt>
                <c:pt idx="39">
                  <c:v>301.61432492529269</c:v>
                </c:pt>
                <c:pt idx="40">
                  <c:v>315.91868734548342</c:v>
                </c:pt>
                <c:pt idx="41">
                  <c:v>248.04218210324606</c:v>
                </c:pt>
                <c:pt idx="42">
                  <c:v>258.88848844639847</c:v>
                </c:pt>
                <c:pt idx="43">
                  <c:v>269.7245277445931</c:v>
                </c:pt>
                <c:pt idx="44">
                  <c:v>280.55077085855766</c:v>
                </c:pt>
                <c:pt idx="45">
                  <c:v>291.3676493176045</c:v>
                </c:pt>
                <c:pt idx="46">
                  <c:v>302.1755599747313</c:v>
                </c:pt>
                <c:pt idx="47">
                  <c:v>312.97486896045069</c:v>
                </c:pt>
                <c:pt idx="48">
                  <c:v>323.76591506204585</c:v>
                </c:pt>
                <c:pt idx="49">
                  <c:v>334.54901262851286</c:v>
                </c:pt>
                <c:pt idx="50">
                  <c:v>345.32445408122248</c:v>
                </c:pt>
                <c:pt idx="51">
                  <c:v>298.52711512215905</c:v>
                </c:pt>
                <c:pt idx="52">
                  <c:v>306.38408652237445</c:v>
                </c:pt>
                <c:pt idx="53">
                  <c:v>314.23658026588896</c:v>
                </c:pt>
                <c:pt idx="54">
                  <c:v>322.08472413201088</c:v>
                </c:pt>
                <c:pt idx="55">
                  <c:v>329.92863915898039</c:v>
                </c:pt>
                <c:pt idx="56">
                  <c:v>337.76844015494368</c:v>
                </c:pt>
                <c:pt idx="57">
                  <c:v>345.60423615897867</c:v>
                </c:pt>
                <c:pt idx="58">
                  <c:v>353.43613085809835</c:v>
                </c:pt>
                <c:pt idx="59">
                  <c:v>361.26422296533974</c:v>
                </c:pt>
                <c:pt idx="60">
                  <c:v>369.08860656335168</c:v>
                </c:pt>
                <c:pt idx="61">
                  <c:v>339.86770240386358</c:v>
                </c:pt>
                <c:pt idx="62">
                  <c:v>345.60423615897872</c:v>
                </c:pt>
                <c:pt idx="63">
                  <c:v>351.33867878828323</c:v>
                </c:pt>
                <c:pt idx="64">
                  <c:v>357.07106927741535</c:v>
                </c:pt>
                <c:pt idx="65">
                  <c:v>362.80144525672182</c:v>
                </c:pt>
                <c:pt idx="66">
                  <c:v>368.52984306951629</c:v>
                </c:pt>
                <c:pt idx="67">
                  <c:v>374.25629783586879</c:v>
                </c:pt>
                <c:pt idx="68">
                  <c:v>379.98084351228516</c:v>
                </c:pt>
                <c:pt idx="69">
                  <c:v>385.70351294759956</c:v>
                </c:pt>
                <c:pt idx="70">
                  <c:v>391.42433793537288</c:v>
                </c:pt>
                <c:pt idx="71">
                  <c:v>366.43431499930074</c:v>
                </c:pt>
                <c:pt idx="72">
                  <c:v>370.76478640470503</c:v>
                </c:pt>
                <c:pt idx="73">
                  <c:v>375.09415467865205</c:v>
                </c:pt>
                <c:pt idx="74">
                  <c:v>379.42243436675835</c:v>
                </c:pt>
                <c:pt idx="75">
                  <c:v>383.74963965528474</c:v>
                </c:pt>
                <c:pt idx="76">
                  <c:v>388.07578438405852</c:v>
                </c:pt>
                <c:pt idx="77">
                  <c:v>392.40088205878857</c:v>
                </c:pt>
                <c:pt idx="78">
                  <c:v>396.72494586280982</c:v>
                </c:pt>
                <c:pt idx="79">
                  <c:v>401.04798866828725</c:v>
                </c:pt>
                <c:pt idx="80">
                  <c:v>405.37002304691242</c:v>
                </c:pt>
                <c:pt idx="81">
                  <c:v>1.1580684803728015E-12</c:v>
                </c:pt>
                <c:pt idx="82">
                  <c:v>1.1580684803728015E-12</c:v>
                </c:pt>
                <c:pt idx="83">
                  <c:v>1.1580684803728015E-12</c:v>
                </c:pt>
                <c:pt idx="84">
                  <c:v>1.1580684803728015E-12</c:v>
                </c:pt>
                <c:pt idx="85">
                  <c:v>1.1580684803728015E-12</c:v>
                </c:pt>
                <c:pt idx="86">
                  <c:v>1.1580684803728015E-12</c:v>
                </c:pt>
                <c:pt idx="87">
                  <c:v>1.1580684803728015E-12</c:v>
                </c:pt>
                <c:pt idx="88">
                  <c:v>1.1580684803728015E-12</c:v>
                </c:pt>
                <c:pt idx="89">
                  <c:v>1.1580684803728015E-12</c:v>
                </c:pt>
                <c:pt idx="90">
                  <c:v>1.1580684803728015E-12</c:v>
                </c:pt>
                <c:pt idx="91">
                  <c:v>1.1580684803728015E-12</c:v>
                </c:pt>
                <c:pt idx="92">
                  <c:v>1.1580684803728015E-12</c:v>
                </c:pt>
                <c:pt idx="93">
                  <c:v>1.1580684803728015E-12</c:v>
                </c:pt>
                <c:pt idx="94">
                  <c:v>1.1580684803728015E-12</c:v>
                </c:pt>
                <c:pt idx="95">
                  <c:v>1.1580684803728015E-12</c:v>
                </c:pt>
                <c:pt idx="96">
                  <c:v>1.1580684803728015E-12</c:v>
                </c:pt>
                <c:pt idx="97">
                  <c:v>1.1580684803728015E-12</c:v>
                </c:pt>
                <c:pt idx="98">
                  <c:v>1.1580684803728015E-12</c:v>
                </c:pt>
                <c:pt idx="99">
                  <c:v>1.1580684803728015E-12</c:v>
                </c:pt>
                <c:pt idx="100">
                  <c:v>1.1580684803728015E-12</c:v>
                </c:pt>
                <c:pt idx="101">
                  <c:v>1.1580684803728015E-12</c:v>
                </c:pt>
                <c:pt idx="102">
                  <c:v>1.1580684803728015E-12</c:v>
                </c:pt>
                <c:pt idx="103">
                  <c:v>1.1580684803728015E-12</c:v>
                </c:pt>
                <c:pt idx="104">
                  <c:v>1.1580684803728015E-12</c:v>
                </c:pt>
                <c:pt idx="105">
                  <c:v>1.1580684803728015E-12</c:v>
                </c:pt>
                <c:pt idx="106">
                  <c:v>1.1580684803728015E-12</c:v>
                </c:pt>
                <c:pt idx="107">
                  <c:v>1.1580684803728015E-12</c:v>
                </c:pt>
                <c:pt idx="108">
                  <c:v>1.1580684803728015E-12</c:v>
                </c:pt>
                <c:pt idx="109">
                  <c:v>1.1580684803728015E-12</c:v>
                </c:pt>
                <c:pt idx="110">
                  <c:v>1.1580684803728015E-12</c:v>
                </c:pt>
                <c:pt idx="111">
                  <c:v>1.1580684803728015E-12</c:v>
                </c:pt>
                <c:pt idx="112">
                  <c:v>1.1580684803728015E-12</c:v>
                </c:pt>
                <c:pt idx="113">
                  <c:v>1.1580684803728015E-12</c:v>
                </c:pt>
                <c:pt idx="114">
                  <c:v>1.1580684803728015E-12</c:v>
                </c:pt>
                <c:pt idx="115">
                  <c:v>1.1580684803728015E-12</c:v>
                </c:pt>
                <c:pt idx="116">
                  <c:v>1.1580684803728015E-12</c:v>
                </c:pt>
                <c:pt idx="117">
                  <c:v>1.1580684803728015E-12</c:v>
                </c:pt>
                <c:pt idx="118">
                  <c:v>1.1580684803728015E-12</c:v>
                </c:pt>
                <c:pt idx="119">
                  <c:v>1.1580684803728015E-12</c:v>
                </c:pt>
                <c:pt idx="120">
                  <c:v>1.1580684803728015E-12</c:v>
                </c:pt>
                <c:pt idx="121">
                  <c:v>1.1580684803728015E-12</c:v>
                </c:pt>
                <c:pt idx="122">
                  <c:v>1.1580684803728015E-12</c:v>
                </c:pt>
                <c:pt idx="123">
                  <c:v>1.1580684803728015E-12</c:v>
                </c:pt>
                <c:pt idx="124">
                  <c:v>1.1580684803728015E-12</c:v>
                </c:pt>
                <c:pt idx="125">
                  <c:v>1.1580684803728015E-12</c:v>
                </c:pt>
                <c:pt idx="126">
                  <c:v>1.1580684803728015E-12</c:v>
                </c:pt>
                <c:pt idx="127">
                  <c:v>1.1580684803728015E-12</c:v>
                </c:pt>
                <c:pt idx="128">
                  <c:v>1.1580684803728015E-12</c:v>
                </c:pt>
                <c:pt idx="129">
                  <c:v>1.1580684803728015E-12</c:v>
                </c:pt>
                <c:pt idx="130">
                  <c:v>1.1580684803728015E-12</c:v>
                </c:pt>
                <c:pt idx="131">
                  <c:v>1.1580684803728015E-12</c:v>
                </c:pt>
                <c:pt idx="132">
                  <c:v>1.1580684803728015E-12</c:v>
                </c:pt>
                <c:pt idx="133">
                  <c:v>1.1580684803728015E-12</c:v>
                </c:pt>
                <c:pt idx="134">
                  <c:v>1.1580684803728015E-12</c:v>
                </c:pt>
                <c:pt idx="135">
                  <c:v>1.1580684803728015E-12</c:v>
                </c:pt>
                <c:pt idx="136">
                  <c:v>1.1580684803728015E-12</c:v>
                </c:pt>
                <c:pt idx="137">
                  <c:v>1.1580684803728015E-12</c:v>
                </c:pt>
                <c:pt idx="138">
                  <c:v>1.1580684803728015E-12</c:v>
                </c:pt>
                <c:pt idx="139">
                  <c:v>1.1580684803728015E-12</c:v>
                </c:pt>
                <c:pt idx="140">
                  <c:v>1.1580684803728015E-12</c:v>
                </c:pt>
                <c:pt idx="141">
                  <c:v>1.1580684803728015E-12</c:v>
                </c:pt>
                <c:pt idx="142">
                  <c:v>1.1580684803728015E-12</c:v>
                </c:pt>
                <c:pt idx="143">
                  <c:v>1.1580684803728015E-12</c:v>
                </c:pt>
                <c:pt idx="144">
                  <c:v>1.1580684803728015E-12</c:v>
                </c:pt>
                <c:pt idx="145">
                  <c:v>1.1580684803728015E-12</c:v>
                </c:pt>
                <c:pt idx="146">
                  <c:v>1.1580684803728015E-12</c:v>
                </c:pt>
                <c:pt idx="147">
                  <c:v>1.1580684803728015E-12</c:v>
                </c:pt>
                <c:pt idx="148">
                  <c:v>1.1580684803728015E-12</c:v>
                </c:pt>
                <c:pt idx="149">
                  <c:v>1.1580684803728015E-12</c:v>
                </c:pt>
                <c:pt idx="150">
                  <c:v>1.1580684803728015E-12</c:v>
                </c:pt>
                <c:pt idx="151">
                  <c:v>1.1580684803728015E-12</c:v>
                </c:pt>
                <c:pt idx="152">
                  <c:v>1.1580684803728015E-12</c:v>
                </c:pt>
                <c:pt idx="153">
                  <c:v>1.1580684803728015E-12</c:v>
                </c:pt>
                <c:pt idx="154">
                  <c:v>1.1580684803728015E-12</c:v>
                </c:pt>
                <c:pt idx="155">
                  <c:v>1.1580684803728015E-12</c:v>
                </c:pt>
                <c:pt idx="156">
                  <c:v>1.1580684803728015E-12</c:v>
                </c:pt>
                <c:pt idx="157">
                  <c:v>1.1580684803728015E-12</c:v>
                </c:pt>
                <c:pt idx="158">
                  <c:v>1.1580684803728015E-12</c:v>
                </c:pt>
                <c:pt idx="159">
                  <c:v>1.1580684803728015E-12</c:v>
                </c:pt>
                <c:pt idx="160">
                  <c:v>1.1580684803728015E-12</c:v>
                </c:pt>
                <c:pt idx="161">
                  <c:v>1.1580684803728015E-12</c:v>
                </c:pt>
                <c:pt idx="162">
                  <c:v>1.1580684803728015E-12</c:v>
                </c:pt>
                <c:pt idx="163">
                  <c:v>1.1580684803728015E-12</c:v>
                </c:pt>
                <c:pt idx="164">
                  <c:v>1.1580684803728015E-12</c:v>
                </c:pt>
                <c:pt idx="165">
                  <c:v>1.1580684803728015E-12</c:v>
                </c:pt>
                <c:pt idx="166">
                  <c:v>1.1580684803728015E-12</c:v>
                </c:pt>
                <c:pt idx="167">
                  <c:v>1.1580684803728015E-12</c:v>
                </c:pt>
                <c:pt idx="168">
                  <c:v>1.1580684803728015E-12</c:v>
                </c:pt>
                <c:pt idx="169">
                  <c:v>1.1580684803728015E-12</c:v>
                </c:pt>
                <c:pt idx="170">
                  <c:v>1.1580684803728015E-12</c:v>
                </c:pt>
                <c:pt idx="171">
                  <c:v>1.1580684803728015E-12</c:v>
                </c:pt>
                <c:pt idx="172">
                  <c:v>1.1580684803728015E-12</c:v>
                </c:pt>
                <c:pt idx="173">
                  <c:v>1.1580684803728015E-12</c:v>
                </c:pt>
                <c:pt idx="174">
                  <c:v>1.1580684803728015E-12</c:v>
                </c:pt>
                <c:pt idx="175">
                  <c:v>1.1580684803728015E-12</c:v>
                </c:pt>
                <c:pt idx="176">
                  <c:v>1.1580684803728015E-12</c:v>
                </c:pt>
                <c:pt idx="177">
                  <c:v>1.1580684803728015E-12</c:v>
                </c:pt>
                <c:pt idx="178">
                  <c:v>1.1580684803728015E-12</c:v>
                </c:pt>
                <c:pt idx="179">
                  <c:v>1.1580684803728015E-12</c:v>
                </c:pt>
                <c:pt idx="180">
                  <c:v>1.1580684803728015E-12</c:v>
                </c:pt>
                <c:pt idx="181">
                  <c:v>1.1580684803728015E-12</c:v>
                </c:pt>
                <c:pt idx="182">
                  <c:v>1.1580684803728015E-12</c:v>
                </c:pt>
                <c:pt idx="183">
                  <c:v>1.1580684803728015E-12</c:v>
                </c:pt>
                <c:pt idx="184">
                  <c:v>1.1580684803728015E-12</c:v>
                </c:pt>
                <c:pt idx="185">
                  <c:v>1.1580684803728015E-12</c:v>
                </c:pt>
                <c:pt idx="186">
                  <c:v>1.1580684803728015E-12</c:v>
                </c:pt>
                <c:pt idx="187">
                  <c:v>1.1580684803728015E-12</c:v>
                </c:pt>
                <c:pt idx="188">
                  <c:v>1.1580684803728015E-12</c:v>
                </c:pt>
                <c:pt idx="189">
                  <c:v>1.1580684803728015E-12</c:v>
                </c:pt>
                <c:pt idx="190">
                  <c:v>1.1580684803728015E-12</c:v>
                </c:pt>
                <c:pt idx="191">
                  <c:v>1.1580684803728015E-12</c:v>
                </c:pt>
                <c:pt idx="192">
                  <c:v>1.1580684803728015E-12</c:v>
                </c:pt>
                <c:pt idx="193">
                  <c:v>1.1580684803728015E-12</c:v>
                </c:pt>
                <c:pt idx="194">
                  <c:v>1.1580684803728015E-12</c:v>
                </c:pt>
                <c:pt idx="195">
                  <c:v>1.1580684803728015E-12</c:v>
                </c:pt>
                <c:pt idx="196">
                  <c:v>1.1580684803728015E-12</c:v>
                </c:pt>
                <c:pt idx="197">
                  <c:v>1.1580684803728015E-12</c:v>
                </c:pt>
                <c:pt idx="198">
                  <c:v>1.1580684803728015E-12</c:v>
                </c:pt>
                <c:pt idx="199">
                  <c:v>1.1580684803728015E-12</c:v>
                </c:pt>
                <c:pt idx="200">
                  <c:v>1.1580684803728015E-12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1.9410787228257782</c:v>
                </c:pt>
                <c:pt idx="2">
                  <c:v>2.8398813892620729</c:v>
                </c:pt>
                <c:pt idx="3">
                  <c:v>4.1567571198494031</c:v>
                </c:pt>
                <c:pt idx="4">
                  <c:v>6.0869962162591209</c:v>
                </c:pt>
                <c:pt idx="5">
                  <c:v>8.9174725106465349</c:v>
                </c:pt>
                <c:pt idx="6">
                  <c:v>13.069748298940175</c:v>
                </c:pt>
                <c:pt idx="7">
                  <c:v>19.163534428793028</c:v>
                </c:pt>
                <c:pt idx="8">
                  <c:v>28.110146663106708</c:v>
                </c:pt>
                <c:pt idx="9">
                  <c:v>41.250178319757005</c:v>
                </c:pt>
                <c:pt idx="10">
                  <c:v>60.556368030357454</c:v>
                </c:pt>
                <c:pt idx="11">
                  <c:v>87.589856064566405</c:v>
                </c:pt>
                <c:pt idx="12">
                  <c:v>114.41113969011224</c:v>
                </c:pt>
                <c:pt idx="13">
                  <c:v>141.07757949202235</c:v>
                </c:pt>
                <c:pt idx="14">
                  <c:v>167.6227307283427</c:v>
                </c:pt>
                <c:pt idx="15">
                  <c:v>194.06855653987475</c:v>
                </c:pt>
                <c:pt idx="16">
                  <c:v>213.18862266823007</c:v>
                </c:pt>
                <c:pt idx="17">
                  <c:v>232.26918808042467</c:v>
                </c:pt>
                <c:pt idx="18">
                  <c:v>251.31395420201684</c:v>
                </c:pt>
                <c:pt idx="19">
                  <c:v>270.3260152798141</c:v>
                </c:pt>
                <c:pt idx="20">
                  <c:v>289.30799460505648</c:v>
                </c:pt>
                <c:pt idx="21">
                  <c:v>298.8973504030501</c:v>
                </c:pt>
                <c:pt idx="22">
                  <c:v>308.47985290097756</c:v>
                </c:pt>
                <c:pt idx="23">
                  <c:v>318.05574514843084</c:v>
                </c:pt>
                <c:pt idx="24">
                  <c:v>327.62525435515425</c:v>
                </c:pt>
                <c:pt idx="25">
                  <c:v>337.18859336590833</c:v>
                </c:pt>
                <c:pt idx="26">
                  <c:v>9.2427828175423786E-13</c:v>
                </c:pt>
                <c:pt idx="27">
                  <c:v>9.2427828175423786E-13</c:v>
                </c:pt>
                <c:pt idx="28">
                  <c:v>9.2427828175423786E-13</c:v>
                </c:pt>
                <c:pt idx="29">
                  <c:v>9.2427828175423786E-13</c:v>
                </c:pt>
                <c:pt idx="30">
                  <c:v>9.2427828175423786E-13</c:v>
                </c:pt>
                <c:pt idx="31">
                  <c:v>9.2427828175423786E-13</c:v>
                </c:pt>
                <c:pt idx="32">
                  <c:v>9.2427828175423786E-13</c:v>
                </c:pt>
                <c:pt idx="33">
                  <c:v>9.2427828175423786E-13</c:v>
                </c:pt>
                <c:pt idx="34">
                  <c:v>9.2427828175423786E-13</c:v>
                </c:pt>
                <c:pt idx="35">
                  <c:v>9.2427828175423786E-13</c:v>
                </c:pt>
                <c:pt idx="36">
                  <c:v>9.2427828175423786E-13</c:v>
                </c:pt>
                <c:pt idx="37">
                  <c:v>9.2427828175423786E-13</c:v>
                </c:pt>
                <c:pt idx="38">
                  <c:v>9.2427828175423786E-13</c:v>
                </c:pt>
                <c:pt idx="39">
                  <c:v>9.2427828175423786E-13</c:v>
                </c:pt>
                <c:pt idx="40">
                  <c:v>9.2427828175423786E-13</c:v>
                </c:pt>
                <c:pt idx="41">
                  <c:v>9.2427828175423786E-13</c:v>
                </c:pt>
                <c:pt idx="42">
                  <c:v>9.2427828175423786E-13</c:v>
                </c:pt>
                <c:pt idx="43">
                  <c:v>9.2427828175423786E-13</c:v>
                </c:pt>
                <c:pt idx="44">
                  <c:v>9.2427828175423786E-13</c:v>
                </c:pt>
                <c:pt idx="45">
                  <c:v>9.2427828175423786E-13</c:v>
                </c:pt>
                <c:pt idx="46">
                  <c:v>9.2427828175423786E-13</c:v>
                </c:pt>
                <c:pt idx="47">
                  <c:v>9.2427828175423786E-13</c:v>
                </c:pt>
                <c:pt idx="48">
                  <c:v>9.2427828175423786E-13</c:v>
                </c:pt>
                <c:pt idx="49">
                  <c:v>9.2427828175423786E-13</c:v>
                </c:pt>
                <c:pt idx="50">
                  <c:v>9.2427828175423786E-13</c:v>
                </c:pt>
                <c:pt idx="51">
                  <c:v>9.2427828175423786E-13</c:v>
                </c:pt>
                <c:pt idx="52">
                  <c:v>9.2427828175423786E-13</c:v>
                </c:pt>
                <c:pt idx="53">
                  <c:v>9.2427828175423786E-13</c:v>
                </c:pt>
                <c:pt idx="54">
                  <c:v>9.2427828175423786E-13</c:v>
                </c:pt>
                <c:pt idx="55">
                  <c:v>9.2427828175423786E-13</c:v>
                </c:pt>
                <c:pt idx="56">
                  <c:v>9.2427828175423786E-13</c:v>
                </c:pt>
                <c:pt idx="57">
                  <c:v>9.2427828175423786E-13</c:v>
                </c:pt>
                <c:pt idx="58">
                  <c:v>9.2427828175423786E-13</c:v>
                </c:pt>
                <c:pt idx="59">
                  <c:v>9.2427828175423786E-13</c:v>
                </c:pt>
                <c:pt idx="60">
                  <c:v>9.2427828175423786E-13</c:v>
                </c:pt>
                <c:pt idx="61">
                  <c:v>9.2427828175423786E-13</c:v>
                </c:pt>
                <c:pt idx="62">
                  <c:v>9.2427828175423786E-13</c:v>
                </c:pt>
                <c:pt idx="63">
                  <c:v>9.2427828175423786E-13</c:v>
                </c:pt>
                <c:pt idx="64">
                  <c:v>9.2427828175423786E-13</c:v>
                </c:pt>
                <c:pt idx="65">
                  <c:v>9.2427828175423786E-13</c:v>
                </c:pt>
                <c:pt idx="66">
                  <c:v>9.2427828175423786E-13</c:v>
                </c:pt>
                <c:pt idx="67">
                  <c:v>9.2427828175423786E-13</c:v>
                </c:pt>
                <c:pt idx="68">
                  <c:v>9.2427828175423786E-13</c:v>
                </c:pt>
                <c:pt idx="69">
                  <c:v>9.2427828175423786E-13</c:v>
                </c:pt>
                <c:pt idx="70">
                  <c:v>9.2427828175423786E-13</c:v>
                </c:pt>
                <c:pt idx="71">
                  <c:v>9.2427828175423786E-13</c:v>
                </c:pt>
                <c:pt idx="72">
                  <c:v>9.2427828175423786E-13</c:v>
                </c:pt>
                <c:pt idx="73">
                  <c:v>9.2427828175423786E-13</c:v>
                </c:pt>
                <c:pt idx="74">
                  <c:v>9.2427828175423786E-13</c:v>
                </c:pt>
                <c:pt idx="75">
                  <c:v>9.2427828175423786E-13</c:v>
                </c:pt>
                <c:pt idx="76">
                  <c:v>9.2427828175423786E-13</c:v>
                </c:pt>
                <c:pt idx="77">
                  <c:v>9.2427828175423786E-13</c:v>
                </c:pt>
                <c:pt idx="78">
                  <c:v>9.2427828175423786E-13</c:v>
                </c:pt>
                <c:pt idx="79">
                  <c:v>9.2427828175423786E-13</c:v>
                </c:pt>
                <c:pt idx="80">
                  <c:v>9.2427828175423786E-13</c:v>
                </c:pt>
                <c:pt idx="81">
                  <c:v>9.2427828175423786E-13</c:v>
                </c:pt>
                <c:pt idx="82">
                  <c:v>9.2427828175423786E-13</c:v>
                </c:pt>
                <c:pt idx="83">
                  <c:v>9.2427828175423786E-13</c:v>
                </c:pt>
                <c:pt idx="84">
                  <c:v>9.2427828175423786E-13</c:v>
                </c:pt>
                <c:pt idx="85">
                  <c:v>9.2427828175423786E-13</c:v>
                </c:pt>
                <c:pt idx="86">
                  <c:v>9.2427828175423786E-13</c:v>
                </c:pt>
                <c:pt idx="87">
                  <c:v>9.2427828175423786E-13</c:v>
                </c:pt>
                <c:pt idx="88">
                  <c:v>9.2427828175423786E-13</c:v>
                </c:pt>
                <c:pt idx="89">
                  <c:v>9.2427828175423786E-13</c:v>
                </c:pt>
                <c:pt idx="90">
                  <c:v>9.2427828175423786E-13</c:v>
                </c:pt>
                <c:pt idx="91">
                  <c:v>9.2427828175423786E-13</c:v>
                </c:pt>
                <c:pt idx="92">
                  <c:v>9.2427828175423786E-13</c:v>
                </c:pt>
                <c:pt idx="93">
                  <c:v>9.2427828175423786E-13</c:v>
                </c:pt>
                <c:pt idx="94">
                  <c:v>9.2427828175423786E-13</c:v>
                </c:pt>
                <c:pt idx="95">
                  <c:v>9.2427828175423786E-13</c:v>
                </c:pt>
                <c:pt idx="96">
                  <c:v>9.2427828175423786E-13</c:v>
                </c:pt>
                <c:pt idx="97">
                  <c:v>9.2427828175423786E-13</c:v>
                </c:pt>
                <c:pt idx="98">
                  <c:v>9.2427828175423786E-13</c:v>
                </c:pt>
                <c:pt idx="99">
                  <c:v>9.2427828175423786E-13</c:v>
                </c:pt>
                <c:pt idx="100">
                  <c:v>9.2427828175423786E-13</c:v>
                </c:pt>
                <c:pt idx="101">
                  <c:v>9.2427828175423786E-13</c:v>
                </c:pt>
                <c:pt idx="102">
                  <c:v>9.2427828175423786E-13</c:v>
                </c:pt>
                <c:pt idx="103">
                  <c:v>9.2427828175423786E-13</c:v>
                </c:pt>
                <c:pt idx="104">
                  <c:v>9.2427828175423786E-13</c:v>
                </c:pt>
                <c:pt idx="105">
                  <c:v>9.2427828175423786E-13</c:v>
                </c:pt>
                <c:pt idx="106">
                  <c:v>9.2427828175423786E-13</c:v>
                </c:pt>
                <c:pt idx="107">
                  <c:v>9.2427828175423786E-13</c:v>
                </c:pt>
                <c:pt idx="108">
                  <c:v>9.2427828175423786E-13</c:v>
                </c:pt>
                <c:pt idx="109">
                  <c:v>9.2427828175423786E-13</c:v>
                </c:pt>
                <c:pt idx="110">
                  <c:v>9.2427828175423786E-13</c:v>
                </c:pt>
                <c:pt idx="111">
                  <c:v>9.2427828175423786E-13</c:v>
                </c:pt>
                <c:pt idx="112">
                  <c:v>9.2427828175423786E-13</c:v>
                </c:pt>
                <c:pt idx="113">
                  <c:v>9.2427828175423786E-13</c:v>
                </c:pt>
                <c:pt idx="114">
                  <c:v>9.2427828175423786E-13</c:v>
                </c:pt>
                <c:pt idx="115">
                  <c:v>9.2427828175423786E-13</c:v>
                </c:pt>
                <c:pt idx="116">
                  <c:v>9.2427828175423786E-13</c:v>
                </c:pt>
                <c:pt idx="117">
                  <c:v>9.2427828175423786E-13</c:v>
                </c:pt>
                <c:pt idx="118">
                  <c:v>9.2427828175423786E-13</c:v>
                </c:pt>
                <c:pt idx="119">
                  <c:v>9.2427828175423786E-13</c:v>
                </c:pt>
                <c:pt idx="120">
                  <c:v>9.2427828175423786E-13</c:v>
                </c:pt>
                <c:pt idx="121">
                  <c:v>9.2427828175423786E-13</c:v>
                </c:pt>
                <c:pt idx="122">
                  <c:v>9.2427828175423786E-13</c:v>
                </c:pt>
                <c:pt idx="123">
                  <c:v>9.2427828175423786E-13</c:v>
                </c:pt>
                <c:pt idx="124">
                  <c:v>9.2427828175423786E-13</c:v>
                </c:pt>
                <c:pt idx="125">
                  <c:v>9.2427828175423786E-13</c:v>
                </c:pt>
                <c:pt idx="126">
                  <c:v>9.2427828175423786E-13</c:v>
                </c:pt>
                <c:pt idx="127">
                  <c:v>9.2427828175423786E-13</c:v>
                </c:pt>
                <c:pt idx="128">
                  <c:v>9.2427828175423786E-13</c:v>
                </c:pt>
                <c:pt idx="129">
                  <c:v>9.2427828175423786E-13</c:v>
                </c:pt>
                <c:pt idx="130">
                  <c:v>9.2427828175423786E-13</c:v>
                </c:pt>
                <c:pt idx="131">
                  <c:v>9.2427828175423786E-13</c:v>
                </c:pt>
                <c:pt idx="132">
                  <c:v>9.2427828175423786E-13</c:v>
                </c:pt>
                <c:pt idx="133">
                  <c:v>9.2427828175423786E-13</c:v>
                </c:pt>
                <c:pt idx="134">
                  <c:v>9.2427828175423786E-13</c:v>
                </c:pt>
                <c:pt idx="135">
                  <c:v>9.2427828175423786E-13</c:v>
                </c:pt>
                <c:pt idx="136">
                  <c:v>9.2427828175423786E-13</c:v>
                </c:pt>
                <c:pt idx="137">
                  <c:v>9.2427828175423786E-13</c:v>
                </c:pt>
                <c:pt idx="138">
                  <c:v>9.2427828175423786E-13</c:v>
                </c:pt>
                <c:pt idx="139">
                  <c:v>9.2427828175423786E-13</c:v>
                </c:pt>
                <c:pt idx="140">
                  <c:v>9.2427828175423786E-13</c:v>
                </c:pt>
                <c:pt idx="141">
                  <c:v>9.2427828175423786E-13</c:v>
                </c:pt>
                <c:pt idx="142">
                  <c:v>9.2427828175423786E-13</c:v>
                </c:pt>
                <c:pt idx="143">
                  <c:v>9.2427828175423786E-13</c:v>
                </c:pt>
                <c:pt idx="144">
                  <c:v>9.2427828175423786E-13</c:v>
                </c:pt>
                <c:pt idx="145">
                  <c:v>9.2427828175423786E-13</c:v>
                </c:pt>
                <c:pt idx="146">
                  <c:v>9.2427828175423786E-13</c:v>
                </c:pt>
                <c:pt idx="147">
                  <c:v>9.2427828175423786E-13</c:v>
                </c:pt>
                <c:pt idx="148">
                  <c:v>9.2427828175423786E-13</c:v>
                </c:pt>
                <c:pt idx="149">
                  <c:v>9.2427828175423786E-13</c:v>
                </c:pt>
                <c:pt idx="150">
                  <c:v>9.2427828175423786E-13</c:v>
                </c:pt>
                <c:pt idx="151">
                  <c:v>9.2427828175423786E-13</c:v>
                </c:pt>
                <c:pt idx="152">
                  <c:v>9.2427828175423786E-13</c:v>
                </c:pt>
                <c:pt idx="153">
                  <c:v>9.2427828175423786E-13</c:v>
                </c:pt>
                <c:pt idx="154">
                  <c:v>9.2427828175423786E-13</c:v>
                </c:pt>
                <c:pt idx="155">
                  <c:v>9.2427828175423786E-13</c:v>
                </c:pt>
                <c:pt idx="156">
                  <c:v>9.2427828175423786E-13</c:v>
                </c:pt>
                <c:pt idx="157">
                  <c:v>9.2427828175423786E-13</c:v>
                </c:pt>
                <c:pt idx="158">
                  <c:v>9.2427828175423786E-13</c:v>
                </c:pt>
                <c:pt idx="159">
                  <c:v>9.2427828175423786E-13</c:v>
                </c:pt>
                <c:pt idx="160">
                  <c:v>9.2427828175423786E-13</c:v>
                </c:pt>
                <c:pt idx="161">
                  <c:v>9.2427828175423786E-13</c:v>
                </c:pt>
                <c:pt idx="162">
                  <c:v>9.2427828175423786E-13</c:v>
                </c:pt>
                <c:pt idx="163">
                  <c:v>9.2427828175423786E-13</c:v>
                </c:pt>
                <c:pt idx="164">
                  <c:v>9.2427828175423786E-13</c:v>
                </c:pt>
                <c:pt idx="165">
                  <c:v>9.2427828175423786E-13</c:v>
                </c:pt>
                <c:pt idx="166">
                  <c:v>9.2427828175423786E-13</c:v>
                </c:pt>
                <c:pt idx="167">
                  <c:v>9.2427828175423786E-13</c:v>
                </c:pt>
                <c:pt idx="168">
                  <c:v>9.2427828175423786E-13</c:v>
                </c:pt>
                <c:pt idx="169">
                  <c:v>9.2427828175423786E-13</c:v>
                </c:pt>
                <c:pt idx="170">
                  <c:v>9.2427828175423786E-13</c:v>
                </c:pt>
                <c:pt idx="171">
                  <c:v>9.2427828175423786E-13</c:v>
                </c:pt>
                <c:pt idx="172">
                  <c:v>9.2427828175423786E-13</c:v>
                </c:pt>
                <c:pt idx="173">
                  <c:v>9.2427828175423786E-13</c:v>
                </c:pt>
                <c:pt idx="174">
                  <c:v>9.2427828175423786E-13</c:v>
                </c:pt>
                <c:pt idx="175">
                  <c:v>9.2427828175423786E-13</c:v>
                </c:pt>
                <c:pt idx="176">
                  <c:v>9.2427828175423786E-13</c:v>
                </c:pt>
                <c:pt idx="177">
                  <c:v>9.2427828175423786E-13</c:v>
                </c:pt>
                <c:pt idx="178">
                  <c:v>9.2427828175423786E-13</c:v>
                </c:pt>
                <c:pt idx="179">
                  <c:v>9.2427828175423786E-13</c:v>
                </c:pt>
                <c:pt idx="180">
                  <c:v>9.2427828175423786E-13</c:v>
                </c:pt>
                <c:pt idx="181">
                  <c:v>9.2427828175423786E-13</c:v>
                </c:pt>
                <c:pt idx="182">
                  <c:v>9.2427828175423786E-13</c:v>
                </c:pt>
                <c:pt idx="183">
                  <c:v>9.2427828175423786E-13</c:v>
                </c:pt>
                <c:pt idx="184">
                  <c:v>9.2427828175423786E-13</c:v>
                </c:pt>
                <c:pt idx="185">
                  <c:v>9.2427828175423786E-13</c:v>
                </c:pt>
                <c:pt idx="186">
                  <c:v>9.2427828175423786E-13</c:v>
                </c:pt>
                <c:pt idx="187">
                  <c:v>9.2427828175423786E-13</c:v>
                </c:pt>
                <c:pt idx="188">
                  <c:v>9.2427828175423786E-13</c:v>
                </c:pt>
                <c:pt idx="189">
                  <c:v>9.2427828175423786E-13</c:v>
                </c:pt>
                <c:pt idx="190">
                  <c:v>9.2427828175423786E-13</c:v>
                </c:pt>
                <c:pt idx="191">
                  <c:v>9.2427828175423786E-13</c:v>
                </c:pt>
                <c:pt idx="192">
                  <c:v>9.2427828175423786E-13</c:v>
                </c:pt>
                <c:pt idx="193">
                  <c:v>9.2427828175423786E-13</c:v>
                </c:pt>
                <c:pt idx="194">
                  <c:v>9.2427828175423786E-13</c:v>
                </c:pt>
                <c:pt idx="195">
                  <c:v>9.2427828175423786E-13</c:v>
                </c:pt>
                <c:pt idx="196">
                  <c:v>9.2427828175423786E-13</c:v>
                </c:pt>
                <c:pt idx="197">
                  <c:v>9.2427828175423786E-13</c:v>
                </c:pt>
                <c:pt idx="198">
                  <c:v>9.2427828175423786E-13</c:v>
                </c:pt>
                <c:pt idx="199">
                  <c:v>9.2427828175423786E-13</c:v>
                </c:pt>
                <c:pt idx="200">
                  <c:v>9.2427828175423786E-13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1" t="s">
        <v>292</v>
      </c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</row>
    <row r="13" spans="2:13" ht="15" customHeight="1" x14ac:dyDescent="0.25"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</row>
    <row r="14" spans="2:13" ht="15" customHeight="1" x14ac:dyDescent="0.25"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</row>
    <row r="15" spans="2:13" ht="18.75" customHeight="1" x14ac:dyDescent="0.25"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18.75" customHeight="1" x14ac:dyDescent="0.25"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</row>
    <row r="18" spans="2:13" ht="12" customHeight="1" x14ac:dyDescent="0.25">
      <c r="B18" s="251" t="s">
        <v>293</v>
      </c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</row>
    <row r="19" spans="2:13" ht="12" customHeight="1" x14ac:dyDescent="0.25"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</row>
    <row r="20" spans="2:13" ht="12" customHeight="1" x14ac:dyDescent="0.25"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</row>
    <row r="21" spans="2:13" ht="12" customHeight="1" x14ac:dyDescent="0.25"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</row>
    <row r="22" spans="2:13" ht="12" customHeight="1" x14ac:dyDescent="0.25"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</row>
    <row r="23" spans="2:13" ht="12" customHeight="1" x14ac:dyDescent="0.25"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</row>
    <row r="24" spans="2:13" ht="12" customHeight="1" x14ac:dyDescent="0.25"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</row>
    <row r="25" spans="2:13" ht="12" customHeight="1" x14ac:dyDescent="0.25"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</row>
    <row r="26" spans="2:13" ht="12" customHeight="1" x14ac:dyDescent="0.25"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</row>
    <row r="27" spans="2:13" ht="12" customHeight="1" x14ac:dyDescent="0.25"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</row>
    <row r="28" spans="2:13" ht="12" customHeight="1" x14ac:dyDescent="0.25"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</row>
    <row r="29" spans="2:13" ht="12" customHeight="1" x14ac:dyDescent="0.25"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</row>
    <row r="30" spans="2:13" ht="12" customHeight="1" x14ac:dyDescent="0.25"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</row>
    <row r="31" spans="2:13" ht="12" customHeight="1" x14ac:dyDescent="0.25"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H24" sqref="H24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6" t="s">
        <v>190</v>
      </c>
      <c r="D1" s="256"/>
      <c r="E1" s="25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320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57" t="s">
        <v>192</v>
      </c>
      <c r="C3" s="258"/>
      <c r="D3" s="258"/>
      <c r="E3" s="258"/>
      <c r="F3" s="259"/>
      <c r="G3" s="89"/>
      <c r="I3" s="211" t="s">
        <v>305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2" t="s">
        <v>231</v>
      </c>
      <c r="B5" s="262"/>
      <c r="C5" s="24">
        <v>39.6</v>
      </c>
      <c r="D5" s="263" t="s">
        <v>229</v>
      </c>
      <c r="E5" s="264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1" t="s">
        <v>226</v>
      </c>
      <c r="B7" s="261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0.45</v>
      </c>
      <c r="D9" s="33">
        <f t="shared" ref="D9:D18" si="0">C9*$C$5</f>
        <v>17.82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35</v>
      </c>
      <c r="C10" s="32">
        <v>0.25</v>
      </c>
      <c r="D10" s="33">
        <f t="shared" si="0"/>
        <v>9.9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18</v>
      </c>
      <c r="C11" s="32">
        <v>0.14000000000000001</v>
      </c>
      <c r="D11" s="33">
        <f t="shared" si="0"/>
        <v>5.5440000000000005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4</v>
      </c>
      <c r="C12" s="32">
        <v>0.02</v>
      </c>
      <c r="D12" s="33">
        <f t="shared" si="0"/>
        <v>0.79200000000000004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112</v>
      </c>
      <c r="C13" s="32">
        <v>0.14000000000000001</v>
      </c>
      <c r="D13" s="33">
        <f t="shared" si="0"/>
        <v>5.5440000000000005</v>
      </c>
      <c r="E13" s="34">
        <v>25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39.599999999999994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0" t="s">
        <v>232</v>
      </c>
      <c r="B22" s="260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1" t="s">
        <v>227</v>
      </c>
      <c r="B30" s="261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9" t="s">
        <v>308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2" t="s">
        <v>186</v>
      </c>
      <c r="D34" s="252"/>
      <c r="E34" s="253" t="s">
        <v>187</v>
      </c>
      <c r="F34" s="254"/>
      <c r="G34" s="254"/>
      <c r="H34" s="255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12</v>
      </c>
      <c r="B36" s="55">
        <v>36</v>
      </c>
      <c r="C36" s="55">
        <v>1</v>
      </c>
      <c r="D36" s="55">
        <v>0</v>
      </c>
      <c r="E36" s="51"/>
      <c r="F36" s="51"/>
      <c r="G36" s="51"/>
      <c r="H36" s="51"/>
      <c r="I36" s="49">
        <f>IFERROR(B36/A36,"")</f>
        <v>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16</v>
      </c>
      <c r="B37" s="55">
        <v>81</v>
      </c>
      <c r="C37" s="55">
        <v>2</v>
      </c>
      <c r="D37" s="55">
        <v>15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11.25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20</v>
      </c>
      <c r="B38" s="55">
        <v>119</v>
      </c>
      <c r="C38" s="55">
        <v>3</v>
      </c>
      <c r="D38" s="55">
        <v>22</v>
      </c>
      <c r="E38" s="51">
        <v>0.3</v>
      </c>
      <c r="F38" s="51">
        <v>0.7</v>
      </c>
      <c r="G38" s="51"/>
      <c r="H38" s="51"/>
      <c r="I38" s="53">
        <f t="shared" si="1"/>
        <v>13.25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24</v>
      </c>
      <c r="B39" s="55">
        <v>157</v>
      </c>
      <c r="C39" s="55">
        <v>4</v>
      </c>
      <c r="D39" s="55">
        <v>31</v>
      </c>
      <c r="E39" s="51">
        <v>0.5</v>
      </c>
      <c r="F39" s="51">
        <v>0.5</v>
      </c>
      <c r="G39" s="51"/>
      <c r="H39" s="51"/>
      <c r="I39" s="49">
        <f t="shared" si="1"/>
        <v>15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28</v>
      </c>
      <c r="B40" s="55">
        <v>190</v>
      </c>
      <c r="C40" s="55">
        <v>5</v>
      </c>
      <c r="D40" s="55">
        <v>35</v>
      </c>
      <c r="E40" s="51">
        <v>0.7</v>
      </c>
      <c r="F40" s="51">
        <v>0.3</v>
      </c>
      <c r="G40" s="51"/>
      <c r="H40" s="51"/>
      <c r="I40" s="49">
        <f t="shared" si="1"/>
        <v>16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34</v>
      </c>
      <c r="B41" s="55">
        <v>244</v>
      </c>
      <c r="C41" s="55">
        <v>6</v>
      </c>
      <c r="D41" s="55">
        <v>46</v>
      </c>
      <c r="E41" s="63"/>
      <c r="F41" s="63"/>
      <c r="G41" s="63"/>
      <c r="H41" s="51"/>
      <c r="I41" s="53">
        <f t="shared" si="1"/>
        <v>14.833333333333334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40</v>
      </c>
      <c r="B42" s="55">
        <v>275</v>
      </c>
      <c r="C42" s="55">
        <v>7</v>
      </c>
      <c r="D42" s="55">
        <v>41</v>
      </c>
      <c r="E42" s="63"/>
      <c r="F42" s="63"/>
      <c r="G42" s="63"/>
      <c r="H42" s="51"/>
      <c r="I42" s="53">
        <f t="shared" si="1"/>
        <v>12.833333333333334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46</v>
      </c>
      <c r="B43" s="55">
        <v>293</v>
      </c>
      <c r="C43" s="55">
        <v>8</v>
      </c>
      <c r="D43" s="55">
        <v>29</v>
      </c>
      <c r="E43" s="63"/>
      <c r="F43" s="63"/>
      <c r="G43" s="63"/>
      <c r="H43" s="51"/>
      <c r="I43" s="49">
        <f t="shared" si="1"/>
        <v>9.8333333333333339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54</v>
      </c>
      <c r="B44" s="55">
        <v>311</v>
      </c>
      <c r="C44" s="55">
        <v>9</v>
      </c>
      <c r="D44" s="55">
        <v>16</v>
      </c>
      <c r="E44" s="63"/>
      <c r="F44" s="63"/>
      <c r="G44" s="63"/>
      <c r="H44" s="51"/>
      <c r="I44" s="49">
        <f t="shared" si="1"/>
        <v>5.875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62</v>
      </c>
      <c r="B45" s="55">
        <v>316</v>
      </c>
      <c r="C45" s="55">
        <v>10</v>
      </c>
      <c r="D45" s="55">
        <v>316</v>
      </c>
      <c r="E45" s="63"/>
      <c r="F45" s="63"/>
      <c r="G45" s="63"/>
      <c r="H45" s="51"/>
      <c r="I45" s="49">
        <f t="shared" si="1"/>
        <v>2.625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laricio</v>
      </c>
      <c r="D58" s="229" t="s">
        <v>308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2" t="s">
        <v>186</v>
      </c>
      <c r="D60" s="252"/>
      <c r="E60" s="253" t="s">
        <v>187</v>
      </c>
      <c r="F60" s="254"/>
      <c r="G60" s="254"/>
      <c r="H60" s="255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60">
        <v>20</v>
      </c>
      <c r="B62" s="60">
        <v>91</v>
      </c>
      <c r="C62" s="60">
        <v>1</v>
      </c>
      <c r="D62" s="60">
        <v>3</v>
      </c>
      <c r="E62" s="51"/>
      <c r="F62" s="51">
        <v>0.5</v>
      </c>
      <c r="G62" s="51">
        <v>0.5</v>
      </c>
      <c r="H62" s="51"/>
      <c r="I62" s="53">
        <f>IFERROR(B62/A62,"")</f>
        <v>4.55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60">
        <v>30</v>
      </c>
      <c r="B63" s="60">
        <v>218</v>
      </c>
      <c r="C63" s="60">
        <v>2</v>
      </c>
      <c r="D63" s="60">
        <v>70</v>
      </c>
      <c r="E63" s="51"/>
      <c r="F63" s="51">
        <v>0.5</v>
      </c>
      <c r="G63" s="51">
        <v>0.5</v>
      </c>
      <c r="H63" s="51"/>
      <c r="I63" s="49">
        <f>IF(A63&lt;&gt;0,(B63-(B62-D62))/(A63-A62),"")</f>
        <v>13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60">
        <v>40</v>
      </c>
      <c r="B64" s="60">
        <v>285</v>
      </c>
      <c r="C64" s="60">
        <v>3</v>
      </c>
      <c r="D64" s="60">
        <v>70</v>
      </c>
      <c r="E64" s="51"/>
      <c r="F64" s="51"/>
      <c r="G64" s="51"/>
      <c r="H64" s="51"/>
      <c r="I64" s="49">
        <f>IF(A64&lt;&gt;0,(B64-(B63-D63))/(A64-A63),"")</f>
        <v>13.7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60">
        <v>50</v>
      </c>
      <c r="B65" s="60">
        <v>343</v>
      </c>
      <c r="C65" s="60">
        <v>4</v>
      </c>
      <c r="D65" s="60">
        <v>70</v>
      </c>
      <c r="E65" s="87"/>
      <c r="F65" s="87"/>
      <c r="G65" s="87"/>
      <c r="H65" s="51"/>
      <c r="I65" s="49">
        <f>IF(A65&lt;&gt;0,(B65-(B64-D64))/(A65-A64),"")</f>
        <v>12.8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60">
        <v>60</v>
      </c>
      <c r="B66" s="60">
        <v>387</v>
      </c>
      <c r="C66" s="60">
        <v>5</v>
      </c>
      <c r="D66" s="60">
        <v>57</v>
      </c>
      <c r="E66" s="87"/>
      <c r="F66" s="87"/>
      <c r="G66" s="87"/>
      <c r="H66" s="51"/>
      <c r="I66" s="49">
        <f t="shared" ref="I66:I81" si="2">IF(A66&lt;&gt;0,(B66-(B65-D65))/(A66-A65),"")</f>
        <v>11.4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60">
        <v>70</v>
      </c>
      <c r="B67" s="60">
        <v>422</v>
      </c>
      <c r="C67" s="60">
        <v>6</v>
      </c>
      <c r="D67" s="60">
        <v>44</v>
      </c>
      <c r="E67" s="87"/>
      <c r="F67" s="87"/>
      <c r="G67" s="87"/>
      <c r="H67" s="51"/>
      <c r="I67" s="49">
        <f t="shared" si="2"/>
        <v>9.1999999999999993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60">
        <v>80</v>
      </c>
      <c r="B68" s="60">
        <v>450</v>
      </c>
      <c r="C68" s="60">
        <v>7</v>
      </c>
      <c r="D68" s="60">
        <f>B68</f>
        <v>450</v>
      </c>
      <c r="E68" s="87"/>
      <c r="F68" s="87"/>
      <c r="G68" s="87"/>
      <c r="H68" s="51"/>
      <c r="I68" s="49">
        <f t="shared" si="2"/>
        <v>7.2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60"/>
      <c r="B69" s="60"/>
      <c r="C69" s="60"/>
      <c r="D69" s="60"/>
      <c r="E69" s="87"/>
      <c r="F69" s="87"/>
      <c r="G69" s="87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Douglas</v>
      </c>
      <c r="D84" s="229" t="s">
        <v>308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2" t="s">
        <v>186</v>
      </c>
      <c r="D86" s="252"/>
      <c r="E86" s="253" t="s">
        <v>187</v>
      </c>
      <c r="F86" s="254"/>
      <c r="G86" s="254"/>
      <c r="H86" s="255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60">
        <v>10</v>
      </c>
      <c r="B88" s="60">
        <v>12</v>
      </c>
      <c r="C88" s="60"/>
      <c r="D88" s="60">
        <v>0</v>
      </c>
      <c r="E88" s="51"/>
      <c r="F88" s="51"/>
      <c r="G88" s="51"/>
      <c r="H88" s="87"/>
      <c r="I88" s="53">
        <f>IFERROR(B88/A88,"")</f>
        <v>1.2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60">
        <v>20</v>
      </c>
      <c r="B89" s="60">
        <v>162</v>
      </c>
      <c r="C89" s="60">
        <v>1</v>
      </c>
      <c r="D89" s="60">
        <f>7+56</f>
        <v>63</v>
      </c>
      <c r="E89" s="51"/>
      <c r="F89" s="51"/>
      <c r="G89" s="51">
        <v>1</v>
      </c>
      <c r="H89" s="87"/>
      <c r="I89" s="53">
        <f t="shared" ref="I89:I107" si="3">IF(A89&lt;&gt;0,(B89-(B88-D88))/(A89-A88),"")</f>
        <v>15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60">
        <v>30</v>
      </c>
      <c r="B90" s="60">
        <v>321</v>
      </c>
      <c r="C90" s="60">
        <v>2</v>
      </c>
      <c r="D90" s="60">
        <f>56+56</f>
        <v>112</v>
      </c>
      <c r="E90" s="51"/>
      <c r="F90" s="51">
        <v>0.5</v>
      </c>
      <c r="G90" s="51">
        <v>0.5</v>
      </c>
      <c r="H90" s="87"/>
      <c r="I90" s="53">
        <f t="shared" si="3"/>
        <v>22.2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60">
        <v>40</v>
      </c>
      <c r="B91" s="60">
        <v>429</v>
      </c>
      <c r="C91" s="60">
        <v>3</v>
      </c>
      <c r="D91" s="60">
        <f>56+56</f>
        <v>112</v>
      </c>
      <c r="E91" s="51"/>
      <c r="F91" s="51"/>
      <c r="G91" s="51"/>
      <c r="H91" s="87"/>
      <c r="I91" s="53">
        <f t="shared" si="3"/>
        <v>22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60">
        <v>50</v>
      </c>
      <c r="B92" s="60">
        <v>509</v>
      </c>
      <c r="C92" s="60">
        <v>4</v>
      </c>
      <c r="D92" s="60">
        <f>56+52</f>
        <v>108</v>
      </c>
      <c r="E92" s="51"/>
      <c r="F92" s="51"/>
      <c r="G92" s="51"/>
      <c r="H92" s="87"/>
      <c r="I92" s="53">
        <f t="shared" si="3"/>
        <v>19.2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60">
        <v>60</v>
      </c>
      <c r="B93" s="60">
        <v>563</v>
      </c>
      <c r="C93" s="60">
        <v>5</v>
      </c>
      <c r="D93" s="60">
        <f>44+39</f>
        <v>83</v>
      </c>
      <c r="E93" s="51"/>
      <c r="F93" s="51"/>
      <c r="G93" s="51"/>
      <c r="H93" s="87"/>
      <c r="I93" s="53">
        <f t="shared" si="3"/>
        <v>16.2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60">
        <v>70</v>
      </c>
      <c r="B94" s="60">
        <v>614</v>
      </c>
      <c r="C94" s="60">
        <v>6</v>
      </c>
      <c r="D94" s="60">
        <f>35+32</f>
        <v>67</v>
      </c>
      <c r="E94" s="51"/>
      <c r="F94" s="51"/>
      <c r="G94" s="51"/>
      <c r="H94" s="87"/>
      <c r="I94" s="53">
        <f t="shared" si="3"/>
        <v>13.4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80</v>
      </c>
      <c r="B95" s="60">
        <v>651</v>
      </c>
      <c r="C95" s="60">
        <v>7</v>
      </c>
      <c r="D95" s="60">
        <v>651</v>
      </c>
      <c r="E95" s="51"/>
      <c r="F95" s="51"/>
      <c r="G95" s="51"/>
      <c r="H95" s="87"/>
      <c r="I95" s="53">
        <f t="shared" si="3"/>
        <v>10.4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Aulne glutineux</v>
      </c>
      <c r="D110" s="229" t="s">
        <v>308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2" t="s">
        <v>186</v>
      </c>
      <c r="D112" s="252"/>
      <c r="E112" s="253" t="s">
        <v>187</v>
      </c>
      <c r="F112" s="254"/>
      <c r="G112" s="254"/>
      <c r="H112" s="255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5">
        <v>20</v>
      </c>
      <c r="B114" s="55">
        <v>95</v>
      </c>
      <c r="C114" s="55">
        <v>1</v>
      </c>
      <c r="D114" s="55">
        <f>15+28</f>
        <v>43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4.75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5">
        <v>30</v>
      </c>
      <c r="B115" s="55">
        <v>174</v>
      </c>
      <c r="C115" s="55">
        <v>2</v>
      </c>
      <c r="D115" s="55">
        <f>28+28</f>
        <v>56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12.2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5">
        <v>40</v>
      </c>
      <c r="B116" s="55">
        <v>220</v>
      </c>
      <c r="C116" s="55">
        <v>3</v>
      </c>
      <c r="D116" s="55">
        <f>28+28</f>
        <v>56</v>
      </c>
      <c r="E116" s="51"/>
      <c r="F116" s="51"/>
      <c r="G116" s="51"/>
      <c r="H116" s="51"/>
      <c r="I116" s="53">
        <f t="shared" si="4"/>
        <v>10.199999999999999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5">
        <v>50</v>
      </c>
      <c r="B117" s="55">
        <v>241</v>
      </c>
      <c r="C117" s="55">
        <v>4</v>
      </c>
      <c r="D117" s="55">
        <f>22+17</f>
        <v>39</v>
      </c>
      <c r="E117" s="51"/>
      <c r="F117" s="51"/>
      <c r="G117" s="51"/>
      <c r="H117" s="51"/>
      <c r="I117" s="53">
        <f t="shared" si="4"/>
        <v>7.7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5">
        <v>60</v>
      </c>
      <c r="B118" s="55">
        <v>258</v>
      </c>
      <c r="C118" s="55">
        <v>5</v>
      </c>
      <c r="D118" s="55">
        <f>13+12</f>
        <v>25</v>
      </c>
      <c r="E118" s="51"/>
      <c r="F118" s="51"/>
      <c r="G118" s="51"/>
      <c r="H118" s="51"/>
      <c r="I118" s="53">
        <f t="shared" si="4"/>
        <v>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5">
        <v>70</v>
      </c>
      <c r="B119" s="55">
        <v>274</v>
      </c>
      <c r="C119" s="55">
        <v>6</v>
      </c>
      <c r="D119" s="55">
        <f>11+10</f>
        <v>21</v>
      </c>
      <c r="E119" s="51"/>
      <c r="F119" s="51"/>
      <c r="G119" s="51"/>
      <c r="H119" s="51"/>
      <c r="I119" s="53">
        <f t="shared" si="4"/>
        <v>4.0999999999999996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55">
        <v>80</v>
      </c>
      <c r="B120" s="55">
        <f>267+9+8</f>
        <v>284</v>
      </c>
      <c r="C120" s="55">
        <v>7</v>
      </c>
      <c r="D120" s="55">
        <f>B120</f>
        <v>284</v>
      </c>
      <c r="E120" s="51"/>
      <c r="F120" s="51"/>
      <c r="G120" s="51"/>
      <c r="H120" s="51"/>
      <c r="I120" s="53">
        <f t="shared" si="4"/>
        <v>3.1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Peuplier Koster</v>
      </c>
      <c r="D136" s="229" t="s">
        <v>308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2" t="s">
        <v>186</v>
      </c>
      <c r="D138" s="252"/>
      <c r="E138" s="253" t="s">
        <v>187</v>
      </c>
      <c r="F138" s="254"/>
      <c r="G138" s="254"/>
      <c r="H138" s="255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10</v>
      </c>
      <c r="B140" s="60">
        <v>52</v>
      </c>
      <c r="C140" s="50"/>
      <c r="D140" s="60"/>
      <c r="E140" s="51"/>
      <c r="F140" s="51"/>
      <c r="G140" s="51"/>
      <c r="H140" s="51"/>
      <c r="I140" s="57">
        <f>IFERROR(B140/A140,"")</f>
        <v>5.2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15</v>
      </c>
      <c r="B141" s="60">
        <v>172</v>
      </c>
      <c r="C141" s="50"/>
      <c r="D141" s="60"/>
      <c r="E141" s="51"/>
      <c r="F141" s="51"/>
      <c r="G141" s="51"/>
      <c r="H141" s="51"/>
      <c r="I141" s="57">
        <f t="shared" ref="I141:I159" si="5">IF(A141&lt;&gt;0,(B141-(B140-D140))/(A141-A140),"")</f>
        <v>24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20</v>
      </c>
      <c r="B142" s="60">
        <v>259</v>
      </c>
      <c r="C142" s="50"/>
      <c r="D142" s="60"/>
      <c r="E142" s="51"/>
      <c r="F142" s="51"/>
      <c r="G142" s="51"/>
      <c r="H142" s="51"/>
      <c r="I142" s="57">
        <f t="shared" si="5"/>
        <v>17.399999999999999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25</v>
      </c>
      <c r="B143" s="60">
        <v>303</v>
      </c>
      <c r="C143" s="50">
        <v>1</v>
      </c>
      <c r="D143" s="60">
        <v>303</v>
      </c>
      <c r="E143" s="51">
        <v>0.78</v>
      </c>
      <c r="F143" s="51"/>
      <c r="G143" s="51">
        <v>0.22</v>
      </c>
      <c r="H143" s="51"/>
      <c r="I143" s="57">
        <f t="shared" si="5"/>
        <v>8.8000000000000007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308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2" t="s">
        <v>186</v>
      </c>
      <c r="D164" s="252"/>
      <c r="E164" s="253" t="s">
        <v>187</v>
      </c>
      <c r="F164" s="254"/>
      <c r="G164" s="254"/>
      <c r="H164" s="255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308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2" t="s">
        <v>186</v>
      </c>
      <c r="D190" s="252"/>
      <c r="E190" s="253" t="s">
        <v>187</v>
      </c>
      <c r="F190" s="254"/>
      <c r="G190" s="254"/>
      <c r="H190" s="255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308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2" t="s">
        <v>186</v>
      </c>
      <c r="D216" s="252"/>
      <c r="E216" s="253" t="s">
        <v>187</v>
      </c>
      <c r="F216" s="254"/>
      <c r="G216" s="254"/>
      <c r="H216" s="255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308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2" t="s">
        <v>186</v>
      </c>
      <c r="D242" s="252"/>
      <c r="E242" s="253" t="s">
        <v>187</v>
      </c>
      <c r="F242" s="254"/>
      <c r="G242" s="254"/>
      <c r="H242" s="255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308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2" t="s">
        <v>186</v>
      </c>
      <c r="D268" s="252"/>
      <c r="E268" s="253" t="s">
        <v>187</v>
      </c>
      <c r="F268" s="254"/>
      <c r="G268" s="254"/>
      <c r="H268" s="255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66" t="s">
        <v>191</v>
      </c>
      <c r="C2" s="267"/>
      <c r="D2" s="267"/>
      <c r="E2" s="267"/>
      <c r="F2" s="267"/>
      <c r="G2" s="268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65"/>
      <c r="C4" s="265"/>
      <c r="D4" s="265"/>
      <c r="E4" s="265"/>
      <c r="F4" s="265"/>
      <c r="G4" s="265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297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296</v>
      </c>
      <c r="C7" s="100" t="s">
        <v>214</v>
      </c>
      <c r="D7" s="215"/>
      <c r="E7" s="101"/>
      <c r="F7" s="26" t="s">
        <v>296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302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310</v>
      </c>
      <c r="D14" s="216"/>
      <c r="E14" s="99"/>
      <c r="F14" s="107"/>
      <c r="G14" s="98" t="s">
        <v>295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296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2" t="s">
        <v>176</v>
      </c>
      <c r="C1" s="273"/>
      <c r="D1" s="273"/>
      <c r="E1" s="273"/>
      <c r="F1" s="273"/>
      <c r="G1" s="273"/>
      <c r="H1" s="274"/>
      <c r="I1" s="269" t="str">
        <f>IF('Données projet'!$B$9="","",'Données projet'!$B$9)</f>
        <v>Pin maritime</v>
      </c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1"/>
      <c r="AD1" s="270" t="str">
        <f>IF('Données projet'!$B$10="","",'Données projet'!$B$10)</f>
        <v>Pin laricio</v>
      </c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1"/>
      <c r="AY1" s="269" t="str">
        <f>IF('Données projet'!$B$11="","",'Données projet'!$B$11)</f>
        <v>Douglas</v>
      </c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270"/>
      <c r="BL1" s="270"/>
      <c r="BM1" s="270"/>
      <c r="BN1" s="270"/>
      <c r="BO1" s="270"/>
      <c r="BP1" s="270"/>
      <c r="BQ1" s="270"/>
      <c r="BR1" s="270"/>
      <c r="BS1" s="271"/>
      <c r="BT1" s="269" t="str">
        <f>IF('Données projet'!$B$12="","",'Données projet'!$B$12)</f>
        <v>Aulne glutineux</v>
      </c>
      <c r="BU1" s="270"/>
      <c r="BV1" s="270"/>
      <c r="BW1" s="270"/>
      <c r="BX1" s="270"/>
      <c r="BY1" s="270"/>
      <c r="BZ1" s="270"/>
      <c r="CA1" s="270"/>
      <c r="CB1" s="270"/>
      <c r="CC1" s="270"/>
      <c r="CD1" s="270"/>
      <c r="CE1" s="270"/>
      <c r="CF1" s="270"/>
      <c r="CG1" s="270"/>
      <c r="CH1" s="270"/>
      <c r="CI1" s="270"/>
      <c r="CJ1" s="270"/>
      <c r="CK1" s="270"/>
      <c r="CL1" s="270"/>
      <c r="CM1" s="270"/>
      <c r="CN1" s="271"/>
      <c r="CO1" s="269" t="str">
        <f>IF('Données projet'!$B$13="","",'Données projet'!$B$13)</f>
        <v>Peuplier Koster</v>
      </c>
      <c r="CP1" s="270"/>
      <c r="CQ1" s="270"/>
      <c r="CR1" s="270"/>
      <c r="CS1" s="270"/>
      <c r="CT1" s="270"/>
      <c r="CU1" s="270"/>
      <c r="CV1" s="270"/>
      <c r="CW1" s="270"/>
      <c r="CX1" s="270"/>
      <c r="CY1" s="270"/>
      <c r="CZ1" s="270"/>
      <c r="DA1" s="270"/>
      <c r="DB1" s="270"/>
      <c r="DC1" s="270"/>
      <c r="DD1" s="270"/>
      <c r="DE1" s="270"/>
      <c r="DF1" s="270"/>
      <c r="DG1" s="270"/>
      <c r="DH1" s="270"/>
      <c r="DI1" s="271"/>
      <c r="DJ1" s="269" t="str">
        <f>IF('Données projet'!$B$14="","",'Données projet'!$B$14)</f>
        <v/>
      </c>
      <c r="DK1" s="270"/>
      <c r="DL1" s="270"/>
      <c r="DM1" s="270"/>
      <c r="DN1" s="270"/>
      <c r="DO1" s="270"/>
      <c r="DP1" s="270"/>
      <c r="DQ1" s="270"/>
      <c r="DR1" s="270"/>
      <c r="DS1" s="270"/>
      <c r="DT1" s="270"/>
      <c r="DU1" s="270"/>
      <c r="DV1" s="270"/>
      <c r="DW1" s="270"/>
      <c r="DX1" s="270"/>
      <c r="DY1" s="270"/>
      <c r="DZ1" s="270"/>
      <c r="EA1" s="270"/>
      <c r="EB1" s="270"/>
      <c r="EC1" s="270"/>
      <c r="ED1" s="271"/>
      <c r="EE1" s="269" t="str">
        <f>IF('Données projet'!$B$15="","",'Données projet'!$B$15)</f>
        <v/>
      </c>
      <c r="EF1" s="270"/>
      <c r="EG1" s="270"/>
      <c r="EH1" s="270"/>
      <c r="EI1" s="270"/>
      <c r="EJ1" s="270"/>
      <c r="EK1" s="270"/>
      <c r="EL1" s="270"/>
      <c r="EM1" s="270"/>
      <c r="EN1" s="270"/>
      <c r="EO1" s="270"/>
      <c r="EP1" s="270"/>
      <c r="EQ1" s="270"/>
      <c r="ER1" s="270"/>
      <c r="ES1" s="270"/>
      <c r="ET1" s="270"/>
      <c r="EU1" s="270"/>
      <c r="EV1" s="270"/>
      <c r="EW1" s="270"/>
      <c r="EX1" s="270"/>
      <c r="EY1" s="271"/>
      <c r="EZ1" s="269" t="str">
        <f>IF('Données projet'!$B$16="","",'Données projet'!$B$16)</f>
        <v/>
      </c>
      <c r="FA1" s="270"/>
      <c r="FB1" s="270"/>
      <c r="FC1" s="270"/>
      <c r="FD1" s="270"/>
      <c r="FE1" s="270"/>
      <c r="FF1" s="270"/>
      <c r="FG1" s="270"/>
      <c r="FH1" s="270"/>
      <c r="FI1" s="270"/>
      <c r="FJ1" s="270"/>
      <c r="FK1" s="270"/>
      <c r="FL1" s="270"/>
      <c r="FM1" s="270"/>
      <c r="FN1" s="270"/>
      <c r="FO1" s="270"/>
      <c r="FP1" s="270"/>
      <c r="FQ1" s="270"/>
      <c r="FR1" s="270"/>
      <c r="FS1" s="270"/>
      <c r="FT1" s="271"/>
      <c r="FU1" s="269" t="str">
        <f>IF('Données projet'!$B$17="","",'Données projet'!$B$17)</f>
        <v/>
      </c>
      <c r="FV1" s="270"/>
      <c r="FW1" s="270"/>
      <c r="FX1" s="270"/>
      <c r="FY1" s="270"/>
      <c r="FZ1" s="270"/>
      <c r="GA1" s="270"/>
      <c r="GB1" s="270"/>
      <c r="GC1" s="270"/>
      <c r="GD1" s="270"/>
      <c r="GE1" s="270"/>
      <c r="GF1" s="270"/>
      <c r="GG1" s="270"/>
      <c r="GH1" s="270"/>
      <c r="GI1" s="270"/>
      <c r="GJ1" s="270"/>
      <c r="GK1" s="270"/>
      <c r="GL1" s="270"/>
      <c r="GM1" s="270"/>
      <c r="GN1" s="270"/>
      <c r="GO1" s="271"/>
      <c r="GP1" s="269" t="str">
        <f>IF('Données projet'!$B$18="","",'Données projet'!$B$18)</f>
        <v/>
      </c>
      <c r="GQ1" s="270"/>
      <c r="GR1" s="270"/>
      <c r="GS1" s="270"/>
      <c r="GT1" s="270"/>
      <c r="GU1" s="270"/>
      <c r="GV1" s="270"/>
      <c r="GW1" s="270"/>
      <c r="GX1" s="270"/>
      <c r="GY1" s="270"/>
      <c r="GZ1" s="270"/>
      <c r="HA1" s="270"/>
      <c r="HB1" s="270"/>
      <c r="HC1" s="270"/>
      <c r="HD1" s="270"/>
      <c r="HE1" s="270"/>
      <c r="HF1" s="270"/>
      <c r="HG1" s="270"/>
      <c r="HH1" s="270"/>
      <c r="HI1" s="270"/>
      <c r="HJ1" s="271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299</v>
      </c>
      <c r="F2" s="5" t="s">
        <v>298</v>
      </c>
      <c r="G2" s="5" t="s">
        <v>303</v>
      </c>
      <c r="H2" s="66" t="s">
        <v>300</v>
      </c>
      <c r="I2" s="68" t="s">
        <v>299</v>
      </c>
      <c r="J2" s="69" t="s">
        <v>298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303</v>
      </c>
      <c r="R2" s="6" t="s">
        <v>301</v>
      </c>
      <c r="S2" s="6" t="s">
        <v>309</v>
      </c>
      <c r="T2" s="6" t="s">
        <v>304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299</v>
      </c>
      <c r="AE2" s="69" t="s">
        <v>298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303</v>
      </c>
      <c r="AM2" s="6" t="s">
        <v>301</v>
      </c>
      <c r="AN2" s="6" t="s">
        <v>309</v>
      </c>
      <c r="AO2" s="6" t="s">
        <v>304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299</v>
      </c>
      <c r="AZ2" s="69" t="s">
        <v>298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303</v>
      </c>
      <c r="BH2" s="6" t="s">
        <v>301</v>
      </c>
      <c r="BI2" s="6" t="s">
        <v>309</v>
      </c>
      <c r="BJ2" s="6" t="s">
        <v>304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299</v>
      </c>
      <c r="BU2" s="69" t="s">
        <v>298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303</v>
      </c>
      <c r="CC2" s="6" t="s">
        <v>301</v>
      </c>
      <c r="CD2" s="6" t="s">
        <v>309</v>
      </c>
      <c r="CE2" s="6" t="s">
        <v>304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299</v>
      </c>
      <c r="CP2" s="69" t="s">
        <v>298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303</v>
      </c>
      <c r="CX2" s="6" t="s">
        <v>301</v>
      </c>
      <c r="CY2" s="6" t="s">
        <v>309</v>
      </c>
      <c r="CZ2" s="6" t="s">
        <v>304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299</v>
      </c>
      <c r="DK2" s="69" t="s">
        <v>298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303</v>
      </c>
      <c r="DS2" s="6" t="s">
        <v>301</v>
      </c>
      <c r="DT2" s="6" t="s">
        <v>309</v>
      </c>
      <c r="DU2" s="6" t="s">
        <v>304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299</v>
      </c>
      <c r="EF2" s="69" t="s">
        <v>298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303</v>
      </c>
      <c r="EN2" s="6" t="s">
        <v>301</v>
      </c>
      <c r="EO2" s="6" t="s">
        <v>309</v>
      </c>
      <c r="EP2" s="6" t="s">
        <v>304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299</v>
      </c>
      <c r="FA2" s="69" t="s">
        <v>298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303</v>
      </c>
      <c r="FI2" s="6" t="s">
        <v>301</v>
      </c>
      <c r="FJ2" s="6" t="s">
        <v>309</v>
      </c>
      <c r="FK2" s="6" t="s">
        <v>304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299</v>
      </c>
      <c r="FV2" s="69" t="s">
        <v>298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303</v>
      </c>
      <c r="GD2" s="6" t="s">
        <v>301</v>
      </c>
      <c r="GE2" s="6" t="s">
        <v>309</v>
      </c>
      <c r="GF2" s="6" t="s">
        <v>304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299</v>
      </c>
      <c r="GQ2" s="69" t="s">
        <v>298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303</v>
      </c>
      <c r="GY2" s="6" t="s">
        <v>301</v>
      </c>
      <c r="GZ2" s="6" t="s">
        <v>309</v>
      </c>
      <c r="HA2" s="6" t="s">
        <v>304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projet'!$B$9,Paramètres!$A$1:$I$88,3,0)*VLOOKUP('Données projet'!$B$9,Paramètres!$A$1:$I$88,5,0)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195.73441209602686</v>
      </c>
      <c r="T3" s="59">
        <f>IF('Données projet'!E9&gt;30,$R$33-$H$33,LOOKUP('Données projet'!$E$9,$A$3:$A$203,R3:R203)-LOOKUP('Données projet'!$E$9,$A$3:$A$203,$H$3:$H$203))</f>
        <v>219.19129224309006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projet'!$B$9,Paramètres!$A$1:$I$88,7,0))</f>
        <v>0</v>
      </c>
      <c r="X3" s="16">
        <f>IF(ISNA(VLOOKUP(A3,'Données projet'!$A$35:$I$55,6,0)),0%,VLOOKUP(A3,'Données projet'!$A$35:$I$55,6,0)*VLOOKUP('Données projet'!$B$9,Paramètres!$A$1:$I$88,7,0))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projet'!$B$10,Paramètres!$A$1:$I$88,3,0)*VLOOKUP('Données projet'!$B$10,Paramètres!$A$1:$I$88,5,0)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246.59447135626942</v>
      </c>
      <c r="AO3" s="59">
        <f>IF('Données projet'!E10&gt;30,$AM$33-$H$33,LOOKUP('Données projet'!$E$10,$A$3:$A$203,AM3:AM203)-LOOKUP('Données projet'!$E$10,$A$3:$A$203,$H$3:$H$203))</f>
        <v>262.00382544285367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projet'!$B$10,Paramètres!$A$1:$I$88,7,0))</f>
        <v>0</v>
      </c>
      <c r="AS3" s="16">
        <f>IF(ISNA(VLOOKUP(A3,'Données projet'!$A$61:$I$81,6,0)),0%,VLOOKUP(A3,'Données projet'!$A$61:$I$81,6,0)*VLOOKUP('Données projet'!$B$10,Paramètres!$A$1:$I$88,7,0))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projet'!$B$11,Paramètres!$A$1:$I$88,3,0)*VLOOKUP('Données projet'!$B$11,Paramètres!$A$1:$I$88,5,0)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355.96253323046608</v>
      </c>
      <c r="BJ3" s="59">
        <f>IF('Données projet'!E11&gt;30,$BH$33-$H$33,LOOKUP('Données projet'!$E$11,$A$3:$A$203,BH3:BH203)-LOOKUP('Données projet'!$E$11,$A$3:$A$203,$H$3:$H$203))</f>
        <v>366.8380442809696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projet'!$B$11,Paramètres!$A$1:$I$88,7,0))</f>
        <v>0</v>
      </c>
      <c r="BN3" s="16">
        <f>IF(ISNA(VLOOKUP(A3,'Données projet'!$A$87:$I$107,6,0)),0%,VLOOKUP(A3,'Données projet'!$A$87:$I$107,6,0)*VLOOKUP('Données projet'!$B$11,Paramètres!$A$1:$I$88,7,0))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projet'!$B$12,Paramètres!$A$1:$I$88,3,0)*VLOOKUP('Données projet'!$B$12,Paramètres!$A$1:$I$88,5,0)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180.90147430936133</v>
      </c>
      <c r="CE3" s="59">
        <f>IF('Données projet'!E12&gt;30,$CC$33-$H$33,LOOKUP('Données projet'!$E$12,$A$3:$A$203,CC3:CC203)-LOOKUP('Données projet'!$E$12,$A$3:$A$203,$H$3:$H$203))</f>
        <v>226.87949199830018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projet'!$B$12,Paramètres!$A$1:$I$88,7,0))</f>
        <v>0</v>
      </c>
      <c r="CI3" s="16">
        <f>IF(ISNA(VLOOKUP(A3,'Données projet'!$A$113:$I$133,6,0)),0%,VLOOKUP(A3,'Données projet'!$A$113:$I$133,6,0)*VLOOKUP('Données projet'!$B$12,Paramètres!$A$1:$I$88,7,0))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projet'!$B$13,Paramètres!$A$1:$I$88,3,0)*VLOOKUP('Données projet'!$B$13,Paramètres!$A$1:$I$88,5,0)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133.08385802816008</v>
      </c>
      <c r="CZ3" s="59">
        <f>IF('Données projet'!E13&gt;30,$CX$33-$H$33,LOOKUP('Données projet'!$E$13,$A$3:$A$203,CX3:CX203)-LOOKUP('Données projet'!$E$13,$A$3:$A$203,$H$3:$H$203))</f>
        <v>316.59112511251385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projet'!$B$13,Paramètres!$A$1:$I$88,7,0))</f>
        <v>0</v>
      </c>
      <c r="DD3" s="16">
        <f>IF(ISNA(VLOOKUP(A3,'Données projet'!$A$139:$I$159,6,0)),0%,VLOOKUP(A3,'Données projet'!$A$139:$I$159,6,0)*VLOOKUP('Données projet'!$B$13,Paramètres!$A$1:$I$88,7,0))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projet'!$B$14,Paramètres!$A$1:$I$88,3,0)*VLOOKUP('Données projet'!$B$14,Paramètres!$A$1:$I$88,5,0)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projet'!$B$14,Paramètres!$A$1:$I$88,7,0))</f>
        <v>0</v>
      </c>
      <c r="DY3" s="16">
        <f>IF(ISNA(VLOOKUP(A3,'Données projet'!$A$165:$I$185,6,0)),0%,VLOOKUP(A3,'Données projet'!$A$165:$I$185,6,0)*VLOOKUP('Données projet'!$B$14,Paramètres!$A$1:$I$88,7,0))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projet'!$B$15,Paramètres!$A$1:$I$88,3,0)*VLOOKUP('Données projet'!$B$15,Paramètres!$A$1:$I$88,5,0)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projet'!$B$15,Paramètres!$A$1:$I$88,7,0))</f>
        <v>0</v>
      </c>
      <c r="ET3" s="16">
        <f>IF(ISNA(VLOOKUP(A3,'Données projet'!$A$191:$I$211,6,0)),0%,VLOOKUP(A3,'Données projet'!$A$191:$I$211,6,0)*VLOOKUP('Données projet'!$B$15,Paramètres!$A$1:$I$88,7,0))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projet'!$B$16,Paramètres!$A$1:$I$88,3,0)*VLOOKUP('Données projet'!$B$16,Paramètres!$A$1:$I$88,5,0)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projet'!$B$16,Paramètres!$A$1:$I$88,7,0))</f>
        <v>0</v>
      </c>
      <c r="FO3" s="16">
        <f>IF(ISNA(VLOOKUP(A3,'Données projet'!$A$217:$I$237,6,0)),0%,VLOOKUP(A3,'Données projet'!$A$217:$I$237,6,0)*VLOOKUP('Données projet'!$B$16,Paramètres!$A$1:$I$88,7,0))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projet'!$B$17,Paramètres!$A$1:$I$88,3,0)*VLOOKUP('Données projet'!$B$17,Paramètres!$A$1:$I$88,5,0)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projet'!$B$17,Paramètres!$A$1:$I$88,7,0))</f>
        <v>0</v>
      </c>
      <c r="GJ3" s="16">
        <f>IF(ISNA(VLOOKUP(A3,'Données projet'!$A$243:$I$263,6,0)),0%,VLOOKUP(A3,'Données projet'!$A$243:$I$263,6,0)*VLOOKUP('Données projet'!$B$17,Paramètres!$A$1:$I$88,7,0))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projet'!$B$18,Paramètres!$A$1:$I$88,3,0)*VLOOKUP('Données projet'!$B$18,Paramètres!$A$1:$I$88,5,0)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projet'!$B$18,Paramètres!$A$1:$I$88,7,0))</f>
        <v>0</v>
      </c>
      <c r="HE3" s="16">
        <f>IF(ISNA(VLOOKUP(A3,'Données projet'!$A$269:$I$289,6,0)),0%,VLOOKUP(A3,'Données projet'!$A$269:$I$289,6,0)*VLOOKUP('Données projet'!$B$18,Paramètres!$A$1:$I$88,7,0))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</v>
      </c>
      <c r="N4" s="13">
        <f>IF('Données projet'!$A$36&gt;35,N3+M4-V3,IF(A4&lt;'Données projet'!$A$36,$K$205^A4,IF(A4='Données projet'!$A$36,'Données projet'!$B$36,N3+M4-V3)))</f>
        <v>1.3480061545972777</v>
      </c>
      <c r="O4" s="13">
        <f>N4*VLOOKUP('Données projet'!$B$9,Paramètres!$A$1:$I$88,3,0)*VLOOKUP('Données projet'!$B$9,Paramètres!$A$1:$I$88,5,0)</f>
        <v>0.80610768044917203</v>
      </c>
      <c r="P4" s="13">
        <f>EXP(-1.0587+0.8836*LN(O4)+0.284)</f>
        <v>0.38092631183578585</v>
      </c>
      <c r="Q4" s="20">
        <f t="shared" ref="Q4:Q34" si="2">(O4+P4)*0.475*44/12</f>
        <v>2.0674175365629677</v>
      </c>
      <c r="R4" s="59">
        <f t="shared" si="0"/>
        <v>259.95630642545183</v>
      </c>
      <c r="S4" s="59">
        <f ca="1">AVERAGE(OFFSET($R$3,0,0,'Données projet'!$E$9+1,1))-AVERAGE(OFFSET($H$3,0,0,'Données projet'!$E$9+1,1))</f>
        <v>195.73441209602686</v>
      </c>
      <c r="T4" s="59">
        <f>$T$3</f>
        <v>219.19129224309006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projet'!$B$9,Paramètres!$A$1:$I$88,7,0))</f>
        <v>0</v>
      </c>
      <c r="X4" s="16">
        <f>IF(ISNA(VLOOKUP(A4,'Données projet'!$A$35:$I$55,6,0)),0%,VLOOKUP(A4,'Données projet'!$A$35:$I$55,6,0)*VLOOKUP('Données projet'!$B$9,Paramètres!$A$1:$I$88,7,0))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projet'!$B$9,Paramètres!$A$1:$I$88,3,0)*0.475*44/12</f>
        <v>0</v>
      </c>
      <c r="AA4" s="21">
        <f>EXP(-LN(2)/25)*AA3+(1-EXP(-LN(2)/25))/(LN(2)/25)*Calculateur!V4*Calculateur!X4*VLOOKUP('Données projet'!$B$9,Paramètres!$A$1:$I$88,3,0)*0.475*44/12</f>
        <v>0</v>
      </c>
      <c r="AB4" s="21">
        <f>EXP(-LN(2)/2)*AB3+(1-EXP(-LN(2)/2))/(LN(2)/2)*V4*Y4*VLOOKUP('Données projet'!$B$9,Paramètres!$A$1:$I$88,3,0)*0.475*44/12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4.55</v>
      </c>
      <c r="AI4" s="13">
        <f>IF('Données projet'!$A$62&gt;35,AI3+AH4-AQ3,IF(A4&lt;'Données projet'!$A$62,$AF$205^A4,IF(A4='Données projet'!$A$62,'Données projet'!$B$62,AI3+AH4-AQ3)))</f>
        <v>1.2530028811664373</v>
      </c>
      <c r="AJ4" s="13">
        <f>AI4*VLOOKUP('Données projet'!$B$10,Paramètres!$A$1:$I$88,3,0)*VLOOKUP('Données projet'!$B$10,Paramètres!$A$1:$I$88,5,0)</f>
        <v>0.74929572293752955</v>
      </c>
      <c r="AK4" s="13">
        <f>EXP(-1.0587+0.8836*LN(AJ4)+0.284)</f>
        <v>0.35710479340754359</v>
      </c>
      <c r="AL4" s="20">
        <f t="shared" ref="AL4:AL67" si="4">(AJ4+AK4)*0.475*44/12</f>
        <v>1.9269808993010022</v>
      </c>
      <c r="AM4" s="59">
        <f t="shared" ref="AM4:AM67" si="5">AL4+(AD4+AE4)*44/12</f>
        <v>259.81586978818984</v>
      </c>
      <c r="AN4" s="59">
        <f ca="1">AVERAGE(OFFSET($AM$3,0,0,'Données projet'!$E$10+1,1))-AVERAGE(OFFSET($H$3,0,0,'Données projet'!$E$10+1,1))</f>
        <v>246.59447135626942</v>
      </c>
      <c r="AO4" s="59">
        <f>$AO$3</f>
        <v>262.00382544285367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projet'!$B$10,Paramètres!$A$1:$I$88,7,0))</f>
        <v>0</v>
      </c>
      <c r="AS4" s="16">
        <f>IF(ISNA(VLOOKUP(A4,'Données projet'!$A$61:$I$81,6,0)),0%,VLOOKUP(A4,'Données projet'!$A$61:$I$81,6,0)*VLOOKUP('Données projet'!$B$10,Paramètres!$A$1:$I$88,7,0))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projet'!$B$10,Paramètres!$A$1:$I$88,3,0)*0.475*44/12</f>
        <v>0</v>
      </c>
      <c r="AV4" s="21">
        <f>EXP(-LN(2)/25)*AV3+(1-EXP(-LN(2)/25))/(LN(2)/25)*Calculateur!AQ4*Calculateur!AS4*VLOOKUP('Données projet'!$B$10,Paramètres!$A$1:$I$88,3,0)*0.475*44/12</f>
        <v>0</v>
      </c>
      <c r="AW4" s="21">
        <f>EXP(-LN(2)/2)*AW3+(1-EXP(-LN(2)/2))/(LN(2)/2)*AQ4*AT4*VLOOKUP('Données projet'!$B$10,Paramètres!$A$1:$I$88,3,0)*0.475*44/12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1.2</v>
      </c>
      <c r="BD4" s="12">
        <f>IF('Données projet'!$A$88&gt;35,BD3+BC4-BL3,IF(A4&lt;'Données projet'!$A$88,$BA$205^A4,IF(A4='Données projet'!$A$88,'Données projet'!$B$88,BD3+BC4-BL3)))</f>
        <v>1.2820888539868154</v>
      </c>
      <c r="BE4" s="13">
        <f>BD4*VLOOKUP('Données projet'!$B$11,Paramètres!$A$1:$I$88,3,0)*VLOOKUP('Données projet'!$B$11,Paramètres!$A$1:$I$88,5,0)</f>
        <v>0.71668766937862982</v>
      </c>
      <c r="BF4" s="13">
        <f>EXP(-1.0587+0.8836*LN(BE4)+0.284)</f>
        <v>0.3433377788328647</v>
      </c>
      <c r="BG4" s="20">
        <f t="shared" ref="BG4:BG67" si="7">(BE4+BF4)*0.475*44/12</f>
        <v>1.8462109889683529</v>
      </c>
      <c r="BH4" s="59">
        <f t="shared" ref="BH4:BH67" si="8">BG4+(AY4+AZ4)*44/12</f>
        <v>259.73509987785724</v>
      </c>
      <c r="BI4" s="59">
        <f ca="1">AVERAGE(OFFSET($BH$3,0,0,'Données projet'!$E$11+1,1))-AVERAGE(OFFSET($H$3,0,0,'Données projet'!$E$11+1,1))</f>
        <v>355.96253323046608</v>
      </c>
      <c r="BJ4" s="59">
        <f>$BJ$3</f>
        <v>366.8380442809696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projet'!$B$11,Paramètres!$A$1:$I$88,7,0))</f>
        <v>0</v>
      </c>
      <c r="BN4" s="16">
        <f>IF(ISNA(VLOOKUP(A4,'Données projet'!$A$87:$I$107,6,0)),0%,VLOOKUP(A4,'Données projet'!$A$87:$I$107,6,0)*VLOOKUP('Données projet'!$B$11,Paramètres!$A$1:$I$88,7,0))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projet'!$B$11,Paramètres!$A$1:$I$88,3,0)*0.475*44/12</f>
        <v>0</v>
      </c>
      <c r="BQ4" s="21">
        <f>EXP(-LN(2)/25)*BQ3+(1-EXP(-LN(2)/25))/(LN(2)/25)*Calculateur!BL4*Calculateur!BN4*VLOOKUP('Données projet'!$B$11,Paramètres!$A$1:$I$88,3,0)*0.475*44/12</f>
        <v>0</v>
      </c>
      <c r="BR4" s="21">
        <f>EXP(-LN(2)/2)*BR3+(1-EXP(-LN(2)/2))/(LN(2)/2)*BL4*BO4*VLOOKUP('Données projet'!$B$11,Paramètres!$A$1:$I$88,3,0)*0.475*44/12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4.75</v>
      </c>
      <c r="BY4" s="12">
        <f>IF('Données projet'!$A$114&gt;35,BY3+BX4-CG3,IF(A4&lt;'Données projet'!$A$114,$BV$205^A4,IF(A4='Données projet'!$A$114,'Données projet'!$B$114,BY3+BX4-CG3)))</f>
        <v>1.2557008269631629</v>
      </c>
      <c r="BZ4" s="13">
        <f>BY4*VLOOKUP('Données projet'!$B$12,Paramètres!$A$1:$I$88,3,0)*VLOOKUP('Données projet'!$B$12,Paramètres!$A$1:$I$88,5,0)</f>
        <v>0.82273518182626426</v>
      </c>
      <c r="CA4" s="13">
        <f>EXP(-1.0587+0.8836*LN(BZ4)+0.284)</f>
        <v>0.38786077584786771</v>
      </c>
      <c r="CB4" s="20">
        <f t="shared" ref="CB4:CB67" si="10">(BZ4+CA4)*0.475*44/12</f>
        <v>2.1084546262824464</v>
      </c>
      <c r="CC4" s="59">
        <f t="shared" ref="CC4:CC67" si="11">CB4+(BT4+BU4)*44/12</f>
        <v>259.99734351517128</v>
      </c>
      <c r="CD4" s="59">
        <f ca="1">AVERAGE(OFFSET($CC$3,0,0,'Données projet'!$E$12+1,1))-AVERAGE(OFFSET($H$3,0,0,'Données projet'!$E$12+1,1))</f>
        <v>180.90147430936133</v>
      </c>
      <c r="CE4" s="59">
        <f>$CE$3</f>
        <v>226.87949199830018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projet'!$B$12,Paramètres!$A$1:$I$88,7,0))</f>
        <v>0</v>
      </c>
      <c r="CI4" s="16">
        <f>IF(ISNA(VLOOKUP(A4,'Données projet'!$A$113:$I$133,6,0)),0%,VLOOKUP(A4,'Données projet'!$A$113:$I$133,6,0)*VLOOKUP('Données projet'!$B$12,Paramètres!$A$1:$I$88,7,0))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projet'!$B$12,Paramètres!$A$1:$I$88,3,0)*0.475*44/12</f>
        <v>0</v>
      </c>
      <c r="CL4" s="21">
        <f>EXP(-LN(2)/25)*CL3+(1-EXP(-LN(2)/25))/(LN(2)/25)*Calculateur!CG4*Calculateur!CI4*VLOOKUP('Données projet'!$B$12,Paramètres!$A$1:$I$88,3,0)*0.475*44/12</f>
        <v>0</v>
      </c>
      <c r="CM4" s="21">
        <f>EXP(-LN(2)/2)*CM3+(1-EXP(-LN(2)/2))/(LN(2)/2)*CG4*CJ4*VLOOKUP('Données projet'!$B$12,Paramètres!$A$1:$I$88,3,0)*0.475*44/12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5.2</v>
      </c>
      <c r="CT4" s="12">
        <f>IF('Données projet'!$A$140&gt;35,CT3+CS4-DB3,IF(A4&lt;'Données projet'!$A$140,$CQ$205^A4,IF(A4='Données projet'!$A$140,'Données projet'!$B$140,CT3+CS4-DB3)))</f>
        <v>1.4845688180219065</v>
      </c>
      <c r="CU4" s="17">
        <f>CT4*VLOOKUP('Données projet'!$B$13,Paramètres!$A$1:$I$88,3,0)*VLOOKUP('Données projet'!$B$13,Paramètres!$A$1:$I$88,5,0)</f>
        <v>0.75499231809322076</v>
      </c>
      <c r="CV4" s="13">
        <f>EXP(-1.0587+0.8836*LN(CU4)+0.284)</f>
        <v>0.35950264238091051</v>
      </c>
      <c r="CW4" s="20">
        <f t="shared" ref="CW4:CW67" si="13">(CU4+CV4)*0.475*44/12</f>
        <v>1.9410787228257782</v>
      </c>
      <c r="CX4" s="59">
        <f t="shared" ref="CX4:CX67" si="14">CW4+(CO4+CP4)*44/12</f>
        <v>259.82996761171461</v>
      </c>
      <c r="CY4" s="59">
        <f ca="1">AVERAGE(OFFSET($CX$3,0,0,'Données projet'!$E$13+1,1))-AVERAGE(OFFSET($H$3,0,0,'Données projet'!$E$13+1,1))</f>
        <v>133.08385802816008</v>
      </c>
      <c r="CZ4" s="59">
        <f>$CZ$3</f>
        <v>316.59112511251385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projet'!$B$13,Paramètres!$A$1:$I$88,7,0))</f>
        <v>0</v>
      </c>
      <c r="DD4" s="16">
        <f>IF(ISNA(VLOOKUP(A4,'Données projet'!$A$139:$I$159,6,0)),0%,VLOOKUP(A4,'Données projet'!$A$139:$I$159,6,0)*VLOOKUP('Données projet'!$B$13,Paramètres!$A$1:$I$88,7,0))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projet'!$B$13,Paramètres!$A$1:$I$88,3,0)*0.475*44/12</f>
        <v>0</v>
      </c>
      <c r="DG4" s="21">
        <f>EXP(-LN(2)/25)*DG3+(1-EXP(-LN(2)/25))/(LN(2)/25)*Calculateur!DB4*Calculateur!DD4*VLOOKUP('Données projet'!$B$13,Paramètres!$A$1:$I$88,3,0)*0.475*44/12</f>
        <v>0</v>
      </c>
      <c r="DH4" s="21">
        <f>EXP(-LN(2)/2)*DH3+(1-EXP(-LN(2)/2))/(LN(2)/2)*DB4*DE4*VLOOKUP('Données projet'!$B$13,Paramètres!$A$1:$I$88,3,0)*0.475*44/12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projet'!$B$14,Paramètres!$A$1:$I$88,3,0)*VLOOKUP('Données projet'!$B$14,Paramètres!$A$1:$I$88,5,0)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projet'!$B$14,Paramètres!$A$1:$I$88,7,0))</f>
        <v>0</v>
      </c>
      <c r="DY4" s="16">
        <f>IF(ISNA(VLOOKUP(A4,'Données projet'!$A$165:$I$185,6,0)),0%,VLOOKUP(A4,'Données projet'!$A$165:$I$185,6,0)*VLOOKUP('Données projet'!$B$14,Paramètres!$A$1:$I$88,7,0))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projet'!$B$14,Paramètres!$A$1:$I$88,3,0)*0.475*44/12</f>
        <v>#N/A</v>
      </c>
      <c r="EB4" s="21" t="e">
        <f>EXP(-LN(2)/25)*EB3+(1-EXP(-LN(2)/25))/(LN(2)/25)*Calculateur!DW4*Calculateur!DY4*VLOOKUP('Données projet'!$B$14,Paramètres!$A$1:$I$88,3,0)*0.475*44/12</f>
        <v>#N/A</v>
      </c>
      <c r="EC4" s="21" t="e">
        <f>EXP(-LN(2)/2)*EC3+(1-EXP(-LN(2)/2))/(LN(2)/2)*DW4*DZ4*VLOOKUP('Données projet'!$B$14,Paramètres!$A$1:$I$88,3,0)*0.475*44/12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projet'!$B$15,Paramètres!$A$1:$I$88,3,0)*VLOOKUP('Données projet'!$B$15,Paramètres!$A$1:$I$88,5,0)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projet'!$B$15,Paramètres!$A$1:$I$88,7,0))</f>
        <v>0</v>
      </c>
      <c r="ET4" s="16">
        <f>IF(ISNA(VLOOKUP(A4,'Données projet'!$A$191:$I$211,6,0)),0%,VLOOKUP(A4,'Données projet'!$A$191:$I$211,6,0)*VLOOKUP('Données projet'!$B$15,Paramètres!$A$1:$I$88,7,0))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projet'!$B$15,Paramètres!$A$1:$I$88,3,0)*0.475*44/12</f>
        <v>#N/A</v>
      </c>
      <c r="EW4" s="21" t="e">
        <f>EXP(-LN(2)/25)*EW3+(1-EXP(-LN(2)/25))/(LN(2)/25)*Calculateur!ER4*Calculateur!ET4*VLOOKUP('Données projet'!$B$15,Paramètres!$A$1:$I$88,3,0)*0.475*44/12</f>
        <v>#N/A</v>
      </c>
      <c r="EX4" s="21" t="e">
        <f>EXP(-LN(2)/2)*EX3+(1-EXP(-LN(2)/2))/(LN(2)/2)*ER4*EU4*VLOOKUP('Données projet'!$B$15,Paramètres!$A$1:$I$88,3,0)*0.475*44/12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projet'!$B$16,Paramètres!$A$1:$I$88,3,0)*VLOOKUP('Données projet'!$B$16,Paramètres!$A$1:$I$88,5,0)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projet'!$B$16,Paramètres!$A$1:$I$88,7,0))</f>
        <v>0</v>
      </c>
      <c r="FO4" s="16">
        <f>IF(ISNA(VLOOKUP(A4,'Données projet'!$A$217:$I$237,6,0)),0%,VLOOKUP(A4,'Données projet'!$A$217:$I$237,6,0)*VLOOKUP('Données projet'!$B$16,Paramètres!$A$1:$I$88,7,0))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projet'!$B$16,Paramètres!$A$1:$I$88,3,0)*0.475*44/12</f>
        <v>#N/A</v>
      </c>
      <c r="FR4" s="21" t="e">
        <f>EXP(-LN(2)/25)*FR3+(1-EXP(-LN(2)/25))/(LN(2)/25)*Calculateur!FM4*Calculateur!FO4*VLOOKUP('Données projet'!$B$16,Paramètres!$A$1:$I$88,3,0)*0.475*44/12</f>
        <v>#N/A</v>
      </c>
      <c r="FS4" s="21" t="e">
        <f>EXP(-LN(2)/2)*FS3+(1-EXP(-LN(2)/2))/(LN(2)/2)*FM4*FP4*VLOOKUP('Données projet'!$B$16,Paramètres!$A$1:$I$88,3,0)*0.475*44/12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projet'!$B$17,Paramètres!$A$1:$I$88,3,0)*VLOOKUP('Données projet'!$B$17,Paramètres!$A$1:$I$88,5,0)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projet'!$B$17,Paramètres!$A$1:$I$88,7,0))</f>
        <v>0</v>
      </c>
      <c r="GJ4" s="16">
        <f>IF(ISNA(VLOOKUP(A4,'Données projet'!$A$243:$I$263,6,0)),0%,VLOOKUP(A4,'Données projet'!$A$243:$I$263,6,0)*VLOOKUP('Données projet'!$B$17,Paramètres!$A$1:$I$88,7,0))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projet'!$B$17,Paramètres!$A$1:$I$88,3,0)*0.475*44/12</f>
        <v>#N/A</v>
      </c>
      <c r="GM4" s="21" t="e">
        <f>EXP(-LN(2)/25)*GM3+(1-EXP(-LN(2)/25))/(LN(2)/25)*Calculateur!GH4*Calculateur!GJ4*VLOOKUP('Données projet'!$B$17,Paramètres!$A$1:$I$88,3,0)*0.475*44/12</f>
        <v>#N/A</v>
      </c>
      <c r="GN4" s="21" t="e">
        <f>EXP(-LN(2)/2)*GN3+(1-EXP(-LN(2)/2))/(LN(2)/2)*GH4*GK4*VLOOKUP('Données projet'!$B$17,Paramètres!$A$1:$I$88,3,0)*0.475*44/12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projet'!$B$18,Paramètres!$A$1:$I$88,3,0)*VLOOKUP('Données projet'!$B$18,Paramètres!$A$1:$I$88,5,0)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projet'!$B$18,Paramètres!$A$1:$I$88,7,0))</f>
        <v>0</v>
      </c>
      <c r="HE4" s="16">
        <f>IF(ISNA(VLOOKUP(A4,'Données projet'!$A$269:$I$289,6,0)),0%,VLOOKUP(A4,'Données projet'!$A$269:$I$289,6,0)*VLOOKUP('Données projet'!$B$18,Paramètres!$A$1:$I$88,7,0))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projet'!$B$18,Paramètres!$A$1:$I$88,3,0)*0.475*44/12</f>
        <v>#N/A</v>
      </c>
      <c r="HH4" s="21" t="e">
        <f>EXP(-LN(2)/25)*HH3+(1-EXP(-LN(2)/25))/(LN(2)/25)*Calculateur!HC4*Calculateur!HE4*VLOOKUP('Données projet'!$B$18,Paramètres!$A$1:$I$88,3,0)*0.475*44/12</f>
        <v>#N/A</v>
      </c>
      <c r="HI4" s="21" t="e">
        <f>EXP(-LN(2)/2)*HI3+(1-EXP(-LN(2)/2))/(LN(2)/2)*HC4*HF4*VLOOKUP('Données projet'!$B$18,Paramètres!$A$1:$I$88,3,0)*0.475*44/12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</v>
      </c>
      <c r="N5" s="13">
        <f>IF('Données projet'!$A$36&gt;35,N4+M5-V4,IF(A5&lt;'Données projet'!$A$36,$K$205^A5,IF(A5='Données projet'!$A$36,'Données projet'!$B$36,N4+M5-V4)))</f>
        <v>1.8171205928321397</v>
      </c>
      <c r="O5" s="13">
        <f>N5*VLOOKUP('Données projet'!$B$9,Paramètres!$A$1:$I$88,3,0)*VLOOKUP('Données projet'!$B$9,Paramètres!$A$1:$I$88,5,0)</f>
        <v>1.0866381145136197</v>
      </c>
      <c r="P5" s="13">
        <f t="shared" ref="P5:P68" si="33">EXP(-1.0587+0.8836*LN(O5)+0.284)</f>
        <v>0.49594865026181029</v>
      </c>
      <c r="Q5" s="20">
        <f t="shared" si="2"/>
        <v>2.7563386153172069</v>
      </c>
      <c r="R5" s="59">
        <f t="shared" si="0"/>
        <v>261.86744972642833</v>
      </c>
      <c r="S5" s="59">
        <f ca="1">AVERAGE(OFFSET($R$3,0,0,'Données projet'!$E$9+1,1))-AVERAGE(OFFSET($H$3,0,0,'Données projet'!$E$9+1,1))</f>
        <v>195.73441209602686</v>
      </c>
      <c r="T5" s="59">
        <f t="shared" ref="T5:T68" si="34">$T$3</f>
        <v>219.19129224309006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projet'!$B$9,Paramètres!$A$1:$I$88,7,0))</f>
        <v>0</v>
      </c>
      <c r="X5" s="16">
        <f>IF(ISNA(VLOOKUP(A5,'Données projet'!$A$35:$I$55,6,0)),0%,VLOOKUP(A5,'Données projet'!$A$35:$I$55,6,0)*VLOOKUP('Données projet'!$B$9,Paramètres!$A$1:$I$88,7,0))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projet'!$B$9,Paramètres!$A$1:$I$88,3,0)*0.475*44/12</f>
        <v>0</v>
      </c>
      <c r="AA5" s="21">
        <f>EXP(-LN(2)/25)*AA4+(1-EXP(-LN(2)/25))/(LN(2)/25)*Calculateur!V5*Calculateur!X5*VLOOKUP('Données projet'!$B$9,Paramètres!$A$1:$I$88,3,0)*0.475*44/12</f>
        <v>0</v>
      </c>
      <c r="AB5" s="21">
        <f>EXP(-LN(2)/2)*AB4+(1-EXP(-LN(2)/2))/(LN(2)/2)*V5*Y5*VLOOKUP('Données projet'!$B$9,Paramètres!$A$1:$I$88,3,0)*0.475*44/12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4.55</v>
      </c>
      <c r="AI5" s="13">
        <f>IF('Données projet'!$A$62&gt;35,AI4+AH5-AQ4,IF(A5&lt;'Données projet'!$A$62,$AF$205^A5,IF(A5='Données projet'!$A$62,'Données projet'!$B$62,AI4+AH5-AQ4)))</f>
        <v>1.570016220211393</v>
      </c>
      <c r="AJ5" s="13">
        <f>AI5*VLOOKUP('Données projet'!$B$10,Paramètres!$A$1:$I$88,3,0)*VLOOKUP('Données projet'!$B$10,Paramètres!$A$1:$I$88,5,0)</f>
        <v>0.9388696996864131</v>
      </c>
      <c r="AK5" s="13">
        <f t="shared" ref="AK5:AK68" si="35">EXP(-1.0587+0.8836*LN(AJ5)+0.284)</f>
        <v>0.43585911075604999</v>
      </c>
      <c r="AL5" s="20">
        <f t="shared" si="4"/>
        <v>2.3943193448539568</v>
      </c>
      <c r="AM5" s="59">
        <f t="shared" si="5"/>
        <v>261.5054304559651</v>
      </c>
      <c r="AN5" s="59">
        <f ca="1">AVERAGE(OFFSET($AM$3,0,0,'Données projet'!$E$10+1,1))-AVERAGE(OFFSET($H$3,0,0,'Données projet'!$E$10+1,1))</f>
        <v>246.59447135626942</v>
      </c>
      <c r="AO5" s="59">
        <f t="shared" ref="AO5:AO68" si="36">$AO$3</f>
        <v>262.00382544285367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projet'!$B$10,Paramètres!$A$1:$I$88,7,0))</f>
        <v>0</v>
      </c>
      <c r="AS5" s="16">
        <f>IF(ISNA(VLOOKUP(A5,'Données projet'!$A$61:$I$81,6,0)),0%,VLOOKUP(A5,'Données projet'!$A$61:$I$81,6,0)*VLOOKUP('Données projet'!$B$10,Paramètres!$A$1:$I$88,7,0))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projet'!$B$10,Paramètres!$A$1:$I$88,3,0)*0.475*44/12</f>
        <v>0</v>
      </c>
      <c r="AV5" s="21">
        <f>EXP(-LN(2)/25)*AV4+(1-EXP(-LN(2)/25))/(LN(2)/25)*Calculateur!AQ5*Calculateur!AS5*VLOOKUP('Données projet'!$B$10,Paramètres!$A$1:$I$88,3,0)*0.475*44/12</f>
        <v>0</v>
      </c>
      <c r="AW5" s="21">
        <f>EXP(-LN(2)/2)*AW4+(1-EXP(-LN(2)/2))/(LN(2)/2)*AQ5*AT5*VLOOKUP('Données projet'!$B$10,Paramètres!$A$1:$I$88,3,0)*0.475*44/12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1.2</v>
      </c>
      <c r="BD5" s="12">
        <f>IF('Données projet'!$A$88&gt;35,BD4+BC5-BL4,IF(A5&lt;'Données projet'!$A$88,$BA$205^A5,IF(A5='Données projet'!$A$88,'Données projet'!$B$88,BD4+BC5-BL4)))</f>
        <v>1.6437518295172255</v>
      </c>
      <c r="BE5" s="13">
        <f>BD5*VLOOKUP('Données projet'!$B$11,Paramètres!$A$1:$I$88,3,0)*VLOOKUP('Données projet'!$B$11,Paramètres!$A$1:$I$88,5,0)</f>
        <v>0.91885727270012907</v>
      </c>
      <c r="BF5" s="13">
        <f t="shared" ref="BF5:BF68" si="37">EXP(-1.0587+0.8836*LN(BE5)+0.284)</f>
        <v>0.4276397314244611</v>
      </c>
      <c r="BG5" s="20">
        <f t="shared" si="7"/>
        <v>2.3451489488503281</v>
      </c>
      <c r="BH5" s="59">
        <f t="shared" si="8"/>
        <v>261.45626005996149</v>
      </c>
      <c r="BI5" s="59">
        <f ca="1">AVERAGE(OFFSET($BH$3,0,0,'Données projet'!$E$11+1,1))-AVERAGE(OFFSET($H$3,0,0,'Données projet'!$E$11+1,1))</f>
        <v>355.96253323046608</v>
      </c>
      <c r="BJ5" s="59">
        <f t="shared" ref="BJ5:BJ68" si="38">$BJ$3</f>
        <v>366.8380442809696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projet'!$B$11,Paramètres!$A$1:$I$88,7,0))</f>
        <v>0</v>
      </c>
      <c r="BN5" s="16">
        <f>IF(ISNA(VLOOKUP(A5,'Données projet'!$A$87:$I$107,6,0)),0%,VLOOKUP(A5,'Données projet'!$A$87:$I$107,6,0)*VLOOKUP('Données projet'!$B$11,Paramètres!$A$1:$I$88,7,0))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projet'!$B$11,Paramètres!$A$1:$I$88,3,0)*0.475*44/12</f>
        <v>0</v>
      </c>
      <c r="BQ5" s="21">
        <f>EXP(-LN(2)/25)*BQ4+(1-EXP(-LN(2)/25))/(LN(2)/25)*Calculateur!BL5*Calculateur!BN5*VLOOKUP('Données projet'!$B$11,Paramètres!$A$1:$I$88,3,0)*0.475*44/12</f>
        <v>0</v>
      </c>
      <c r="BR5" s="21">
        <f>EXP(-LN(2)/2)*BR4+(1-EXP(-LN(2)/2))/(LN(2)/2)*BL5*BO5*VLOOKUP('Données projet'!$B$11,Paramètres!$A$1:$I$88,3,0)*0.475*44/12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4.75</v>
      </c>
      <c r="BY5" s="12">
        <f>IF('Données projet'!$A$114&gt;35,BY4+BX5-CG4,IF(A5&lt;'Données projet'!$A$114,$BV$205^A5,IF(A5='Données projet'!$A$114,'Données projet'!$B$114,BY4+BX5-CG4)))</f>
        <v>1.576784566835971</v>
      </c>
      <c r="BZ5" s="13">
        <f>BY5*VLOOKUP('Données projet'!$B$12,Paramètres!$A$1:$I$88,3,0)*VLOOKUP('Données projet'!$B$12,Paramètres!$A$1:$I$88,5,0)</f>
        <v>1.0331092481909281</v>
      </c>
      <c r="CA5" s="13">
        <f t="shared" ref="CA5:CA68" si="39">EXP(-1.0587+0.8836*LN(BZ5)+0.284)</f>
        <v>0.47429843399828076</v>
      </c>
      <c r="CB5" s="20">
        <f t="shared" si="10"/>
        <v>2.6254017131462049</v>
      </c>
      <c r="CC5" s="59">
        <f t="shared" si="11"/>
        <v>261.73651282425737</v>
      </c>
      <c r="CD5" s="59">
        <f ca="1">AVERAGE(OFFSET($CC$3,0,0,'Données projet'!$E$12+1,1))-AVERAGE(OFFSET($H$3,0,0,'Données projet'!$E$12+1,1))</f>
        <v>180.90147430936133</v>
      </c>
      <c r="CE5" s="59">
        <f t="shared" ref="CE5:CE68" si="40">$CE$3</f>
        <v>226.87949199830018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projet'!$B$12,Paramètres!$A$1:$I$88,7,0))</f>
        <v>0</v>
      </c>
      <c r="CI5" s="16">
        <f>IF(ISNA(VLOOKUP(A5,'Données projet'!$A$113:$I$133,6,0)),0%,VLOOKUP(A5,'Données projet'!$A$113:$I$133,6,0)*VLOOKUP('Données projet'!$B$12,Paramètres!$A$1:$I$88,7,0))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projet'!$B$12,Paramètres!$A$1:$I$88,3,0)*0.475*44/12</f>
        <v>0</v>
      </c>
      <c r="CL5" s="21">
        <f>EXP(-LN(2)/25)*CL4+(1-EXP(-LN(2)/25))/(LN(2)/25)*Calculateur!CG5*Calculateur!CI5*VLOOKUP('Données projet'!$B$12,Paramètres!$A$1:$I$88,3,0)*0.475*44/12</f>
        <v>0</v>
      </c>
      <c r="CM5" s="21">
        <f>EXP(-LN(2)/2)*CM4+(1-EXP(-LN(2)/2))/(LN(2)/2)*CG5*CJ5*VLOOKUP('Données projet'!$B$12,Paramètres!$A$1:$I$88,3,0)*0.475*44/12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5.2</v>
      </c>
      <c r="CT5" s="12">
        <f>IF('Données projet'!$A$140&gt;35,CT4+CS5-DB4,IF(A5&lt;'Données projet'!$A$140,$CQ$205^A5,IF(A5='Données projet'!$A$140,'Données projet'!$B$140,CT4+CS5-DB4)))</f>
        <v>2.2039445754429607</v>
      </c>
      <c r="CU5" s="17">
        <f>CT5*VLOOKUP('Données projet'!$B$13,Paramètres!$A$1:$I$88,3,0)*VLOOKUP('Données projet'!$B$13,Paramètres!$A$1:$I$88,5,0)</f>
        <v>1.1208380532872722</v>
      </c>
      <c r="CV5" s="13">
        <f t="shared" ref="CV5:CV68" si="41">EXP(-1.0587+0.8836*LN(CU5)+0.284)</f>
        <v>0.50971585442300904</v>
      </c>
      <c r="CW5" s="20">
        <f t="shared" si="13"/>
        <v>2.8398813892620729</v>
      </c>
      <c r="CX5" s="59">
        <f t="shared" si="14"/>
        <v>261.95099250037322</v>
      </c>
      <c r="CY5" s="59">
        <f ca="1">AVERAGE(OFFSET($CX$3,0,0,'Données projet'!$E$13+1,1))-AVERAGE(OFFSET($H$3,0,0,'Données projet'!$E$13+1,1))</f>
        <v>133.08385802816008</v>
      </c>
      <c r="CZ5" s="59">
        <f t="shared" ref="CZ5:CZ68" si="42">$CZ$3</f>
        <v>316.59112511251385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projet'!$B$13,Paramètres!$A$1:$I$88,7,0))</f>
        <v>0</v>
      </c>
      <c r="DD5" s="16">
        <f>IF(ISNA(VLOOKUP(A5,'Données projet'!$A$139:$I$159,6,0)),0%,VLOOKUP(A5,'Données projet'!$A$139:$I$159,6,0)*VLOOKUP('Données projet'!$B$13,Paramètres!$A$1:$I$88,7,0))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projet'!$B$13,Paramètres!$A$1:$I$88,3,0)*0.475*44/12</f>
        <v>0</v>
      </c>
      <c r="DG5" s="21">
        <f>EXP(-LN(2)/25)*DG4+(1-EXP(-LN(2)/25))/(LN(2)/25)*Calculateur!DB5*Calculateur!DD5*VLOOKUP('Données projet'!$B$13,Paramètres!$A$1:$I$88,3,0)*0.475*44/12</f>
        <v>0</v>
      </c>
      <c r="DH5" s="21">
        <f>EXP(-LN(2)/2)*DH4+(1-EXP(-LN(2)/2))/(LN(2)/2)*DB5*DE5*VLOOKUP('Données projet'!$B$13,Paramètres!$A$1:$I$88,3,0)*0.475*44/12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projet'!$B$14,Paramètres!$A$1:$I$88,3,0)*VLOOKUP('Données projet'!$B$14,Paramètres!$A$1:$I$88,5,0)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projet'!$B$14,Paramètres!$A$1:$I$88,7,0))</f>
        <v>0</v>
      </c>
      <c r="DY5" s="16">
        <f>IF(ISNA(VLOOKUP(A5,'Données projet'!$A$165:$I$185,6,0)),0%,VLOOKUP(A5,'Données projet'!$A$165:$I$185,6,0)*VLOOKUP('Données projet'!$B$14,Paramètres!$A$1:$I$88,7,0))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projet'!$B$14,Paramètres!$A$1:$I$88,3,0)*0.475*44/12</f>
        <v>#N/A</v>
      </c>
      <c r="EB5" s="21" t="e">
        <f>EXP(-LN(2)/25)*EB4+(1-EXP(-LN(2)/25))/(LN(2)/25)*Calculateur!DW5*Calculateur!DY5*VLOOKUP('Données projet'!$B$14,Paramètres!$A$1:$I$88,3,0)*0.475*44/12</f>
        <v>#N/A</v>
      </c>
      <c r="EC5" s="21" t="e">
        <f>EXP(-LN(2)/2)*EC4+(1-EXP(-LN(2)/2))/(LN(2)/2)*DW5*DZ5*VLOOKUP('Données projet'!$B$14,Paramètres!$A$1:$I$88,3,0)*0.475*44/12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projet'!$B$15,Paramètres!$A$1:$I$88,3,0)*VLOOKUP('Données projet'!$B$15,Paramètres!$A$1:$I$88,5,0)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projet'!$B$15,Paramètres!$A$1:$I$88,7,0))</f>
        <v>0</v>
      </c>
      <c r="ET5" s="16">
        <f>IF(ISNA(VLOOKUP(A5,'Données projet'!$A$191:$I$211,6,0)),0%,VLOOKUP(A5,'Données projet'!$A$191:$I$211,6,0)*VLOOKUP('Données projet'!$B$15,Paramètres!$A$1:$I$88,7,0))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projet'!$B$15,Paramètres!$A$1:$I$88,3,0)*0.475*44/12</f>
        <v>#N/A</v>
      </c>
      <c r="EW5" s="21" t="e">
        <f>EXP(-LN(2)/25)*EW4+(1-EXP(-LN(2)/25))/(LN(2)/25)*Calculateur!ER5*Calculateur!ET5*VLOOKUP('Données projet'!$B$15,Paramètres!$A$1:$I$88,3,0)*0.475*44/12</f>
        <v>#N/A</v>
      </c>
      <c r="EX5" s="21" t="e">
        <f>EXP(-LN(2)/2)*EX4+(1-EXP(-LN(2)/2))/(LN(2)/2)*ER5*EU5*VLOOKUP('Données projet'!$B$15,Paramètres!$A$1:$I$88,3,0)*0.475*44/12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projet'!$B$16,Paramètres!$A$1:$I$88,3,0)*VLOOKUP('Données projet'!$B$16,Paramètres!$A$1:$I$88,5,0)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projet'!$B$16,Paramètres!$A$1:$I$88,7,0))</f>
        <v>0</v>
      </c>
      <c r="FO5" s="16">
        <f>IF(ISNA(VLOOKUP(A5,'Données projet'!$A$217:$I$237,6,0)),0%,VLOOKUP(A5,'Données projet'!$A$217:$I$237,6,0)*VLOOKUP('Données projet'!$B$16,Paramètres!$A$1:$I$88,7,0))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projet'!$B$16,Paramètres!$A$1:$I$88,3,0)*0.475*44/12</f>
        <v>#N/A</v>
      </c>
      <c r="FR5" s="21" t="e">
        <f>EXP(-LN(2)/25)*FR4+(1-EXP(-LN(2)/25))/(LN(2)/25)*Calculateur!FM5*Calculateur!FO5*VLOOKUP('Données projet'!$B$16,Paramètres!$A$1:$I$88,3,0)*0.475*44/12</f>
        <v>#N/A</v>
      </c>
      <c r="FS5" s="21" t="e">
        <f>EXP(-LN(2)/2)*FS4+(1-EXP(-LN(2)/2))/(LN(2)/2)*FM5*FP5*VLOOKUP('Données projet'!$B$16,Paramètres!$A$1:$I$88,3,0)*0.475*44/12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projet'!$B$17,Paramètres!$A$1:$I$88,3,0)*VLOOKUP('Données projet'!$B$17,Paramètres!$A$1:$I$88,5,0)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projet'!$B$17,Paramètres!$A$1:$I$88,7,0))</f>
        <v>0</v>
      </c>
      <c r="GJ5" s="16">
        <f>IF(ISNA(VLOOKUP(A5,'Données projet'!$A$243:$I$263,6,0)),0%,VLOOKUP(A5,'Données projet'!$A$243:$I$263,6,0)*VLOOKUP('Données projet'!$B$17,Paramètres!$A$1:$I$88,7,0))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projet'!$B$17,Paramètres!$A$1:$I$88,3,0)*0.475*44/12</f>
        <v>#N/A</v>
      </c>
      <c r="GM5" s="21" t="e">
        <f>EXP(-LN(2)/25)*GM4+(1-EXP(-LN(2)/25))/(LN(2)/25)*Calculateur!GH5*Calculateur!GJ5*VLOOKUP('Données projet'!$B$17,Paramètres!$A$1:$I$88,3,0)*0.475*44/12</f>
        <v>#N/A</v>
      </c>
      <c r="GN5" s="21" t="e">
        <f>EXP(-LN(2)/2)*GN4+(1-EXP(-LN(2)/2))/(LN(2)/2)*GH5*GK5*VLOOKUP('Données projet'!$B$17,Paramètres!$A$1:$I$88,3,0)*0.475*44/12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projet'!$B$18,Paramètres!$A$1:$I$88,3,0)*VLOOKUP('Données projet'!$B$18,Paramètres!$A$1:$I$88,5,0)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projet'!$B$18,Paramètres!$A$1:$I$88,7,0))</f>
        <v>0</v>
      </c>
      <c r="HE5" s="16">
        <f>IF(ISNA(VLOOKUP(A5,'Données projet'!$A$269:$I$289,6,0)),0%,VLOOKUP(A5,'Données projet'!$A$269:$I$289,6,0)*VLOOKUP('Données projet'!$B$18,Paramètres!$A$1:$I$88,7,0))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projet'!$B$18,Paramètres!$A$1:$I$88,3,0)*0.475*44/12</f>
        <v>#N/A</v>
      </c>
      <c r="HH5" s="21" t="e">
        <f>EXP(-LN(2)/25)*HH4+(1-EXP(-LN(2)/25))/(LN(2)/25)*Calculateur!HC5*Calculateur!HE5*VLOOKUP('Données projet'!$B$18,Paramètres!$A$1:$I$88,3,0)*0.475*44/12</f>
        <v>#N/A</v>
      </c>
      <c r="HI5" s="21" t="e">
        <f>EXP(-LN(2)/2)*HI4+(1-EXP(-LN(2)/2))/(LN(2)/2)*HC5*HF5*VLOOKUP('Données projet'!$B$18,Paramètres!$A$1:$I$88,3,0)*0.475*44/12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</v>
      </c>
      <c r="N6" s="13">
        <f>IF('Données projet'!$A$36&gt;35,N5+M6-V5,IF(A6&lt;'Données projet'!$A$36,$K$205^A6,IF(A6='Données projet'!$A$36,'Données projet'!$B$36,N5+M6-V5)))</f>
        <v>2.4494897427831783</v>
      </c>
      <c r="O6" s="13">
        <f>N6*VLOOKUP('Données projet'!$B$9,Paramètres!$A$1:$I$88,3,0)*VLOOKUP('Données projet'!$B$9,Paramètres!$A$1:$I$88,5,0)</f>
        <v>1.4647948661843406</v>
      </c>
      <c r="P6" s="13">
        <f t="shared" si="33"/>
        <v>0.64570247854798968</v>
      </c>
      <c r="Q6" s="20">
        <f t="shared" si="2"/>
        <v>3.6757828754088084</v>
      </c>
      <c r="R6" s="59">
        <f t="shared" si="0"/>
        <v>264.00911620874211</v>
      </c>
      <c r="S6" s="59">
        <f ca="1">AVERAGE(OFFSET($R$3,0,0,'Données projet'!$E$9+1,1))-AVERAGE(OFFSET($H$3,0,0,'Données projet'!$E$9+1,1))</f>
        <v>195.73441209602686</v>
      </c>
      <c r="T6" s="59">
        <f t="shared" si="34"/>
        <v>219.19129224309006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projet'!$B$9,Paramètres!$A$1:$I$88,7,0))</f>
        <v>0</v>
      </c>
      <c r="X6" s="16">
        <f>IF(ISNA(VLOOKUP(A6,'Données projet'!$A$35:$I$55,6,0)),0%,VLOOKUP(A6,'Données projet'!$A$35:$I$55,6,0)*VLOOKUP('Données projet'!$B$9,Paramètres!$A$1:$I$88,7,0))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projet'!$B$9,Paramètres!$A$1:$I$88,3,0)*0.475*44/12</f>
        <v>0</v>
      </c>
      <c r="AA6" s="21">
        <f>EXP(-LN(2)/25)*AA5+(1-EXP(-LN(2)/25))/(LN(2)/25)*Calculateur!V6*Calculateur!X6*VLOOKUP('Données projet'!$B$9,Paramètres!$A$1:$I$88,3,0)*0.475*44/12</f>
        <v>0</v>
      </c>
      <c r="AB6" s="21">
        <f>EXP(-LN(2)/2)*AB5+(1-EXP(-LN(2)/2))/(LN(2)/2)*V6*Y6*VLOOKUP('Données projet'!$B$9,Paramètres!$A$1:$I$88,3,0)*0.475*44/12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4.55</v>
      </c>
      <c r="AI6" s="13">
        <f>IF('Données projet'!$A$62&gt;35,AI5+AH6-AQ5,IF(A6&lt;'Données projet'!$A$62,$AF$205^A6,IF(A6='Données projet'!$A$62,'Données projet'!$B$62,AI5+AH6-AQ5)))</f>
        <v>1.9672348474029151</v>
      </c>
      <c r="AJ6" s="13">
        <f>AI6*VLOOKUP('Données projet'!$B$10,Paramètres!$A$1:$I$88,3,0)*VLOOKUP('Données projet'!$B$10,Paramètres!$A$1:$I$88,5,0)</f>
        <v>1.1764064387469433</v>
      </c>
      <c r="AK6" s="13">
        <f t="shared" si="35"/>
        <v>0.53198155817597481</v>
      </c>
      <c r="AL6" s="20">
        <f t="shared" si="4"/>
        <v>2.9754424279740825</v>
      </c>
      <c r="AM6" s="59">
        <f t="shared" si="5"/>
        <v>263.3087757613074</v>
      </c>
      <c r="AN6" s="59">
        <f ca="1">AVERAGE(OFFSET($AM$3,0,0,'Données projet'!$E$10+1,1))-AVERAGE(OFFSET($H$3,0,0,'Données projet'!$E$10+1,1))</f>
        <v>246.59447135626942</v>
      </c>
      <c r="AO6" s="59">
        <f t="shared" si="36"/>
        <v>262.00382544285367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projet'!$B$10,Paramètres!$A$1:$I$88,7,0))</f>
        <v>0</v>
      </c>
      <c r="AS6" s="16">
        <f>IF(ISNA(VLOOKUP(A6,'Données projet'!$A$61:$I$81,6,0)),0%,VLOOKUP(A6,'Données projet'!$A$61:$I$81,6,0)*VLOOKUP('Données projet'!$B$10,Paramètres!$A$1:$I$88,7,0))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projet'!$B$10,Paramètres!$A$1:$I$88,3,0)*0.475*44/12</f>
        <v>0</v>
      </c>
      <c r="AV6" s="21">
        <f>EXP(-LN(2)/25)*AV5+(1-EXP(-LN(2)/25))/(LN(2)/25)*Calculateur!AQ6*Calculateur!AS6*VLOOKUP('Données projet'!$B$10,Paramètres!$A$1:$I$88,3,0)*0.475*44/12</f>
        <v>0</v>
      </c>
      <c r="AW6" s="21">
        <f>EXP(-LN(2)/2)*AW5+(1-EXP(-LN(2)/2))/(LN(2)/2)*AQ6*AT6*VLOOKUP('Données projet'!$B$10,Paramètres!$A$1:$I$88,3,0)*0.475*44/12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1.2</v>
      </c>
      <c r="BD6" s="12">
        <f>IF('Données projet'!$A$88&gt;35,BD5+BC6-BL5,IF(A6&lt;'Données projet'!$A$88,$BA$205^A6,IF(A6='Données projet'!$A$88,'Données projet'!$B$88,BD5+BC6-BL5)))</f>
        <v>2.1074358993444706</v>
      </c>
      <c r="BE6" s="13">
        <f>BD6*VLOOKUP('Données projet'!$B$11,Paramètres!$A$1:$I$88,3,0)*VLOOKUP('Données projet'!$B$11,Paramètres!$A$1:$I$88,5,0)</f>
        <v>1.1780566677335591</v>
      </c>
      <c r="BF6" s="13">
        <f t="shared" si="37"/>
        <v>0.532640889430954</v>
      </c>
      <c r="BG6" s="20">
        <f t="shared" si="7"/>
        <v>2.9794649120615269</v>
      </c>
      <c r="BH6" s="59">
        <f t="shared" si="8"/>
        <v>263.31279824539484</v>
      </c>
      <c r="BI6" s="59">
        <f ca="1">AVERAGE(OFFSET($BH$3,0,0,'Données projet'!$E$11+1,1))-AVERAGE(OFFSET($H$3,0,0,'Données projet'!$E$11+1,1))</f>
        <v>355.96253323046608</v>
      </c>
      <c r="BJ6" s="59">
        <f t="shared" si="38"/>
        <v>366.8380442809696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projet'!$B$11,Paramètres!$A$1:$I$88,7,0))</f>
        <v>0</v>
      </c>
      <c r="BN6" s="16">
        <f>IF(ISNA(VLOOKUP(A6,'Données projet'!$A$87:$I$107,6,0)),0%,VLOOKUP(A6,'Données projet'!$A$87:$I$107,6,0)*VLOOKUP('Données projet'!$B$11,Paramètres!$A$1:$I$88,7,0))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projet'!$B$11,Paramètres!$A$1:$I$88,3,0)*0.475*44/12</f>
        <v>0</v>
      </c>
      <c r="BQ6" s="21">
        <f>EXP(-LN(2)/25)*BQ5+(1-EXP(-LN(2)/25))/(LN(2)/25)*Calculateur!BL6*Calculateur!BN6*VLOOKUP('Données projet'!$B$11,Paramètres!$A$1:$I$88,3,0)*0.475*44/12</f>
        <v>0</v>
      </c>
      <c r="BR6" s="21">
        <f>EXP(-LN(2)/2)*BR5+(1-EXP(-LN(2)/2))/(LN(2)/2)*BL6*BO6*VLOOKUP('Données projet'!$B$11,Paramètres!$A$1:$I$88,3,0)*0.475*44/12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4.75</v>
      </c>
      <c r="BY6" s="12">
        <f>IF('Données projet'!$A$114&gt;35,BY5+BX6-CG5,IF(A6&lt;'Données projet'!$A$114,$BV$205^A6,IF(A6='Données projet'!$A$114,'Données projet'!$B$114,BY5+BX6-CG5)))</f>
        <v>1.9799696845186814</v>
      </c>
      <c r="BZ6" s="13">
        <f>BY6*VLOOKUP('Données projet'!$B$12,Paramètres!$A$1:$I$88,3,0)*VLOOKUP('Données projet'!$B$12,Paramètres!$A$1:$I$88,5,0)</f>
        <v>1.2972761372966402</v>
      </c>
      <c r="CA6" s="13">
        <f t="shared" si="39"/>
        <v>0.57999936704467947</v>
      </c>
      <c r="CB6" s="20">
        <f t="shared" si="10"/>
        <v>3.2695881700611316</v>
      </c>
      <c r="CC6" s="59">
        <f t="shared" si="11"/>
        <v>263.60292150339444</v>
      </c>
      <c r="CD6" s="59">
        <f ca="1">AVERAGE(OFFSET($CC$3,0,0,'Données projet'!$E$12+1,1))-AVERAGE(OFFSET($H$3,0,0,'Données projet'!$E$12+1,1))</f>
        <v>180.90147430936133</v>
      </c>
      <c r="CE6" s="59">
        <f t="shared" si="40"/>
        <v>226.87949199830018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projet'!$B$12,Paramètres!$A$1:$I$88,7,0))</f>
        <v>0</v>
      </c>
      <c r="CI6" s="16">
        <f>IF(ISNA(VLOOKUP(A6,'Données projet'!$A$113:$I$133,6,0)),0%,VLOOKUP(A6,'Données projet'!$A$113:$I$133,6,0)*VLOOKUP('Données projet'!$B$12,Paramètres!$A$1:$I$88,7,0))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projet'!$B$12,Paramètres!$A$1:$I$88,3,0)*0.475*44/12</f>
        <v>0</v>
      </c>
      <c r="CL6" s="21">
        <f>EXP(-LN(2)/25)*CL5+(1-EXP(-LN(2)/25))/(LN(2)/25)*Calculateur!CG6*Calculateur!CI6*VLOOKUP('Données projet'!$B$12,Paramètres!$A$1:$I$88,3,0)*0.475*44/12</f>
        <v>0</v>
      </c>
      <c r="CM6" s="21">
        <f>EXP(-LN(2)/2)*CM5+(1-EXP(-LN(2)/2))/(LN(2)/2)*CG6*CJ6*VLOOKUP('Données projet'!$B$12,Paramètres!$A$1:$I$88,3,0)*0.475*44/12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5.2</v>
      </c>
      <c r="CT6" s="12">
        <f>IF('Données projet'!$A$140&gt;35,CT5+CS6-DB5,IF(A6&lt;'Données projet'!$A$140,$CQ$205^A6,IF(A6='Données projet'!$A$140,'Données projet'!$B$140,CT5+CS6-DB5)))</f>
        <v>3.2719073933511487</v>
      </c>
      <c r="CU6" s="17">
        <f>CT6*VLOOKUP('Données projet'!$B$13,Paramètres!$A$1:$I$88,3,0)*VLOOKUP('Données projet'!$B$13,Paramètres!$A$1:$I$88,5,0)</f>
        <v>1.6639612239626602</v>
      </c>
      <c r="CV6" s="13">
        <f t="shared" si="41"/>
        <v>0.72269358169249975</v>
      </c>
      <c r="CW6" s="20">
        <f t="shared" si="13"/>
        <v>4.1567571198494031</v>
      </c>
      <c r="CX6" s="59">
        <f t="shared" si="14"/>
        <v>264.49009045318275</v>
      </c>
      <c r="CY6" s="59">
        <f ca="1">AVERAGE(OFFSET($CX$3,0,0,'Données projet'!$E$13+1,1))-AVERAGE(OFFSET($H$3,0,0,'Données projet'!$E$13+1,1))</f>
        <v>133.08385802816008</v>
      </c>
      <c r="CZ6" s="59">
        <f t="shared" si="42"/>
        <v>316.59112511251385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projet'!$B$13,Paramètres!$A$1:$I$88,7,0))</f>
        <v>0</v>
      </c>
      <c r="DD6" s="16">
        <f>IF(ISNA(VLOOKUP(A6,'Données projet'!$A$139:$I$159,6,0)),0%,VLOOKUP(A6,'Données projet'!$A$139:$I$159,6,0)*VLOOKUP('Données projet'!$B$13,Paramètres!$A$1:$I$88,7,0))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projet'!$B$13,Paramètres!$A$1:$I$88,3,0)*0.475*44/12</f>
        <v>0</v>
      </c>
      <c r="DG6" s="21">
        <f>EXP(-LN(2)/25)*DG5+(1-EXP(-LN(2)/25))/(LN(2)/25)*Calculateur!DB6*Calculateur!DD6*VLOOKUP('Données projet'!$B$13,Paramètres!$A$1:$I$88,3,0)*0.475*44/12</f>
        <v>0</v>
      </c>
      <c r="DH6" s="21">
        <f>EXP(-LN(2)/2)*DH5+(1-EXP(-LN(2)/2))/(LN(2)/2)*DB6*DE6*VLOOKUP('Données projet'!$B$13,Paramètres!$A$1:$I$88,3,0)*0.475*44/12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projet'!$B$14,Paramètres!$A$1:$I$88,3,0)*VLOOKUP('Données projet'!$B$14,Paramètres!$A$1:$I$88,5,0)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projet'!$B$14,Paramètres!$A$1:$I$88,7,0))</f>
        <v>0</v>
      </c>
      <c r="DY6" s="16">
        <f>IF(ISNA(VLOOKUP(A6,'Données projet'!$A$165:$I$185,6,0)),0%,VLOOKUP(A6,'Données projet'!$A$165:$I$185,6,0)*VLOOKUP('Données projet'!$B$14,Paramètres!$A$1:$I$88,7,0))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projet'!$B$14,Paramètres!$A$1:$I$88,3,0)*0.475*44/12</f>
        <v>#N/A</v>
      </c>
      <c r="EB6" s="21" t="e">
        <f>EXP(-LN(2)/25)*EB5+(1-EXP(-LN(2)/25))/(LN(2)/25)*Calculateur!DW6*Calculateur!DY6*VLOOKUP('Données projet'!$B$14,Paramètres!$A$1:$I$88,3,0)*0.475*44/12</f>
        <v>#N/A</v>
      </c>
      <c r="EC6" s="21" t="e">
        <f>EXP(-LN(2)/2)*EC5+(1-EXP(-LN(2)/2))/(LN(2)/2)*DW6*DZ6*VLOOKUP('Données projet'!$B$14,Paramètres!$A$1:$I$88,3,0)*0.475*44/12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projet'!$B$15,Paramètres!$A$1:$I$88,3,0)*VLOOKUP('Données projet'!$B$15,Paramètres!$A$1:$I$88,5,0)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projet'!$B$15,Paramètres!$A$1:$I$88,7,0))</f>
        <v>0</v>
      </c>
      <c r="ET6" s="16">
        <f>IF(ISNA(VLOOKUP(A6,'Données projet'!$A$191:$I$211,6,0)),0%,VLOOKUP(A6,'Données projet'!$A$191:$I$211,6,0)*VLOOKUP('Données projet'!$B$15,Paramètres!$A$1:$I$88,7,0))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projet'!$B$15,Paramètres!$A$1:$I$88,3,0)*0.475*44/12</f>
        <v>#N/A</v>
      </c>
      <c r="EW6" s="21" t="e">
        <f>EXP(-LN(2)/25)*EW5+(1-EXP(-LN(2)/25))/(LN(2)/25)*Calculateur!ER6*Calculateur!ET6*VLOOKUP('Données projet'!$B$15,Paramètres!$A$1:$I$88,3,0)*0.475*44/12</f>
        <v>#N/A</v>
      </c>
      <c r="EX6" s="21" t="e">
        <f>EXP(-LN(2)/2)*EX5+(1-EXP(-LN(2)/2))/(LN(2)/2)*ER6*EU6*VLOOKUP('Données projet'!$B$15,Paramètres!$A$1:$I$88,3,0)*0.475*44/12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projet'!$B$16,Paramètres!$A$1:$I$88,3,0)*VLOOKUP('Données projet'!$B$16,Paramètres!$A$1:$I$88,5,0)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projet'!$B$16,Paramètres!$A$1:$I$88,7,0))</f>
        <v>0</v>
      </c>
      <c r="FO6" s="16">
        <f>IF(ISNA(VLOOKUP(A6,'Données projet'!$A$217:$I$237,6,0)),0%,VLOOKUP(A6,'Données projet'!$A$217:$I$237,6,0)*VLOOKUP('Données projet'!$B$16,Paramètres!$A$1:$I$88,7,0))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projet'!$B$16,Paramètres!$A$1:$I$88,3,0)*0.475*44/12</f>
        <v>#N/A</v>
      </c>
      <c r="FR6" s="21" t="e">
        <f>EXP(-LN(2)/25)*FR5+(1-EXP(-LN(2)/25))/(LN(2)/25)*Calculateur!FM6*Calculateur!FO6*VLOOKUP('Données projet'!$B$16,Paramètres!$A$1:$I$88,3,0)*0.475*44/12</f>
        <v>#N/A</v>
      </c>
      <c r="FS6" s="21" t="e">
        <f>EXP(-LN(2)/2)*FS5+(1-EXP(-LN(2)/2))/(LN(2)/2)*FM6*FP6*VLOOKUP('Données projet'!$B$16,Paramètres!$A$1:$I$88,3,0)*0.475*44/12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projet'!$B$17,Paramètres!$A$1:$I$88,3,0)*VLOOKUP('Données projet'!$B$17,Paramètres!$A$1:$I$88,5,0)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projet'!$B$17,Paramètres!$A$1:$I$88,7,0))</f>
        <v>0</v>
      </c>
      <c r="GJ6" s="16">
        <f>IF(ISNA(VLOOKUP(A6,'Données projet'!$A$243:$I$263,6,0)),0%,VLOOKUP(A6,'Données projet'!$A$243:$I$263,6,0)*VLOOKUP('Données projet'!$B$17,Paramètres!$A$1:$I$88,7,0))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projet'!$B$17,Paramètres!$A$1:$I$88,3,0)*0.475*44/12</f>
        <v>#N/A</v>
      </c>
      <c r="GM6" s="21" t="e">
        <f>EXP(-LN(2)/25)*GM5+(1-EXP(-LN(2)/25))/(LN(2)/25)*Calculateur!GH6*Calculateur!GJ6*VLOOKUP('Données projet'!$B$17,Paramètres!$A$1:$I$88,3,0)*0.475*44/12</f>
        <v>#N/A</v>
      </c>
      <c r="GN6" s="21" t="e">
        <f>EXP(-LN(2)/2)*GN5+(1-EXP(-LN(2)/2))/(LN(2)/2)*GH6*GK6*VLOOKUP('Données projet'!$B$17,Paramètres!$A$1:$I$88,3,0)*0.475*44/12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projet'!$B$18,Paramètres!$A$1:$I$88,3,0)*VLOOKUP('Données projet'!$B$18,Paramètres!$A$1:$I$88,5,0)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projet'!$B$18,Paramètres!$A$1:$I$88,7,0))</f>
        <v>0</v>
      </c>
      <c r="HE6" s="16">
        <f>IF(ISNA(VLOOKUP(A6,'Données projet'!$A$269:$I$289,6,0)),0%,VLOOKUP(A6,'Données projet'!$A$269:$I$289,6,0)*VLOOKUP('Données projet'!$B$18,Paramètres!$A$1:$I$88,7,0))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projet'!$B$18,Paramètres!$A$1:$I$88,3,0)*0.475*44/12</f>
        <v>#N/A</v>
      </c>
      <c r="HH6" s="21" t="e">
        <f>EXP(-LN(2)/25)*HH5+(1-EXP(-LN(2)/25))/(LN(2)/25)*Calculateur!HC6*Calculateur!HE6*VLOOKUP('Données projet'!$B$18,Paramètres!$A$1:$I$88,3,0)*0.475*44/12</f>
        <v>#N/A</v>
      </c>
      <c r="HI6" s="21" t="e">
        <f>EXP(-LN(2)/2)*HI5+(1-EXP(-LN(2)/2))/(LN(2)/2)*HC6*HF6*VLOOKUP('Données projet'!$B$18,Paramètres!$A$1:$I$88,3,0)*0.475*44/12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</v>
      </c>
      <c r="N7" s="13">
        <f>IF('Données projet'!$A$36&gt;35,N6+M7-V6,IF(A7&lt;'Données projet'!$A$36,$K$205^A7,IF(A7='Données projet'!$A$36,'Données projet'!$B$36,N6+M7-V6)))</f>
        <v>3.3019272488946267</v>
      </c>
      <c r="O7" s="13">
        <f>N7*VLOOKUP('Données projet'!$B$9,Paramètres!$A$1:$I$88,3,0)*VLOOKUP('Données projet'!$B$9,Paramètres!$A$1:$I$88,5,0)</f>
        <v>1.974552494838987</v>
      </c>
      <c r="P7" s="13">
        <f t="shared" si="33"/>
        <v>0.84067511945625772</v>
      </c>
      <c r="Q7" s="20">
        <f t="shared" si="2"/>
        <v>4.9031880948975504</v>
      </c>
      <c r="R7" s="59">
        <f t="shared" si="0"/>
        <v>266.45874365045307</v>
      </c>
      <c r="S7" s="59">
        <f ca="1">AVERAGE(OFFSET($R$3,0,0,'Données projet'!$E$9+1,1))-AVERAGE(OFFSET($H$3,0,0,'Données projet'!$E$9+1,1))</f>
        <v>195.73441209602686</v>
      </c>
      <c r="T7" s="59">
        <f t="shared" si="34"/>
        <v>219.19129224309006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projet'!$B$9,Paramètres!$A$1:$I$88,7,0))</f>
        <v>0</v>
      </c>
      <c r="X7" s="16">
        <f>IF(ISNA(VLOOKUP(A7,'Données projet'!$A$35:$I$55,6,0)),0%,VLOOKUP(A7,'Données projet'!$A$35:$I$55,6,0)*VLOOKUP('Données projet'!$B$9,Paramètres!$A$1:$I$88,7,0))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projet'!$B$9,Paramètres!$A$1:$I$88,3,0)*0.475*44/12</f>
        <v>0</v>
      </c>
      <c r="AA7" s="21">
        <f>EXP(-LN(2)/25)*AA6+(1-EXP(-LN(2)/25))/(LN(2)/25)*Calculateur!V7*Calculateur!X7*VLOOKUP('Données projet'!$B$9,Paramètres!$A$1:$I$88,3,0)*0.475*44/12</f>
        <v>0</v>
      </c>
      <c r="AB7" s="21">
        <f>EXP(-LN(2)/2)*AB6+(1-EXP(-LN(2)/2))/(LN(2)/2)*V7*Y7*VLOOKUP('Données projet'!$B$9,Paramètres!$A$1:$I$88,3,0)*0.475*44/12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4.55</v>
      </c>
      <c r="AI7" s="13">
        <f>IF('Données projet'!$A$62&gt;35,AI6+AH7-AQ6,IF(A7&lt;'Données projet'!$A$62,$AF$205^A7,IF(A7='Données projet'!$A$62,'Données projet'!$B$62,AI6+AH7-AQ6)))</f>
        <v>2.4649509317268694</v>
      </c>
      <c r="AJ7" s="13">
        <f>AI7*VLOOKUP('Données projet'!$B$10,Paramètres!$A$1:$I$88,3,0)*VLOOKUP('Données projet'!$B$10,Paramètres!$A$1:$I$88,5,0)</f>
        <v>1.4740406571726681</v>
      </c>
      <c r="AK7" s="13">
        <f t="shared" si="35"/>
        <v>0.64930242653052039</v>
      </c>
      <c r="AL7" s="20">
        <f t="shared" si="4"/>
        <v>3.6981558707830531</v>
      </c>
      <c r="AM7" s="59">
        <f t="shared" si="5"/>
        <v>265.25371142633861</v>
      </c>
      <c r="AN7" s="59">
        <f ca="1">AVERAGE(OFFSET($AM$3,0,0,'Données projet'!$E$10+1,1))-AVERAGE(OFFSET($H$3,0,0,'Données projet'!$E$10+1,1))</f>
        <v>246.59447135626942</v>
      </c>
      <c r="AO7" s="59">
        <f t="shared" si="36"/>
        <v>262.00382544285367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projet'!$B$10,Paramètres!$A$1:$I$88,7,0))</f>
        <v>0</v>
      </c>
      <c r="AS7" s="16">
        <f>IF(ISNA(VLOOKUP(A7,'Données projet'!$A$61:$I$81,6,0)),0%,VLOOKUP(A7,'Données projet'!$A$61:$I$81,6,0)*VLOOKUP('Données projet'!$B$10,Paramètres!$A$1:$I$88,7,0))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projet'!$B$10,Paramètres!$A$1:$I$88,3,0)*0.475*44/12</f>
        <v>0</v>
      </c>
      <c r="AV7" s="21">
        <f>EXP(-LN(2)/25)*AV6+(1-EXP(-LN(2)/25))/(LN(2)/25)*Calculateur!AQ7*Calculateur!AS7*VLOOKUP('Données projet'!$B$10,Paramètres!$A$1:$I$88,3,0)*0.475*44/12</f>
        <v>0</v>
      </c>
      <c r="AW7" s="21">
        <f>EXP(-LN(2)/2)*AW6+(1-EXP(-LN(2)/2))/(LN(2)/2)*AQ7*AT7*VLOOKUP('Données projet'!$B$10,Paramètres!$A$1:$I$88,3,0)*0.475*44/12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1.2</v>
      </c>
      <c r="BD7" s="12">
        <f>IF('Données projet'!$A$88&gt;35,BD6+BC7-BL6,IF(A7&lt;'Données projet'!$A$88,$BA$205^A7,IF(A7='Données projet'!$A$88,'Données projet'!$B$88,BD6+BC7-BL6)))</f>
        <v>2.7019200770412262</v>
      </c>
      <c r="BE7" s="13">
        <f>BD7*VLOOKUP('Données projet'!$B$11,Paramètres!$A$1:$I$88,3,0)*VLOOKUP('Données projet'!$B$11,Paramètres!$A$1:$I$88,5,0)</f>
        <v>1.5103733230660454</v>
      </c>
      <c r="BF7" s="13">
        <f t="shared" si="37"/>
        <v>0.66342366306511447</v>
      </c>
      <c r="BG7" s="20">
        <f t="shared" si="7"/>
        <v>3.786029750845104</v>
      </c>
      <c r="BH7" s="59">
        <f t="shared" si="8"/>
        <v>265.34158530640065</v>
      </c>
      <c r="BI7" s="59">
        <f ca="1">AVERAGE(OFFSET($BH$3,0,0,'Données projet'!$E$11+1,1))-AVERAGE(OFFSET($H$3,0,0,'Données projet'!$E$11+1,1))</f>
        <v>355.96253323046608</v>
      </c>
      <c r="BJ7" s="59">
        <f t="shared" si="38"/>
        <v>366.8380442809696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projet'!$B$11,Paramètres!$A$1:$I$88,7,0))</f>
        <v>0</v>
      </c>
      <c r="BN7" s="16">
        <f>IF(ISNA(VLOOKUP(A7,'Données projet'!$A$87:$I$107,6,0)),0%,VLOOKUP(A7,'Données projet'!$A$87:$I$107,6,0)*VLOOKUP('Données projet'!$B$11,Paramètres!$A$1:$I$88,7,0))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projet'!$B$11,Paramètres!$A$1:$I$88,3,0)*0.475*44/12</f>
        <v>0</v>
      </c>
      <c r="BQ7" s="21">
        <f>EXP(-LN(2)/25)*BQ6+(1-EXP(-LN(2)/25))/(LN(2)/25)*Calculateur!BL7*Calculateur!BN7*VLOOKUP('Données projet'!$B$11,Paramètres!$A$1:$I$88,3,0)*0.475*44/12</f>
        <v>0</v>
      </c>
      <c r="BR7" s="21">
        <f>EXP(-LN(2)/2)*BR6+(1-EXP(-LN(2)/2))/(LN(2)/2)*BL7*BO7*VLOOKUP('Données projet'!$B$11,Paramètres!$A$1:$I$88,3,0)*0.475*44/12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4.75</v>
      </c>
      <c r="BY7" s="12">
        <f>IF('Données projet'!$A$114&gt;35,BY6+BX7-CG6,IF(A7&lt;'Données projet'!$A$114,$BV$205^A7,IF(A7='Données projet'!$A$114,'Données projet'!$B$114,BY6+BX7-CG6)))</f>
        <v>2.4862495702121006</v>
      </c>
      <c r="BZ7" s="13">
        <f>BY7*VLOOKUP('Données projet'!$B$12,Paramètres!$A$1:$I$88,3,0)*VLOOKUP('Données projet'!$B$12,Paramètres!$A$1:$I$88,5,0)</f>
        <v>1.6289907184029682</v>
      </c>
      <c r="CA7" s="13">
        <f t="shared" si="39"/>
        <v>0.70925653904530495</v>
      </c>
      <c r="CB7" s="20">
        <f t="shared" si="10"/>
        <v>4.0724473067224096</v>
      </c>
      <c r="CC7" s="59">
        <f t="shared" si="11"/>
        <v>265.62800286227798</v>
      </c>
      <c r="CD7" s="59">
        <f ca="1">AVERAGE(OFFSET($CC$3,0,0,'Données projet'!$E$12+1,1))-AVERAGE(OFFSET($H$3,0,0,'Données projet'!$E$12+1,1))</f>
        <v>180.90147430936133</v>
      </c>
      <c r="CE7" s="59">
        <f t="shared" si="40"/>
        <v>226.87949199830018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projet'!$B$12,Paramètres!$A$1:$I$88,7,0))</f>
        <v>0</v>
      </c>
      <c r="CI7" s="16">
        <f>IF(ISNA(VLOOKUP(A7,'Données projet'!$A$113:$I$133,6,0)),0%,VLOOKUP(A7,'Données projet'!$A$113:$I$133,6,0)*VLOOKUP('Données projet'!$B$12,Paramètres!$A$1:$I$88,7,0))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projet'!$B$12,Paramètres!$A$1:$I$88,3,0)*0.475*44/12</f>
        <v>0</v>
      </c>
      <c r="CL7" s="21">
        <f>EXP(-LN(2)/25)*CL6+(1-EXP(-LN(2)/25))/(LN(2)/25)*Calculateur!CG7*Calculateur!CI7*VLOOKUP('Données projet'!$B$12,Paramètres!$A$1:$I$88,3,0)*0.475*44/12</f>
        <v>0</v>
      </c>
      <c r="CM7" s="21">
        <f>EXP(-LN(2)/2)*CM6+(1-EXP(-LN(2)/2))/(LN(2)/2)*CG7*CJ7*VLOOKUP('Données projet'!$B$12,Paramètres!$A$1:$I$88,3,0)*0.475*44/12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5.2</v>
      </c>
      <c r="CT7" s="12">
        <f>IF('Données projet'!$A$140&gt;35,CT6+CS7-DB6,IF(A7&lt;'Données projet'!$A$140,$CQ$205^A7,IF(A7='Données projet'!$A$140,'Données projet'!$B$140,CT6+CS7-DB6)))</f>
        <v>4.8573716916244525</v>
      </c>
      <c r="CU7" s="17">
        <f>CT7*VLOOKUP('Données projet'!$B$13,Paramètres!$A$1:$I$88,3,0)*VLOOKUP('Données projet'!$B$13,Paramètres!$A$1:$I$88,5,0)</f>
        <v>2.4702649474925318</v>
      </c>
      <c r="CV7" s="13">
        <f t="shared" si="41"/>
        <v>1.0246611096897391</v>
      </c>
      <c r="CW7" s="20">
        <f t="shared" si="13"/>
        <v>6.0869962162591209</v>
      </c>
      <c r="CX7" s="59">
        <f t="shared" si="14"/>
        <v>267.64255177181468</v>
      </c>
      <c r="CY7" s="59">
        <f ca="1">AVERAGE(OFFSET($CX$3,0,0,'Données projet'!$E$13+1,1))-AVERAGE(OFFSET($H$3,0,0,'Données projet'!$E$13+1,1))</f>
        <v>133.08385802816008</v>
      </c>
      <c r="CZ7" s="59">
        <f t="shared" si="42"/>
        <v>316.59112511251385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projet'!$B$13,Paramètres!$A$1:$I$88,7,0))</f>
        <v>0</v>
      </c>
      <c r="DD7" s="16">
        <f>IF(ISNA(VLOOKUP(A7,'Données projet'!$A$139:$I$159,6,0)),0%,VLOOKUP(A7,'Données projet'!$A$139:$I$159,6,0)*VLOOKUP('Données projet'!$B$13,Paramètres!$A$1:$I$88,7,0))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projet'!$B$13,Paramètres!$A$1:$I$88,3,0)*0.475*44/12</f>
        <v>0</v>
      </c>
      <c r="DG7" s="21">
        <f>EXP(-LN(2)/25)*DG6+(1-EXP(-LN(2)/25))/(LN(2)/25)*Calculateur!DB7*Calculateur!DD7*VLOOKUP('Données projet'!$B$13,Paramètres!$A$1:$I$88,3,0)*0.475*44/12</f>
        <v>0</v>
      </c>
      <c r="DH7" s="21">
        <f>EXP(-LN(2)/2)*DH6+(1-EXP(-LN(2)/2))/(LN(2)/2)*DB7*DE7*VLOOKUP('Données projet'!$B$13,Paramètres!$A$1:$I$88,3,0)*0.475*44/12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projet'!$B$14,Paramètres!$A$1:$I$88,3,0)*VLOOKUP('Données projet'!$B$14,Paramètres!$A$1:$I$88,5,0)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projet'!$B$14,Paramètres!$A$1:$I$88,7,0))</f>
        <v>0</v>
      </c>
      <c r="DY7" s="16">
        <f>IF(ISNA(VLOOKUP(A7,'Données projet'!$A$165:$I$185,6,0)),0%,VLOOKUP(A7,'Données projet'!$A$165:$I$185,6,0)*VLOOKUP('Données projet'!$B$14,Paramètres!$A$1:$I$88,7,0))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projet'!$B$14,Paramètres!$A$1:$I$88,3,0)*0.475*44/12</f>
        <v>#N/A</v>
      </c>
      <c r="EB7" s="21" t="e">
        <f>EXP(-LN(2)/25)*EB6+(1-EXP(-LN(2)/25))/(LN(2)/25)*Calculateur!DW7*Calculateur!DY7*VLOOKUP('Données projet'!$B$14,Paramètres!$A$1:$I$88,3,0)*0.475*44/12</f>
        <v>#N/A</v>
      </c>
      <c r="EC7" s="21" t="e">
        <f>EXP(-LN(2)/2)*EC6+(1-EXP(-LN(2)/2))/(LN(2)/2)*DW7*DZ7*VLOOKUP('Données projet'!$B$14,Paramètres!$A$1:$I$88,3,0)*0.475*44/12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projet'!$B$15,Paramètres!$A$1:$I$88,3,0)*VLOOKUP('Données projet'!$B$15,Paramètres!$A$1:$I$88,5,0)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projet'!$B$15,Paramètres!$A$1:$I$88,7,0))</f>
        <v>0</v>
      </c>
      <c r="ET7" s="16">
        <f>IF(ISNA(VLOOKUP(A7,'Données projet'!$A$191:$I$211,6,0)),0%,VLOOKUP(A7,'Données projet'!$A$191:$I$211,6,0)*VLOOKUP('Données projet'!$B$15,Paramètres!$A$1:$I$88,7,0))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projet'!$B$15,Paramètres!$A$1:$I$88,3,0)*0.475*44/12</f>
        <v>#N/A</v>
      </c>
      <c r="EW7" s="21" t="e">
        <f>EXP(-LN(2)/25)*EW6+(1-EXP(-LN(2)/25))/(LN(2)/25)*Calculateur!ER7*Calculateur!ET7*VLOOKUP('Données projet'!$B$15,Paramètres!$A$1:$I$88,3,0)*0.475*44/12</f>
        <v>#N/A</v>
      </c>
      <c r="EX7" s="21" t="e">
        <f>EXP(-LN(2)/2)*EX6+(1-EXP(-LN(2)/2))/(LN(2)/2)*ER7*EU7*VLOOKUP('Données projet'!$B$15,Paramètres!$A$1:$I$88,3,0)*0.475*44/12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projet'!$B$16,Paramètres!$A$1:$I$88,3,0)*VLOOKUP('Données projet'!$B$16,Paramètres!$A$1:$I$88,5,0)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projet'!$B$16,Paramètres!$A$1:$I$88,7,0))</f>
        <v>0</v>
      </c>
      <c r="FO7" s="16">
        <f>IF(ISNA(VLOOKUP(A7,'Données projet'!$A$217:$I$237,6,0)),0%,VLOOKUP(A7,'Données projet'!$A$217:$I$237,6,0)*VLOOKUP('Données projet'!$B$16,Paramètres!$A$1:$I$88,7,0))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projet'!$B$16,Paramètres!$A$1:$I$88,3,0)*0.475*44/12</f>
        <v>#N/A</v>
      </c>
      <c r="FR7" s="21" t="e">
        <f>EXP(-LN(2)/25)*FR6+(1-EXP(-LN(2)/25))/(LN(2)/25)*Calculateur!FM7*Calculateur!FO7*VLOOKUP('Données projet'!$B$16,Paramètres!$A$1:$I$88,3,0)*0.475*44/12</f>
        <v>#N/A</v>
      </c>
      <c r="FS7" s="21" t="e">
        <f>EXP(-LN(2)/2)*FS6+(1-EXP(-LN(2)/2))/(LN(2)/2)*FM7*FP7*VLOOKUP('Données projet'!$B$16,Paramètres!$A$1:$I$88,3,0)*0.475*44/12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projet'!$B$17,Paramètres!$A$1:$I$88,3,0)*VLOOKUP('Données projet'!$B$17,Paramètres!$A$1:$I$88,5,0)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projet'!$B$17,Paramètres!$A$1:$I$88,7,0))</f>
        <v>0</v>
      </c>
      <c r="GJ7" s="16">
        <f>IF(ISNA(VLOOKUP(A7,'Données projet'!$A$243:$I$263,6,0)),0%,VLOOKUP(A7,'Données projet'!$A$243:$I$263,6,0)*VLOOKUP('Données projet'!$B$17,Paramètres!$A$1:$I$88,7,0))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projet'!$B$17,Paramètres!$A$1:$I$88,3,0)*0.475*44/12</f>
        <v>#N/A</v>
      </c>
      <c r="GM7" s="21" t="e">
        <f>EXP(-LN(2)/25)*GM6+(1-EXP(-LN(2)/25))/(LN(2)/25)*Calculateur!GH7*Calculateur!GJ7*VLOOKUP('Données projet'!$B$17,Paramètres!$A$1:$I$88,3,0)*0.475*44/12</f>
        <v>#N/A</v>
      </c>
      <c r="GN7" s="21" t="e">
        <f>EXP(-LN(2)/2)*GN6+(1-EXP(-LN(2)/2))/(LN(2)/2)*GH7*GK7*VLOOKUP('Données projet'!$B$17,Paramètres!$A$1:$I$88,3,0)*0.475*44/12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projet'!$B$18,Paramètres!$A$1:$I$88,3,0)*VLOOKUP('Données projet'!$B$18,Paramètres!$A$1:$I$88,5,0)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projet'!$B$18,Paramètres!$A$1:$I$88,7,0))</f>
        <v>0</v>
      </c>
      <c r="HE7" s="16">
        <f>IF(ISNA(VLOOKUP(A7,'Données projet'!$A$269:$I$289,6,0)),0%,VLOOKUP(A7,'Données projet'!$A$269:$I$289,6,0)*VLOOKUP('Données projet'!$B$18,Paramètres!$A$1:$I$88,7,0))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projet'!$B$18,Paramètres!$A$1:$I$88,3,0)*0.475*44/12</f>
        <v>#N/A</v>
      </c>
      <c r="HH7" s="21" t="e">
        <f>EXP(-LN(2)/25)*HH6+(1-EXP(-LN(2)/25))/(LN(2)/25)*Calculateur!HC7*Calculateur!HE7*VLOOKUP('Données projet'!$B$18,Paramètres!$A$1:$I$88,3,0)*0.475*44/12</f>
        <v>#N/A</v>
      </c>
      <c r="HI7" s="21" t="e">
        <f>EXP(-LN(2)/2)*HI6+(1-EXP(-LN(2)/2))/(LN(2)/2)*HC7*HF7*VLOOKUP('Données projet'!$B$18,Paramètres!$A$1:$I$88,3,0)*0.475*44/12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</v>
      </c>
      <c r="N8" s="13">
        <f>IF('Données projet'!$A$36&gt;35,N7+M8-V7,IF(A8&lt;'Données projet'!$A$36,$K$205^A8,IF(A8='Données projet'!$A$36,'Données projet'!$B$36,N7+M8-V7)))</f>
        <v>4.4510182535424141</v>
      </c>
      <c r="O8" s="13">
        <f>N8*VLOOKUP('Données projet'!$B$9,Paramètres!$A$1:$I$88,3,0)*VLOOKUP('Données projet'!$B$9,Paramètres!$A$1:$I$88,5,0)</f>
        <v>2.6617089156183638</v>
      </c>
      <c r="P8" s="13">
        <f t="shared" si="33"/>
        <v>1.0945205879680817</v>
      </c>
      <c r="Q8" s="20">
        <f t="shared" si="2"/>
        <v>6.5420997187463925</v>
      </c>
      <c r="R8" s="59">
        <f t="shared" si="0"/>
        <v>269.31987749652416</v>
      </c>
      <c r="S8" s="59">
        <f ca="1">AVERAGE(OFFSET($R$3,0,0,'Données projet'!$E$9+1,1))-AVERAGE(OFFSET($H$3,0,0,'Données projet'!$E$9+1,1))</f>
        <v>195.73441209602686</v>
      </c>
      <c r="T8" s="59">
        <f t="shared" si="34"/>
        <v>219.19129224309006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projet'!$B$9,Paramètres!$A$1:$I$88,7,0))</f>
        <v>0</v>
      </c>
      <c r="X8" s="16">
        <f>IF(ISNA(VLOOKUP(A8,'Données projet'!$A$35:$I$55,6,0)),0%,VLOOKUP(A8,'Données projet'!$A$35:$I$55,6,0)*VLOOKUP('Données projet'!$B$9,Paramètres!$A$1:$I$88,7,0))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projet'!$B$9,Paramètres!$A$1:$I$88,3,0)*0.475*44/12</f>
        <v>0</v>
      </c>
      <c r="AA8" s="21">
        <f>EXP(-LN(2)/25)*AA7+(1-EXP(-LN(2)/25))/(LN(2)/25)*Calculateur!V8*Calculateur!X8*VLOOKUP('Données projet'!$B$9,Paramètres!$A$1:$I$88,3,0)*0.475*44/12</f>
        <v>0</v>
      </c>
      <c r="AB8" s="21">
        <f>EXP(-LN(2)/2)*AB7+(1-EXP(-LN(2)/2))/(LN(2)/2)*V8*Y8*VLOOKUP('Données projet'!$B$9,Paramètres!$A$1:$I$88,3,0)*0.475*44/12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4.55</v>
      </c>
      <c r="AI8" s="13">
        <f>IF('Données projet'!$A$62&gt;35,AI7+AH8-AQ7,IF(A8&lt;'Données projet'!$A$62,$AF$205^A8,IF(A8='Données projet'!$A$62,'Données projet'!$B$62,AI7+AH8-AQ7)))</f>
        <v>3.0885906193876616</v>
      </c>
      <c r="AJ8" s="13">
        <f>AI8*VLOOKUP('Données projet'!$B$10,Paramètres!$A$1:$I$88,3,0)*VLOOKUP('Données projet'!$B$10,Paramètres!$A$1:$I$88,5,0)</f>
        <v>1.8469771903938217</v>
      </c>
      <c r="AK8" s="13">
        <f t="shared" si="35"/>
        <v>0.79249672214945899</v>
      </c>
      <c r="AL8" s="20">
        <f t="shared" si="4"/>
        <v>4.59708373101288</v>
      </c>
      <c r="AM8" s="59">
        <f t="shared" si="5"/>
        <v>267.37486150879067</v>
      </c>
      <c r="AN8" s="59">
        <f ca="1">AVERAGE(OFFSET($AM$3,0,0,'Données projet'!$E$10+1,1))-AVERAGE(OFFSET($H$3,0,0,'Données projet'!$E$10+1,1))</f>
        <v>246.59447135626942</v>
      </c>
      <c r="AO8" s="59">
        <f t="shared" si="36"/>
        <v>262.00382544285367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projet'!$B$10,Paramètres!$A$1:$I$88,7,0))</f>
        <v>0</v>
      </c>
      <c r="AS8" s="16">
        <f>IF(ISNA(VLOOKUP(A8,'Données projet'!$A$61:$I$81,6,0)),0%,VLOOKUP(A8,'Données projet'!$A$61:$I$81,6,0)*VLOOKUP('Données projet'!$B$10,Paramètres!$A$1:$I$88,7,0))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projet'!$B$10,Paramètres!$A$1:$I$88,3,0)*0.475*44/12</f>
        <v>0</v>
      </c>
      <c r="AV8" s="21">
        <f>EXP(-LN(2)/25)*AV7+(1-EXP(-LN(2)/25))/(LN(2)/25)*Calculateur!AQ8*Calculateur!AS8*VLOOKUP('Données projet'!$B$10,Paramètres!$A$1:$I$88,3,0)*0.475*44/12</f>
        <v>0</v>
      </c>
      <c r="AW8" s="21">
        <f>EXP(-LN(2)/2)*AW7+(1-EXP(-LN(2)/2))/(LN(2)/2)*AQ8*AT8*VLOOKUP('Données projet'!$B$10,Paramètres!$A$1:$I$88,3,0)*0.475*44/12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1.2</v>
      </c>
      <c r="BD8" s="12">
        <f>IF('Données projet'!$A$88&gt;35,BD7+BC8-BL7,IF(A8&lt;'Données projet'!$A$88,$BA$205^A8,IF(A8='Données projet'!$A$88,'Données projet'!$B$88,BD7+BC8-BL7)))</f>
        <v>3.4641016151377535</v>
      </c>
      <c r="BE8" s="13">
        <f>BD8*VLOOKUP('Données projet'!$B$11,Paramètres!$A$1:$I$88,3,0)*VLOOKUP('Données projet'!$B$11,Paramètres!$A$1:$I$88,5,0)</f>
        <v>1.9364328028620041</v>
      </c>
      <c r="BF8" s="13">
        <f t="shared" si="37"/>
        <v>0.82631837969658639</v>
      </c>
      <c r="BG8" s="20">
        <f t="shared" si="7"/>
        <v>4.8117916429562113</v>
      </c>
      <c r="BH8" s="59">
        <f t="shared" si="8"/>
        <v>267.58956942073399</v>
      </c>
      <c r="BI8" s="59">
        <f ca="1">AVERAGE(OFFSET($BH$3,0,0,'Données projet'!$E$11+1,1))-AVERAGE(OFFSET($H$3,0,0,'Données projet'!$E$11+1,1))</f>
        <v>355.96253323046608</v>
      </c>
      <c r="BJ8" s="59">
        <f t="shared" si="38"/>
        <v>366.8380442809696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projet'!$B$11,Paramètres!$A$1:$I$88,7,0))</f>
        <v>0</v>
      </c>
      <c r="BN8" s="16">
        <f>IF(ISNA(VLOOKUP(A8,'Données projet'!$A$87:$I$107,6,0)),0%,VLOOKUP(A8,'Données projet'!$A$87:$I$107,6,0)*VLOOKUP('Données projet'!$B$11,Paramètres!$A$1:$I$88,7,0))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projet'!$B$11,Paramètres!$A$1:$I$88,3,0)*0.475*44/12</f>
        <v>0</v>
      </c>
      <c r="BQ8" s="21">
        <f>EXP(-LN(2)/25)*BQ7+(1-EXP(-LN(2)/25))/(LN(2)/25)*Calculateur!BL8*Calculateur!BN8*VLOOKUP('Données projet'!$B$11,Paramètres!$A$1:$I$88,3,0)*0.475*44/12</f>
        <v>0</v>
      </c>
      <c r="BR8" s="21">
        <f>EXP(-LN(2)/2)*BR7+(1-EXP(-LN(2)/2))/(LN(2)/2)*BL8*BO8*VLOOKUP('Données projet'!$B$11,Paramètres!$A$1:$I$88,3,0)*0.475*44/12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4.75</v>
      </c>
      <c r="BY8" s="12">
        <f>IF('Données projet'!$A$114&gt;35,BY7+BX8-CG7,IF(A8&lt;'Données projet'!$A$114,$BV$205^A8,IF(A8='Données projet'!$A$114,'Données projet'!$B$114,BY7+BX8-CG7)))</f>
        <v>3.121985641352143</v>
      </c>
      <c r="BZ8" s="13">
        <f>BY8*VLOOKUP('Données projet'!$B$12,Paramètres!$A$1:$I$88,3,0)*VLOOKUP('Données projet'!$B$12,Paramètres!$A$1:$I$88,5,0)</f>
        <v>2.0455249922139243</v>
      </c>
      <c r="CA8" s="13">
        <f t="shared" si="39"/>
        <v>0.86731963302258741</v>
      </c>
      <c r="CB8" s="20">
        <f t="shared" si="10"/>
        <v>5.0732043889535907</v>
      </c>
      <c r="CC8" s="59">
        <f t="shared" si="11"/>
        <v>267.85098216673134</v>
      </c>
      <c r="CD8" s="59">
        <f ca="1">AVERAGE(OFFSET($CC$3,0,0,'Données projet'!$E$12+1,1))-AVERAGE(OFFSET($H$3,0,0,'Données projet'!$E$12+1,1))</f>
        <v>180.90147430936133</v>
      </c>
      <c r="CE8" s="59">
        <f t="shared" si="40"/>
        <v>226.87949199830018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projet'!$B$12,Paramètres!$A$1:$I$88,7,0))</f>
        <v>0</v>
      </c>
      <c r="CI8" s="16">
        <f>IF(ISNA(VLOOKUP(A8,'Données projet'!$A$113:$I$133,6,0)),0%,VLOOKUP(A8,'Données projet'!$A$113:$I$133,6,0)*VLOOKUP('Données projet'!$B$12,Paramètres!$A$1:$I$88,7,0))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projet'!$B$12,Paramètres!$A$1:$I$88,3,0)*0.475*44/12</f>
        <v>0</v>
      </c>
      <c r="CL8" s="21">
        <f>EXP(-LN(2)/25)*CL7+(1-EXP(-LN(2)/25))/(LN(2)/25)*Calculateur!CG8*Calculateur!CI8*VLOOKUP('Données projet'!$B$12,Paramètres!$A$1:$I$88,3,0)*0.475*44/12</f>
        <v>0</v>
      </c>
      <c r="CM8" s="21">
        <f>EXP(-LN(2)/2)*CM7+(1-EXP(-LN(2)/2))/(LN(2)/2)*CG8*CJ8*VLOOKUP('Données projet'!$B$12,Paramètres!$A$1:$I$88,3,0)*0.475*44/12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5.2</v>
      </c>
      <c r="CT8" s="12">
        <f>IF('Données projet'!$A$140&gt;35,CT7+CS8-DB7,IF(A8&lt;'Données projet'!$A$140,$CQ$205^A8,IF(A8='Données projet'!$A$140,'Données projet'!$B$140,CT7+CS8-DB7)))</f>
        <v>7.2111025509279818</v>
      </c>
      <c r="CU8" s="17">
        <f>CT8*VLOOKUP('Données projet'!$B$13,Paramètres!$A$1:$I$88,3,0)*VLOOKUP('Données projet'!$B$13,Paramètres!$A$1:$I$88,5,0)</f>
        <v>3.6672783132999345</v>
      </c>
      <c r="CV8" s="13">
        <f t="shared" si="41"/>
        <v>1.4528015971191288</v>
      </c>
      <c r="CW8" s="20">
        <f t="shared" si="13"/>
        <v>8.9174725106465349</v>
      </c>
      <c r="CX8" s="59">
        <f t="shared" si="14"/>
        <v>271.69525028842429</v>
      </c>
      <c r="CY8" s="59">
        <f ca="1">AVERAGE(OFFSET($CX$3,0,0,'Données projet'!$E$13+1,1))-AVERAGE(OFFSET($H$3,0,0,'Données projet'!$E$13+1,1))</f>
        <v>133.08385802816008</v>
      </c>
      <c r="CZ8" s="59">
        <f t="shared" si="42"/>
        <v>316.59112511251385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projet'!$B$13,Paramètres!$A$1:$I$88,7,0))</f>
        <v>0</v>
      </c>
      <c r="DD8" s="16">
        <f>IF(ISNA(VLOOKUP(A8,'Données projet'!$A$139:$I$159,6,0)),0%,VLOOKUP(A8,'Données projet'!$A$139:$I$159,6,0)*VLOOKUP('Données projet'!$B$13,Paramètres!$A$1:$I$88,7,0))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projet'!$B$13,Paramètres!$A$1:$I$88,3,0)*0.475*44/12</f>
        <v>0</v>
      </c>
      <c r="DG8" s="21">
        <f>EXP(-LN(2)/25)*DG7+(1-EXP(-LN(2)/25))/(LN(2)/25)*Calculateur!DB8*Calculateur!DD8*VLOOKUP('Données projet'!$B$13,Paramètres!$A$1:$I$88,3,0)*0.475*44/12</f>
        <v>0</v>
      </c>
      <c r="DH8" s="21">
        <f>EXP(-LN(2)/2)*DH7+(1-EXP(-LN(2)/2))/(LN(2)/2)*DB8*DE8*VLOOKUP('Données projet'!$B$13,Paramètres!$A$1:$I$88,3,0)*0.475*44/12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projet'!$B$14,Paramètres!$A$1:$I$88,3,0)*VLOOKUP('Données projet'!$B$14,Paramètres!$A$1:$I$88,5,0)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projet'!$B$14,Paramètres!$A$1:$I$88,7,0))</f>
        <v>0</v>
      </c>
      <c r="DY8" s="16">
        <f>IF(ISNA(VLOOKUP(A8,'Données projet'!$A$165:$I$185,6,0)),0%,VLOOKUP(A8,'Données projet'!$A$165:$I$185,6,0)*VLOOKUP('Données projet'!$B$14,Paramètres!$A$1:$I$88,7,0))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projet'!$B$14,Paramètres!$A$1:$I$88,3,0)*0.475*44/12</f>
        <v>#N/A</v>
      </c>
      <c r="EB8" s="21" t="e">
        <f>EXP(-LN(2)/25)*EB7+(1-EXP(-LN(2)/25))/(LN(2)/25)*Calculateur!DW8*Calculateur!DY8*VLOOKUP('Données projet'!$B$14,Paramètres!$A$1:$I$88,3,0)*0.475*44/12</f>
        <v>#N/A</v>
      </c>
      <c r="EC8" s="21" t="e">
        <f>EXP(-LN(2)/2)*EC7+(1-EXP(-LN(2)/2))/(LN(2)/2)*DW8*DZ8*VLOOKUP('Données projet'!$B$14,Paramètres!$A$1:$I$88,3,0)*0.475*44/12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projet'!$B$15,Paramètres!$A$1:$I$88,3,0)*VLOOKUP('Données projet'!$B$15,Paramètres!$A$1:$I$88,5,0)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projet'!$B$15,Paramètres!$A$1:$I$88,7,0))</f>
        <v>0</v>
      </c>
      <c r="ET8" s="16">
        <f>IF(ISNA(VLOOKUP(A8,'Données projet'!$A$191:$I$211,6,0)),0%,VLOOKUP(A8,'Données projet'!$A$191:$I$211,6,0)*VLOOKUP('Données projet'!$B$15,Paramètres!$A$1:$I$88,7,0))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projet'!$B$15,Paramètres!$A$1:$I$88,3,0)*0.475*44/12</f>
        <v>#N/A</v>
      </c>
      <c r="EW8" s="21" t="e">
        <f>EXP(-LN(2)/25)*EW7+(1-EXP(-LN(2)/25))/(LN(2)/25)*Calculateur!ER8*Calculateur!ET8*VLOOKUP('Données projet'!$B$15,Paramètres!$A$1:$I$88,3,0)*0.475*44/12</f>
        <v>#N/A</v>
      </c>
      <c r="EX8" s="21" t="e">
        <f>EXP(-LN(2)/2)*EX7+(1-EXP(-LN(2)/2))/(LN(2)/2)*ER8*EU8*VLOOKUP('Données projet'!$B$15,Paramètres!$A$1:$I$88,3,0)*0.475*44/12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projet'!$B$16,Paramètres!$A$1:$I$88,3,0)*VLOOKUP('Données projet'!$B$16,Paramètres!$A$1:$I$88,5,0)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projet'!$B$16,Paramètres!$A$1:$I$88,7,0))</f>
        <v>0</v>
      </c>
      <c r="FO8" s="16">
        <f>IF(ISNA(VLOOKUP(A8,'Données projet'!$A$217:$I$237,6,0)),0%,VLOOKUP(A8,'Données projet'!$A$217:$I$237,6,0)*VLOOKUP('Données projet'!$B$16,Paramètres!$A$1:$I$88,7,0))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projet'!$B$16,Paramètres!$A$1:$I$88,3,0)*0.475*44/12</f>
        <v>#N/A</v>
      </c>
      <c r="FR8" s="21" t="e">
        <f>EXP(-LN(2)/25)*FR7+(1-EXP(-LN(2)/25))/(LN(2)/25)*Calculateur!FM8*Calculateur!FO8*VLOOKUP('Données projet'!$B$16,Paramètres!$A$1:$I$88,3,0)*0.475*44/12</f>
        <v>#N/A</v>
      </c>
      <c r="FS8" s="21" t="e">
        <f>EXP(-LN(2)/2)*FS7+(1-EXP(-LN(2)/2))/(LN(2)/2)*FM8*FP8*VLOOKUP('Données projet'!$B$16,Paramètres!$A$1:$I$88,3,0)*0.475*44/12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projet'!$B$17,Paramètres!$A$1:$I$88,3,0)*VLOOKUP('Données projet'!$B$17,Paramètres!$A$1:$I$88,5,0)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projet'!$B$17,Paramètres!$A$1:$I$88,7,0))</f>
        <v>0</v>
      </c>
      <c r="GJ8" s="16">
        <f>IF(ISNA(VLOOKUP(A8,'Données projet'!$A$243:$I$263,6,0)),0%,VLOOKUP(A8,'Données projet'!$A$243:$I$263,6,0)*VLOOKUP('Données projet'!$B$17,Paramètres!$A$1:$I$88,7,0))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projet'!$B$17,Paramètres!$A$1:$I$88,3,0)*0.475*44/12</f>
        <v>#N/A</v>
      </c>
      <c r="GM8" s="21" t="e">
        <f>EXP(-LN(2)/25)*GM7+(1-EXP(-LN(2)/25))/(LN(2)/25)*Calculateur!GH8*Calculateur!GJ8*VLOOKUP('Données projet'!$B$17,Paramètres!$A$1:$I$88,3,0)*0.475*44/12</f>
        <v>#N/A</v>
      </c>
      <c r="GN8" s="21" t="e">
        <f>EXP(-LN(2)/2)*GN7+(1-EXP(-LN(2)/2))/(LN(2)/2)*GH8*GK8*VLOOKUP('Données projet'!$B$17,Paramètres!$A$1:$I$88,3,0)*0.475*44/12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projet'!$B$18,Paramètres!$A$1:$I$88,3,0)*VLOOKUP('Données projet'!$B$18,Paramètres!$A$1:$I$88,5,0)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projet'!$B$18,Paramètres!$A$1:$I$88,7,0))</f>
        <v>0</v>
      </c>
      <c r="HE8" s="16">
        <f>IF(ISNA(VLOOKUP(A8,'Données projet'!$A$269:$I$289,6,0)),0%,VLOOKUP(A8,'Données projet'!$A$269:$I$289,6,0)*VLOOKUP('Données projet'!$B$18,Paramètres!$A$1:$I$88,7,0))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projet'!$B$18,Paramètres!$A$1:$I$88,3,0)*0.475*44/12</f>
        <v>#N/A</v>
      </c>
      <c r="HH8" s="21" t="e">
        <f>EXP(-LN(2)/25)*HH7+(1-EXP(-LN(2)/25))/(LN(2)/25)*Calculateur!HC8*Calculateur!HE8*VLOOKUP('Données projet'!$B$18,Paramètres!$A$1:$I$88,3,0)*0.475*44/12</f>
        <v>#N/A</v>
      </c>
      <c r="HI8" s="21" t="e">
        <f>EXP(-LN(2)/2)*HI7+(1-EXP(-LN(2)/2))/(LN(2)/2)*HC8*HF8*VLOOKUP('Données projet'!$B$18,Paramètres!$A$1:$I$88,3,0)*0.475*44/12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</v>
      </c>
      <c r="N9" s="13">
        <f>IF('Données projet'!$A$36&gt;35,N8+M9-V8,IF(A9&lt;'Données projet'!$A$36,$K$205^A9,IF(A9='Données projet'!$A$36,'Données projet'!$B$36,N8+M9-V8)))</f>
        <v>6</v>
      </c>
      <c r="O9" s="13">
        <f>N9*VLOOKUP('Données projet'!$B$9,Paramètres!$A$1:$I$88,3,0)*VLOOKUP('Données projet'!$B$9,Paramètres!$A$1:$I$88,5,0)</f>
        <v>3.5880000000000005</v>
      </c>
      <c r="P9" s="13">
        <f t="shared" si="33"/>
        <v>1.4250157876217819</v>
      </c>
      <c r="Q9" s="20">
        <f t="shared" si="2"/>
        <v>8.7310024967746021</v>
      </c>
      <c r="R9" s="59">
        <f t="shared" si="0"/>
        <v>272.73100249677458</v>
      </c>
      <c r="S9" s="59">
        <f ca="1">AVERAGE(OFFSET($R$3,0,0,'Données projet'!$E$9+1,1))-AVERAGE(OFFSET($H$3,0,0,'Données projet'!$E$9+1,1))</f>
        <v>195.73441209602686</v>
      </c>
      <c r="T9" s="59">
        <f t="shared" si="34"/>
        <v>219.19129224309006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projet'!$B$9,Paramètres!$A$1:$I$88,7,0))</f>
        <v>0</v>
      </c>
      <c r="X9" s="16">
        <f>IF(ISNA(VLOOKUP(A9,'Données projet'!$A$35:$I$55,6,0)),0%,VLOOKUP(A9,'Données projet'!$A$35:$I$55,6,0)*VLOOKUP('Données projet'!$B$9,Paramètres!$A$1:$I$88,7,0))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projet'!$B$9,Paramètres!$A$1:$I$88,3,0)*0.475*44/12</f>
        <v>0</v>
      </c>
      <c r="AA9" s="21">
        <f>EXP(-LN(2)/25)*AA8+(1-EXP(-LN(2)/25))/(LN(2)/25)*Calculateur!V9*Calculateur!X9*VLOOKUP('Données projet'!$B$9,Paramètres!$A$1:$I$88,3,0)*0.475*44/12</f>
        <v>0</v>
      </c>
      <c r="AB9" s="21">
        <f>EXP(-LN(2)/2)*AB8+(1-EXP(-LN(2)/2))/(LN(2)/2)*V9*Y9*VLOOKUP('Données projet'!$B$9,Paramètres!$A$1:$I$88,3,0)*0.475*44/12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4.55</v>
      </c>
      <c r="AI9" s="13">
        <f>IF('Données projet'!$A$62&gt;35,AI8+AH9-AQ8,IF(A9&lt;'Données projet'!$A$62,$AF$205^A9,IF(A9='Données projet'!$A$62,'Données projet'!$B$62,AI8+AH9-AQ8)))</f>
        <v>3.8700129448363709</v>
      </c>
      <c r="AJ9" s="13">
        <f>AI9*VLOOKUP('Données projet'!$B$10,Paramètres!$A$1:$I$88,3,0)*VLOOKUP('Données projet'!$B$10,Paramètres!$A$1:$I$88,5,0)</f>
        <v>2.3142677410121499</v>
      </c>
      <c r="AK9" s="13">
        <f t="shared" si="35"/>
        <v>0.96727045665540168</v>
      </c>
      <c r="AL9" s="20">
        <f t="shared" si="4"/>
        <v>5.7153456942709857</v>
      </c>
      <c r="AM9" s="59">
        <f t="shared" si="5"/>
        <v>269.71534569427098</v>
      </c>
      <c r="AN9" s="59">
        <f ca="1">AVERAGE(OFFSET($AM$3,0,0,'Données projet'!$E$10+1,1))-AVERAGE(OFFSET($H$3,0,0,'Données projet'!$E$10+1,1))</f>
        <v>246.59447135626942</v>
      </c>
      <c r="AO9" s="59">
        <f t="shared" si="36"/>
        <v>262.00382544285367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projet'!$B$10,Paramètres!$A$1:$I$88,7,0))</f>
        <v>0</v>
      </c>
      <c r="AS9" s="16">
        <f>IF(ISNA(VLOOKUP(A9,'Données projet'!$A$61:$I$81,6,0)),0%,VLOOKUP(A9,'Données projet'!$A$61:$I$81,6,0)*VLOOKUP('Données projet'!$B$10,Paramètres!$A$1:$I$88,7,0))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projet'!$B$10,Paramètres!$A$1:$I$88,3,0)*0.475*44/12</f>
        <v>0</v>
      </c>
      <c r="AV9" s="21">
        <f>EXP(-LN(2)/25)*AV8+(1-EXP(-LN(2)/25))/(LN(2)/25)*Calculateur!AQ9*Calculateur!AS9*VLOOKUP('Données projet'!$B$10,Paramètres!$A$1:$I$88,3,0)*0.475*44/12</f>
        <v>0</v>
      </c>
      <c r="AW9" s="21">
        <f>EXP(-LN(2)/2)*AW8+(1-EXP(-LN(2)/2))/(LN(2)/2)*AQ9*AT9*VLOOKUP('Données projet'!$B$10,Paramètres!$A$1:$I$88,3,0)*0.475*44/12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1.2</v>
      </c>
      <c r="BD9" s="12">
        <f>IF('Données projet'!$A$88&gt;35,BD8+BC9-BL8,IF(A9&lt;'Données projet'!$A$88,$BA$205^A9,IF(A9='Données projet'!$A$88,'Données projet'!$B$88,BD8+BC9-BL8)))</f>
        <v>4.4412860698458383</v>
      </c>
      <c r="BE9" s="13">
        <f>BD9*VLOOKUP('Données projet'!$B$11,Paramètres!$A$1:$I$88,3,0)*VLOOKUP('Données projet'!$B$11,Paramètres!$A$1:$I$88,5,0)</f>
        <v>2.4826789130438236</v>
      </c>
      <c r="BF9" s="13">
        <f t="shared" si="37"/>
        <v>1.0292096930485513</v>
      </c>
      <c r="BG9" s="20">
        <f t="shared" si="7"/>
        <v>6.1165393222775526</v>
      </c>
      <c r="BH9" s="59">
        <f t="shared" si="8"/>
        <v>270.11653932227756</v>
      </c>
      <c r="BI9" s="59">
        <f ca="1">AVERAGE(OFFSET($BH$3,0,0,'Données projet'!$E$11+1,1))-AVERAGE(OFFSET($H$3,0,0,'Données projet'!$E$11+1,1))</f>
        <v>355.96253323046608</v>
      </c>
      <c r="BJ9" s="59">
        <f t="shared" si="38"/>
        <v>366.8380442809696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projet'!$B$11,Paramètres!$A$1:$I$88,7,0))</f>
        <v>0</v>
      </c>
      <c r="BN9" s="16">
        <f>IF(ISNA(VLOOKUP(A9,'Données projet'!$A$87:$I$107,6,0)),0%,VLOOKUP(A9,'Données projet'!$A$87:$I$107,6,0)*VLOOKUP('Données projet'!$B$11,Paramètres!$A$1:$I$88,7,0))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projet'!$B$11,Paramètres!$A$1:$I$88,3,0)*0.475*44/12</f>
        <v>0</v>
      </c>
      <c r="BQ9" s="21">
        <f>EXP(-LN(2)/25)*BQ8+(1-EXP(-LN(2)/25))/(LN(2)/25)*Calculateur!BL9*Calculateur!BN9*VLOOKUP('Données projet'!$B$11,Paramètres!$A$1:$I$88,3,0)*0.475*44/12</f>
        <v>0</v>
      </c>
      <c r="BR9" s="21">
        <f>EXP(-LN(2)/2)*BR8+(1-EXP(-LN(2)/2))/(LN(2)/2)*BL9*BO9*VLOOKUP('Données projet'!$B$11,Paramètres!$A$1:$I$88,3,0)*0.475*44/12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4.75</v>
      </c>
      <c r="BY9" s="12">
        <f>IF('Données projet'!$A$114&gt;35,BY8+BX9-CG8,IF(A9&lt;'Données projet'!$A$114,$BV$205^A9,IF(A9='Données projet'!$A$114,'Données projet'!$B$114,BY8+BX9-CG8)))</f>
        <v>3.920279951613006</v>
      </c>
      <c r="BZ9" s="13">
        <f>BY9*VLOOKUP('Données projet'!$B$12,Paramètres!$A$1:$I$88,3,0)*VLOOKUP('Données projet'!$B$12,Paramètres!$A$1:$I$88,5,0)</f>
        <v>2.5685674242968415</v>
      </c>
      <c r="CA9" s="13">
        <f t="shared" si="39"/>
        <v>1.0606082628987714</v>
      </c>
      <c r="CB9" s="20">
        <f t="shared" si="10"/>
        <v>6.3208143218656927</v>
      </c>
      <c r="CC9" s="59">
        <f t="shared" si="11"/>
        <v>270.32081432186567</v>
      </c>
      <c r="CD9" s="59">
        <f ca="1">AVERAGE(OFFSET($CC$3,0,0,'Données projet'!$E$12+1,1))-AVERAGE(OFFSET($H$3,0,0,'Données projet'!$E$12+1,1))</f>
        <v>180.90147430936133</v>
      </c>
      <c r="CE9" s="59">
        <f t="shared" si="40"/>
        <v>226.87949199830018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projet'!$B$12,Paramètres!$A$1:$I$88,7,0))</f>
        <v>0</v>
      </c>
      <c r="CI9" s="16">
        <f>IF(ISNA(VLOOKUP(A9,'Données projet'!$A$113:$I$133,6,0)),0%,VLOOKUP(A9,'Données projet'!$A$113:$I$133,6,0)*VLOOKUP('Données projet'!$B$12,Paramètres!$A$1:$I$88,7,0))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projet'!$B$12,Paramètres!$A$1:$I$88,3,0)*0.475*44/12</f>
        <v>0</v>
      </c>
      <c r="CL9" s="21">
        <f>EXP(-LN(2)/25)*CL8+(1-EXP(-LN(2)/25))/(LN(2)/25)*Calculateur!CG9*Calculateur!CI9*VLOOKUP('Données projet'!$B$12,Paramètres!$A$1:$I$88,3,0)*0.475*44/12</f>
        <v>0</v>
      </c>
      <c r="CM9" s="21">
        <f>EXP(-LN(2)/2)*CM8+(1-EXP(-LN(2)/2))/(LN(2)/2)*CG9*CJ9*VLOOKUP('Données projet'!$B$12,Paramètres!$A$1:$I$88,3,0)*0.475*44/12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5.2</v>
      </c>
      <c r="CT9" s="12">
        <f>IF('Données projet'!$A$140&gt;35,CT8+CS9-DB8,IF(A9&lt;'Données projet'!$A$140,$CQ$205^A9,IF(A9='Données projet'!$A$140,'Données projet'!$B$140,CT8+CS9-DB8)))</f>
        <v>10.705377990665911</v>
      </c>
      <c r="CU9" s="17">
        <f>CT9*VLOOKUP('Données projet'!$B$13,Paramètres!$A$1:$I$88,3,0)*VLOOKUP('Données projet'!$B$13,Paramètres!$A$1:$I$88,5,0)</f>
        <v>5.4443270309330556</v>
      </c>
      <c r="CV9" s="13">
        <f t="shared" si="41"/>
        <v>2.0598346718077152</v>
      </c>
      <c r="CW9" s="20">
        <f t="shared" si="13"/>
        <v>13.069748298940175</v>
      </c>
      <c r="CX9" s="59">
        <f t="shared" si="14"/>
        <v>277.06974829894017</v>
      </c>
      <c r="CY9" s="59">
        <f ca="1">AVERAGE(OFFSET($CX$3,0,0,'Données projet'!$E$13+1,1))-AVERAGE(OFFSET($H$3,0,0,'Données projet'!$E$13+1,1))</f>
        <v>133.08385802816008</v>
      </c>
      <c r="CZ9" s="59">
        <f t="shared" si="42"/>
        <v>316.59112511251385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projet'!$B$13,Paramètres!$A$1:$I$88,7,0))</f>
        <v>0</v>
      </c>
      <c r="DD9" s="16">
        <f>IF(ISNA(VLOOKUP(A9,'Données projet'!$A$139:$I$159,6,0)),0%,VLOOKUP(A9,'Données projet'!$A$139:$I$159,6,0)*VLOOKUP('Données projet'!$B$13,Paramètres!$A$1:$I$88,7,0))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projet'!$B$13,Paramètres!$A$1:$I$88,3,0)*0.475*44/12</f>
        <v>0</v>
      </c>
      <c r="DG9" s="21">
        <f>EXP(-LN(2)/25)*DG8+(1-EXP(-LN(2)/25))/(LN(2)/25)*Calculateur!DB9*Calculateur!DD9*VLOOKUP('Données projet'!$B$13,Paramètres!$A$1:$I$88,3,0)*0.475*44/12</f>
        <v>0</v>
      </c>
      <c r="DH9" s="21">
        <f>EXP(-LN(2)/2)*DH8+(1-EXP(-LN(2)/2))/(LN(2)/2)*DB9*DE9*VLOOKUP('Données projet'!$B$13,Paramètres!$A$1:$I$88,3,0)*0.475*44/12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projet'!$B$14,Paramètres!$A$1:$I$88,3,0)*VLOOKUP('Données projet'!$B$14,Paramètres!$A$1:$I$88,5,0)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projet'!$B$14,Paramètres!$A$1:$I$88,7,0))</f>
        <v>0</v>
      </c>
      <c r="DY9" s="16">
        <f>IF(ISNA(VLOOKUP(A9,'Données projet'!$A$165:$I$185,6,0)),0%,VLOOKUP(A9,'Données projet'!$A$165:$I$185,6,0)*VLOOKUP('Données projet'!$B$14,Paramètres!$A$1:$I$88,7,0))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projet'!$B$14,Paramètres!$A$1:$I$88,3,0)*0.475*44/12</f>
        <v>#N/A</v>
      </c>
      <c r="EB9" s="21" t="e">
        <f>EXP(-LN(2)/25)*EB8+(1-EXP(-LN(2)/25))/(LN(2)/25)*Calculateur!DW9*Calculateur!DY9*VLOOKUP('Données projet'!$B$14,Paramètres!$A$1:$I$88,3,0)*0.475*44/12</f>
        <v>#N/A</v>
      </c>
      <c r="EC9" s="21" t="e">
        <f>EXP(-LN(2)/2)*EC8+(1-EXP(-LN(2)/2))/(LN(2)/2)*DW9*DZ9*VLOOKUP('Données projet'!$B$14,Paramètres!$A$1:$I$88,3,0)*0.475*44/12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projet'!$B$15,Paramètres!$A$1:$I$88,3,0)*VLOOKUP('Données projet'!$B$15,Paramètres!$A$1:$I$88,5,0)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projet'!$B$15,Paramètres!$A$1:$I$88,7,0))</f>
        <v>0</v>
      </c>
      <c r="ET9" s="16">
        <f>IF(ISNA(VLOOKUP(A9,'Données projet'!$A$191:$I$211,6,0)),0%,VLOOKUP(A9,'Données projet'!$A$191:$I$211,6,0)*VLOOKUP('Données projet'!$B$15,Paramètres!$A$1:$I$88,7,0))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projet'!$B$15,Paramètres!$A$1:$I$88,3,0)*0.475*44/12</f>
        <v>#N/A</v>
      </c>
      <c r="EW9" s="21" t="e">
        <f>EXP(-LN(2)/25)*EW8+(1-EXP(-LN(2)/25))/(LN(2)/25)*Calculateur!ER9*Calculateur!ET9*VLOOKUP('Données projet'!$B$15,Paramètres!$A$1:$I$88,3,0)*0.475*44/12</f>
        <v>#N/A</v>
      </c>
      <c r="EX9" s="21" t="e">
        <f>EXP(-LN(2)/2)*EX8+(1-EXP(-LN(2)/2))/(LN(2)/2)*ER9*EU9*VLOOKUP('Données projet'!$B$15,Paramètres!$A$1:$I$88,3,0)*0.475*44/12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projet'!$B$16,Paramètres!$A$1:$I$88,3,0)*VLOOKUP('Données projet'!$B$16,Paramètres!$A$1:$I$88,5,0)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projet'!$B$16,Paramètres!$A$1:$I$88,7,0))</f>
        <v>0</v>
      </c>
      <c r="FO9" s="16">
        <f>IF(ISNA(VLOOKUP(A9,'Données projet'!$A$217:$I$237,6,0)),0%,VLOOKUP(A9,'Données projet'!$A$217:$I$237,6,0)*VLOOKUP('Données projet'!$B$16,Paramètres!$A$1:$I$88,7,0))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projet'!$B$16,Paramètres!$A$1:$I$88,3,0)*0.475*44/12</f>
        <v>#N/A</v>
      </c>
      <c r="FR9" s="21" t="e">
        <f>EXP(-LN(2)/25)*FR8+(1-EXP(-LN(2)/25))/(LN(2)/25)*Calculateur!FM9*Calculateur!FO9*VLOOKUP('Données projet'!$B$16,Paramètres!$A$1:$I$88,3,0)*0.475*44/12</f>
        <v>#N/A</v>
      </c>
      <c r="FS9" s="21" t="e">
        <f>EXP(-LN(2)/2)*FS8+(1-EXP(-LN(2)/2))/(LN(2)/2)*FM9*FP9*VLOOKUP('Données projet'!$B$16,Paramètres!$A$1:$I$88,3,0)*0.475*44/12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projet'!$B$17,Paramètres!$A$1:$I$88,3,0)*VLOOKUP('Données projet'!$B$17,Paramètres!$A$1:$I$88,5,0)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projet'!$B$17,Paramètres!$A$1:$I$88,7,0))</f>
        <v>0</v>
      </c>
      <c r="GJ9" s="16">
        <f>IF(ISNA(VLOOKUP(A9,'Données projet'!$A$243:$I$263,6,0)),0%,VLOOKUP(A9,'Données projet'!$A$243:$I$263,6,0)*VLOOKUP('Données projet'!$B$17,Paramètres!$A$1:$I$88,7,0))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projet'!$B$17,Paramètres!$A$1:$I$88,3,0)*0.475*44/12</f>
        <v>#N/A</v>
      </c>
      <c r="GM9" s="21" t="e">
        <f>EXP(-LN(2)/25)*GM8+(1-EXP(-LN(2)/25))/(LN(2)/25)*Calculateur!GH9*Calculateur!GJ9*VLOOKUP('Données projet'!$B$17,Paramètres!$A$1:$I$88,3,0)*0.475*44/12</f>
        <v>#N/A</v>
      </c>
      <c r="GN9" s="21" t="e">
        <f>EXP(-LN(2)/2)*GN8+(1-EXP(-LN(2)/2))/(LN(2)/2)*GH9*GK9*VLOOKUP('Données projet'!$B$17,Paramètres!$A$1:$I$88,3,0)*0.475*44/12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projet'!$B$18,Paramètres!$A$1:$I$88,3,0)*VLOOKUP('Données projet'!$B$18,Paramètres!$A$1:$I$88,5,0)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projet'!$B$18,Paramètres!$A$1:$I$88,7,0))</f>
        <v>0</v>
      </c>
      <c r="HE9" s="16">
        <f>IF(ISNA(VLOOKUP(A9,'Données projet'!$A$269:$I$289,6,0)),0%,VLOOKUP(A9,'Données projet'!$A$269:$I$289,6,0)*VLOOKUP('Données projet'!$B$18,Paramètres!$A$1:$I$88,7,0))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projet'!$B$18,Paramètres!$A$1:$I$88,3,0)*0.475*44/12</f>
        <v>#N/A</v>
      </c>
      <c r="HH9" s="21" t="e">
        <f>EXP(-LN(2)/25)*HH8+(1-EXP(-LN(2)/25))/(LN(2)/25)*Calculateur!HC9*Calculateur!HE9*VLOOKUP('Données projet'!$B$18,Paramètres!$A$1:$I$88,3,0)*0.475*44/12</f>
        <v>#N/A</v>
      </c>
      <c r="HI9" s="21" t="e">
        <f>EXP(-LN(2)/2)*HI8+(1-EXP(-LN(2)/2))/(LN(2)/2)*HC9*HF9*VLOOKUP('Données projet'!$B$18,Paramètres!$A$1:$I$88,3,0)*0.475*44/12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</v>
      </c>
      <c r="N10" s="13">
        <f>IF('Données projet'!$A$36&gt;35,N9+M10-V9,IF(A10&lt;'Données projet'!$A$36,$K$205^A10,IF(A10='Données projet'!$A$36,'Données projet'!$B$36,N9+M10-V9)))</f>
        <v>8.0880369275836674</v>
      </c>
      <c r="O10" s="13">
        <f>N10*VLOOKUP('Données projet'!$B$9,Paramètres!$A$1:$I$88,3,0)*VLOOKUP('Données projet'!$B$9,Paramètres!$A$1:$I$88,5,0)</f>
        <v>4.836646082695033</v>
      </c>
      <c r="P10" s="13">
        <f t="shared" si="33"/>
        <v>1.8553054344470195</v>
      </c>
      <c r="Q10" s="20">
        <f t="shared" si="2"/>
        <v>11.65514889235574</v>
      </c>
      <c r="R10" s="59">
        <f t="shared" si="0"/>
        <v>276.87737111457795</v>
      </c>
      <c r="S10" s="59">
        <f ca="1">AVERAGE(OFFSET($R$3,0,0,'Données projet'!$E$9+1,1))-AVERAGE(OFFSET($H$3,0,0,'Données projet'!$E$9+1,1))</f>
        <v>195.73441209602686</v>
      </c>
      <c r="T10" s="59">
        <f t="shared" si="34"/>
        <v>219.19129224309006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projet'!$B$9,Paramètres!$A$1:$I$88,7,0))</f>
        <v>0</v>
      </c>
      <c r="X10" s="16">
        <f>IF(ISNA(VLOOKUP(A10,'Données projet'!$A$35:$I$55,6,0)),0%,VLOOKUP(A10,'Données projet'!$A$35:$I$55,6,0)*VLOOKUP('Données projet'!$B$9,Paramètres!$A$1:$I$88,7,0))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projet'!$B$9,Paramètres!$A$1:$I$88,3,0)*0.475*44/12</f>
        <v>0</v>
      </c>
      <c r="AA10" s="21">
        <f>EXP(-LN(2)/25)*AA9+(1-EXP(-LN(2)/25))/(LN(2)/25)*Calculateur!V10*Calculateur!X10*VLOOKUP('Données projet'!$B$9,Paramètres!$A$1:$I$88,3,0)*0.475*44/12</f>
        <v>0</v>
      </c>
      <c r="AB10" s="21">
        <f>EXP(-LN(2)/2)*AB9+(1-EXP(-LN(2)/2))/(LN(2)/2)*V10*Y10*VLOOKUP('Données projet'!$B$9,Paramètres!$A$1:$I$88,3,0)*0.475*44/12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4.55</v>
      </c>
      <c r="AI10" s="13">
        <f>IF('Données projet'!$A$62&gt;35,AI9+AH10-AQ9,IF(A10&lt;'Données projet'!$A$62,$AF$205^A10,IF(A10='Données projet'!$A$62,'Données projet'!$B$62,AI9+AH10-AQ9)))</f>
        <v>4.8491373700313813</v>
      </c>
      <c r="AJ10" s="13">
        <f>AI10*VLOOKUP('Données projet'!$B$10,Paramètres!$A$1:$I$88,3,0)*VLOOKUP('Données projet'!$B$10,Paramètres!$A$1:$I$88,5,0)</f>
        <v>2.8997841472787664</v>
      </c>
      <c r="AK10" s="13">
        <f t="shared" si="35"/>
        <v>1.1805880203273573</v>
      </c>
      <c r="AL10" s="20">
        <f t="shared" si="4"/>
        <v>7.1066481919139983</v>
      </c>
      <c r="AM10" s="59">
        <f t="shared" si="5"/>
        <v>272.32887041413625</v>
      </c>
      <c r="AN10" s="59">
        <f ca="1">AVERAGE(OFFSET($AM$3,0,0,'Données projet'!$E$10+1,1))-AVERAGE(OFFSET($H$3,0,0,'Données projet'!$E$10+1,1))</f>
        <v>246.59447135626942</v>
      </c>
      <c r="AO10" s="59">
        <f t="shared" si="36"/>
        <v>262.00382544285367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projet'!$B$10,Paramètres!$A$1:$I$88,7,0))</f>
        <v>0</v>
      </c>
      <c r="AS10" s="16">
        <f>IF(ISNA(VLOOKUP(A10,'Données projet'!$A$61:$I$81,6,0)),0%,VLOOKUP(A10,'Données projet'!$A$61:$I$81,6,0)*VLOOKUP('Données projet'!$B$10,Paramètres!$A$1:$I$88,7,0))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projet'!$B$10,Paramètres!$A$1:$I$88,3,0)*0.475*44/12</f>
        <v>0</v>
      </c>
      <c r="AV10" s="21">
        <f>EXP(-LN(2)/25)*AV9+(1-EXP(-LN(2)/25))/(LN(2)/25)*Calculateur!AQ10*Calculateur!AS10*VLOOKUP('Données projet'!$B$10,Paramètres!$A$1:$I$88,3,0)*0.475*44/12</f>
        <v>0</v>
      </c>
      <c r="AW10" s="21">
        <f>EXP(-LN(2)/2)*AW9+(1-EXP(-LN(2)/2))/(LN(2)/2)*AQ10*AT10*VLOOKUP('Données projet'!$B$10,Paramètres!$A$1:$I$88,3,0)*0.475*44/12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1.2</v>
      </c>
      <c r="BD10" s="12">
        <f>IF('Données projet'!$A$88&gt;35,BD9+BC10-BL9,IF(A10&lt;'Données projet'!$A$88,$BA$205^A10,IF(A10='Données projet'!$A$88,'Données projet'!$B$88,BD9+BC10-BL9)))</f>
        <v>5.6941233675162577</v>
      </c>
      <c r="BE10" s="13">
        <f>BD10*VLOOKUP('Données projet'!$B$11,Paramètres!$A$1:$I$88,3,0)*VLOOKUP('Données projet'!$B$11,Paramètres!$A$1:$I$88,5,0)</f>
        <v>3.1830149624415882</v>
      </c>
      <c r="BF10" s="13">
        <f t="shared" si="37"/>
        <v>1.2819182270325931</v>
      </c>
      <c r="BG10" s="20">
        <f t="shared" si="7"/>
        <v>7.776425305000866</v>
      </c>
      <c r="BH10" s="59">
        <f t="shared" si="8"/>
        <v>272.99864752722311</v>
      </c>
      <c r="BI10" s="59">
        <f ca="1">AVERAGE(OFFSET($BH$3,0,0,'Données projet'!$E$11+1,1))-AVERAGE(OFFSET($H$3,0,0,'Données projet'!$E$11+1,1))</f>
        <v>355.96253323046608</v>
      </c>
      <c r="BJ10" s="59">
        <f t="shared" si="38"/>
        <v>366.8380442809696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projet'!$B$11,Paramètres!$A$1:$I$88,7,0))</f>
        <v>0</v>
      </c>
      <c r="BN10" s="16">
        <f>IF(ISNA(VLOOKUP(A10,'Données projet'!$A$87:$I$107,6,0)),0%,VLOOKUP(A10,'Données projet'!$A$87:$I$107,6,0)*VLOOKUP('Données projet'!$B$11,Paramètres!$A$1:$I$88,7,0))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projet'!$B$11,Paramètres!$A$1:$I$88,3,0)*0.475*44/12</f>
        <v>0</v>
      </c>
      <c r="BQ10" s="21">
        <f>EXP(-LN(2)/25)*BQ9+(1-EXP(-LN(2)/25))/(LN(2)/25)*Calculateur!BL10*Calculateur!BN10*VLOOKUP('Données projet'!$B$11,Paramètres!$A$1:$I$88,3,0)*0.475*44/12</f>
        <v>0</v>
      </c>
      <c r="BR10" s="21">
        <f>EXP(-LN(2)/2)*BR9+(1-EXP(-LN(2)/2))/(LN(2)/2)*BL10*BO10*VLOOKUP('Données projet'!$B$11,Paramètres!$A$1:$I$88,3,0)*0.475*44/12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4.75</v>
      </c>
      <c r="BY10" s="12">
        <f>IF('Données projet'!$A$114&gt;35,BY9+BX10-CG9,IF(A10&lt;'Données projet'!$A$114,$BV$205^A10,IF(A10='Données projet'!$A$114,'Données projet'!$B$114,BY9+BX10-CG9)))</f>
        <v>4.9226987771675601</v>
      </c>
      <c r="BZ10" s="13">
        <f>BY10*VLOOKUP('Données projet'!$B$12,Paramètres!$A$1:$I$88,3,0)*VLOOKUP('Données projet'!$B$12,Paramètres!$A$1:$I$88,5,0)</f>
        <v>3.2253522388001854</v>
      </c>
      <c r="CA10" s="13">
        <f t="shared" si="39"/>
        <v>1.2969727012969099</v>
      </c>
      <c r="CB10" s="20">
        <f t="shared" si="10"/>
        <v>7.8763826040024405</v>
      </c>
      <c r="CC10" s="59">
        <f t="shared" si="11"/>
        <v>273.09860482622469</v>
      </c>
      <c r="CD10" s="59">
        <f ca="1">AVERAGE(OFFSET($CC$3,0,0,'Données projet'!$E$12+1,1))-AVERAGE(OFFSET($H$3,0,0,'Données projet'!$E$12+1,1))</f>
        <v>180.90147430936133</v>
      </c>
      <c r="CE10" s="59">
        <f t="shared" si="40"/>
        <v>226.87949199830018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projet'!$B$12,Paramètres!$A$1:$I$88,7,0))</f>
        <v>0</v>
      </c>
      <c r="CI10" s="16">
        <f>IF(ISNA(VLOOKUP(A10,'Données projet'!$A$113:$I$133,6,0)),0%,VLOOKUP(A10,'Données projet'!$A$113:$I$133,6,0)*VLOOKUP('Données projet'!$B$12,Paramètres!$A$1:$I$88,7,0))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projet'!$B$12,Paramètres!$A$1:$I$88,3,0)*0.475*44/12</f>
        <v>0</v>
      </c>
      <c r="CL10" s="21">
        <f>EXP(-LN(2)/25)*CL9+(1-EXP(-LN(2)/25))/(LN(2)/25)*Calculateur!CG10*Calculateur!CI10*VLOOKUP('Données projet'!$B$12,Paramètres!$A$1:$I$88,3,0)*0.475*44/12</f>
        <v>0</v>
      </c>
      <c r="CM10" s="21">
        <f>EXP(-LN(2)/2)*CM9+(1-EXP(-LN(2)/2))/(LN(2)/2)*CG10*CJ10*VLOOKUP('Données projet'!$B$12,Paramètres!$A$1:$I$88,3,0)*0.475*44/12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5.2</v>
      </c>
      <c r="CT10" s="12">
        <f>IF('Données projet'!$A$140&gt;35,CT9+CS10-DB9,IF(A10&lt;'Données projet'!$A$140,$CQ$205^A10,IF(A10='Données projet'!$A$140,'Données projet'!$B$140,CT9+CS10-DB9)))</f>
        <v>15.892870350080623</v>
      </c>
      <c r="CU10" s="17">
        <f>CT10*VLOOKUP('Données projet'!$B$13,Paramètres!$A$1:$I$88,3,0)*VLOOKUP('Données projet'!$B$13,Paramètres!$A$1:$I$88,5,0)</f>
        <v>8.0824781452370029</v>
      </c>
      <c r="CV10" s="13">
        <f t="shared" si="41"/>
        <v>2.9205081296680855</v>
      </c>
      <c r="CW10" s="20">
        <f t="shared" si="13"/>
        <v>19.163534428793028</v>
      </c>
      <c r="CX10" s="59">
        <f t="shared" si="14"/>
        <v>284.38575665101524</v>
      </c>
      <c r="CY10" s="59">
        <f ca="1">AVERAGE(OFFSET($CX$3,0,0,'Données projet'!$E$13+1,1))-AVERAGE(OFFSET($H$3,0,0,'Données projet'!$E$13+1,1))</f>
        <v>133.08385802816008</v>
      </c>
      <c r="CZ10" s="59">
        <f t="shared" si="42"/>
        <v>316.59112511251385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projet'!$B$13,Paramètres!$A$1:$I$88,7,0))</f>
        <v>0</v>
      </c>
      <c r="DD10" s="16">
        <f>IF(ISNA(VLOOKUP(A10,'Données projet'!$A$139:$I$159,6,0)),0%,VLOOKUP(A10,'Données projet'!$A$139:$I$159,6,0)*VLOOKUP('Données projet'!$B$13,Paramètres!$A$1:$I$88,7,0))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projet'!$B$13,Paramètres!$A$1:$I$88,3,0)*0.475*44/12</f>
        <v>0</v>
      </c>
      <c r="DG10" s="21">
        <f>EXP(-LN(2)/25)*DG9+(1-EXP(-LN(2)/25))/(LN(2)/25)*Calculateur!DB10*Calculateur!DD10*VLOOKUP('Données projet'!$B$13,Paramètres!$A$1:$I$88,3,0)*0.475*44/12</f>
        <v>0</v>
      </c>
      <c r="DH10" s="21">
        <f>EXP(-LN(2)/2)*DH9+(1-EXP(-LN(2)/2))/(LN(2)/2)*DB10*DE10*VLOOKUP('Données projet'!$B$13,Paramètres!$A$1:$I$88,3,0)*0.475*44/12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projet'!$B$14,Paramètres!$A$1:$I$88,3,0)*VLOOKUP('Données projet'!$B$14,Paramètres!$A$1:$I$88,5,0)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projet'!$B$14,Paramètres!$A$1:$I$88,7,0))</f>
        <v>0</v>
      </c>
      <c r="DY10" s="16">
        <f>IF(ISNA(VLOOKUP(A10,'Données projet'!$A$165:$I$185,6,0)),0%,VLOOKUP(A10,'Données projet'!$A$165:$I$185,6,0)*VLOOKUP('Données projet'!$B$14,Paramètres!$A$1:$I$88,7,0))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projet'!$B$14,Paramètres!$A$1:$I$88,3,0)*0.475*44/12</f>
        <v>#N/A</v>
      </c>
      <c r="EB10" s="21" t="e">
        <f>EXP(-LN(2)/25)*EB9+(1-EXP(-LN(2)/25))/(LN(2)/25)*Calculateur!DW10*Calculateur!DY10*VLOOKUP('Données projet'!$B$14,Paramètres!$A$1:$I$88,3,0)*0.475*44/12</f>
        <v>#N/A</v>
      </c>
      <c r="EC10" s="21" t="e">
        <f>EXP(-LN(2)/2)*EC9+(1-EXP(-LN(2)/2))/(LN(2)/2)*DW10*DZ10*VLOOKUP('Données projet'!$B$14,Paramètres!$A$1:$I$88,3,0)*0.475*44/12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projet'!$B$15,Paramètres!$A$1:$I$88,3,0)*VLOOKUP('Données projet'!$B$15,Paramètres!$A$1:$I$88,5,0)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projet'!$B$15,Paramètres!$A$1:$I$88,7,0))</f>
        <v>0</v>
      </c>
      <c r="ET10" s="16">
        <f>IF(ISNA(VLOOKUP(A10,'Données projet'!$A$191:$I$211,6,0)),0%,VLOOKUP(A10,'Données projet'!$A$191:$I$211,6,0)*VLOOKUP('Données projet'!$B$15,Paramètres!$A$1:$I$88,7,0))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projet'!$B$15,Paramètres!$A$1:$I$88,3,0)*0.475*44/12</f>
        <v>#N/A</v>
      </c>
      <c r="EW10" s="21" t="e">
        <f>EXP(-LN(2)/25)*EW9+(1-EXP(-LN(2)/25))/(LN(2)/25)*Calculateur!ER10*Calculateur!ET10*VLOOKUP('Données projet'!$B$15,Paramètres!$A$1:$I$88,3,0)*0.475*44/12</f>
        <v>#N/A</v>
      </c>
      <c r="EX10" s="21" t="e">
        <f>EXP(-LN(2)/2)*EX9+(1-EXP(-LN(2)/2))/(LN(2)/2)*ER10*EU10*VLOOKUP('Données projet'!$B$15,Paramètres!$A$1:$I$88,3,0)*0.475*44/12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projet'!$B$16,Paramètres!$A$1:$I$88,3,0)*VLOOKUP('Données projet'!$B$16,Paramètres!$A$1:$I$88,5,0)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projet'!$B$16,Paramètres!$A$1:$I$88,7,0))</f>
        <v>0</v>
      </c>
      <c r="FO10" s="16">
        <f>IF(ISNA(VLOOKUP(A10,'Données projet'!$A$217:$I$237,6,0)),0%,VLOOKUP(A10,'Données projet'!$A$217:$I$237,6,0)*VLOOKUP('Données projet'!$B$16,Paramètres!$A$1:$I$88,7,0))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projet'!$B$16,Paramètres!$A$1:$I$88,3,0)*0.475*44/12</f>
        <v>#N/A</v>
      </c>
      <c r="FR10" s="21" t="e">
        <f>EXP(-LN(2)/25)*FR9+(1-EXP(-LN(2)/25))/(LN(2)/25)*Calculateur!FM10*Calculateur!FO10*VLOOKUP('Données projet'!$B$16,Paramètres!$A$1:$I$88,3,0)*0.475*44/12</f>
        <v>#N/A</v>
      </c>
      <c r="FS10" s="21" t="e">
        <f>EXP(-LN(2)/2)*FS9+(1-EXP(-LN(2)/2))/(LN(2)/2)*FM10*FP10*VLOOKUP('Données projet'!$B$16,Paramètres!$A$1:$I$88,3,0)*0.475*44/12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projet'!$B$17,Paramètres!$A$1:$I$88,3,0)*VLOOKUP('Données projet'!$B$17,Paramètres!$A$1:$I$88,5,0)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projet'!$B$17,Paramètres!$A$1:$I$88,7,0))</f>
        <v>0</v>
      </c>
      <c r="GJ10" s="16">
        <f>IF(ISNA(VLOOKUP(A10,'Données projet'!$A$243:$I$263,6,0)),0%,VLOOKUP(A10,'Données projet'!$A$243:$I$263,6,0)*VLOOKUP('Données projet'!$B$17,Paramètres!$A$1:$I$88,7,0))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projet'!$B$17,Paramètres!$A$1:$I$88,3,0)*0.475*44/12</f>
        <v>#N/A</v>
      </c>
      <c r="GM10" s="21" t="e">
        <f>EXP(-LN(2)/25)*GM9+(1-EXP(-LN(2)/25))/(LN(2)/25)*Calculateur!GH10*Calculateur!GJ10*VLOOKUP('Données projet'!$B$17,Paramètres!$A$1:$I$88,3,0)*0.475*44/12</f>
        <v>#N/A</v>
      </c>
      <c r="GN10" s="21" t="e">
        <f>EXP(-LN(2)/2)*GN9+(1-EXP(-LN(2)/2))/(LN(2)/2)*GH10*GK10*VLOOKUP('Données projet'!$B$17,Paramètres!$A$1:$I$88,3,0)*0.475*44/12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projet'!$B$18,Paramètres!$A$1:$I$88,3,0)*VLOOKUP('Données projet'!$B$18,Paramètres!$A$1:$I$88,5,0)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projet'!$B$18,Paramètres!$A$1:$I$88,7,0))</f>
        <v>0</v>
      </c>
      <c r="HE10" s="16">
        <f>IF(ISNA(VLOOKUP(A10,'Données projet'!$A$269:$I$289,6,0)),0%,VLOOKUP(A10,'Données projet'!$A$269:$I$289,6,0)*VLOOKUP('Données projet'!$B$18,Paramètres!$A$1:$I$88,7,0))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projet'!$B$18,Paramètres!$A$1:$I$88,3,0)*0.475*44/12</f>
        <v>#N/A</v>
      </c>
      <c r="HH10" s="21" t="e">
        <f>EXP(-LN(2)/25)*HH9+(1-EXP(-LN(2)/25))/(LN(2)/25)*Calculateur!HC10*Calculateur!HE10*VLOOKUP('Données projet'!$B$18,Paramètres!$A$1:$I$88,3,0)*0.475*44/12</f>
        <v>#N/A</v>
      </c>
      <c r="HI10" s="21" t="e">
        <f>EXP(-LN(2)/2)*HI9+(1-EXP(-LN(2)/2))/(LN(2)/2)*HC10*HF10*VLOOKUP('Données projet'!$B$18,Paramètres!$A$1:$I$88,3,0)*0.475*44/12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</v>
      </c>
      <c r="N11" s="13">
        <f>IF('Données projet'!$A$36&gt;35,N10+M11-V10,IF(A11&lt;'Données projet'!$A$36,$K$205^A11,IF(A11='Données projet'!$A$36,'Données projet'!$B$36,N10+M11-V10)))</f>
        <v>10.902723556992838</v>
      </c>
      <c r="O11" s="13">
        <f>N11*VLOOKUP('Données projet'!$B$9,Paramètres!$A$1:$I$88,3,0)*VLOOKUP('Données projet'!$B$9,Paramètres!$A$1:$I$88,5,0)</f>
        <v>6.5198286870817181</v>
      </c>
      <c r="P11" s="13">
        <f t="shared" si="33"/>
        <v>2.4155228910363733</v>
      </c>
      <c r="Q11" s="20">
        <f t="shared" si="2"/>
        <v>15.562403998555673</v>
      </c>
      <c r="R11" s="59">
        <f t="shared" si="0"/>
        <v>282.00684844300014</v>
      </c>
      <c r="S11" s="59">
        <f ca="1">AVERAGE(OFFSET($R$3,0,0,'Données projet'!$E$9+1,1))-AVERAGE(OFFSET($H$3,0,0,'Données projet'!$E$9+1,1))</f>
        <v>195.73441209602686</v>
      </c>
      <c r="T11" s="59">
        <f t="shared" si="34"/>
        <v>219.19129224309006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projet'!$B$9,Paramètres!$A$1:$I$88,7,0))</f>
        <v>0</v>
      </c>
      <c r="X11" s="16">
        <f>IF(ISNA(VLOOKUP(A11,'Données projet'!$A$35:$I$55,6,0)),0%,VLOOKUP(A11,'Données projet'!$A$35:$I$55,6,0)*VLOOKUP('Données projet'!$B$9,Paramètres!$A$1:$I$88,7,0))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projet'!$B$9,Paramètres!$A$1:$I$88,3,0)*0.475*44/12</f>
        <v>0</v>
      </c>
      <c r="AA11" s="21">
        <f>EXP(-LN(2)/25)*AA10+(1-EXP(-LN(2)/25))/(LN(2)/25)*Calculateur!V11*Calculateur!X11*VLOOKUP('Données projet'!$B$9,Paramètres!$A$1:$I$88,3,0)*0.475*44/12</f>
        <v>0</v>
      </c>
      <c r="AB11" s="21">
        <f>EXP(-LN(2)/2)*AB10+(1-EXP(-LN(2)/2))/(LN(2)/2)*V11*Y11*VLOOKUP('Données projet'!$B$9,Paramètres!$A$1:$I$88,3,0)*0.475*44/12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4.55</v>
      </c>
      <c r="AI11" s="13">
        <f>IF('Données projet'!$A$62&gt;35,AI10+AH11-AQ10,IF(A11&lt;'Données projet'!$A$62,$AF$205^A11,IF(A11='Données projet'!$A$62,'Données projet'!$B$62,AI10+AH11-AQ10)))</f>
        <v>6.0759830958211616</v>
      </c>
      <c r="AJ11" s="13">
        <f>AI11*VLOOKUP('Données projet'!$B$10,Paramètres!$A$1:$I$88,3,0)*VLOOKUP('Données projet'!$B$10,Paramètres!$A$1:$I$88,5,0)</f>
        <v>3.633437891301055</v>
      </c>
      <c r="AK11" s="13">
        <f t="shared" si="35"/>
        <v>1.4409496993838373</v>
      </c>
      <c r="AL11" s="20">
        <f t="shared" si="4"/>
        <v>8.8378917204428529</v>
      </c>
      <c r="AM11" s="59">
        <f t="shared" si="5"/>
        <v>275.28233616488728</v>
      </c>
      <c r="AN11" s="59">
        <f ca="1">AVERAGE(OFFSET($AM$3,0,0,'Données projet'!$E$10+1,1))-AVERAGE(OFFSET($H$3,0,0,'Données projet'!$E$10+1,1))</f>
        <v>246.59447135626942</v>
      </c>
      <c r="AO11" s="59">
        <f t="shared" si="36"/>
        <v>262.00382544285367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projet'!$B$10,Paramètres!$A$1:$I$88,7,0))</f>
        <v>0</v>
      </c>
      <c r="AS11" s="16">
        <f>IF(ISNA(VLOOKUP(A11,'Données projet'!$A$61:$I$81,6,0)),0%,VLOOKUP(A11,'Données projet'!$A$61:$I$81,6,0)*VLOOKUP('Données projet'!$B$10,Paramètres!$A$1:$I$88,7,0))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projet'!$B$10,Paramètres!$A$1:$I$88,3,0)*0.475*44/12</f>
        <v>0</v>
      </c>
      <c r="AV11" s="21">
        <f>EXP(-LN(2)/25)*AV10+(1-EXP(-LN(2)/25))/(LN(2)/25)*Calculateur!AQ11*Calculateur!AS11*VLOOKUP('Données projet'!$B$10,Paramètres!$A$1:$I$88,3,0)*0.475*44/12</f>
        <v>0</v>
      </c>
      <c r="AW11" s="21">
        <f>EXP(-LN(2)/2)*AW10+(1-EXP(-LN(2)/2))/(LN(2)/2)*AQ11*AT11*VLOOKUP('Données projet'!$B$10,Paramètres!$A$1:$I$88,3,0)*0.475*44/12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1.2</v>
      </c>
      <c r="BD11" s="12">
        <f>IF('Données projet'!$A$88&gt;35,BD10+BC11-BL10,IF(A11&lt;'Données projet'!$A$88,$BA$205^A11,IF(A11='Données projet'!$A$88,'Données projet'!$B$88,BD10+BC11-BL10)))</f>
        <v>7.3003721027184652</v>
      </c>
      <c r="BE11" s="13">
        <f>BD11*VLOOKUP('Données projet'!$B$11,Paramètres!$A$1:$I$88,3,0)*VLOOKUP('Données projet'!$B$11,Paramètres!$A$1:$I$88,5,0)</f>
        <v>4.0809080054196221</v>
      </c>
      <c r="BF11" s="13">
        <f t="shared" si="37"/>
        <v>1.5966759270706423</v>
      </c>
      <c r="BG11" s="20">
        <f t="shared" si="7"/>
        <v>9.8884586824205432</v>
      </c>
      <c r="BH11" s="59">
        <f t="shared" si="8"/>
        <v>276.33290312686501</v>
      </c>
      <c r="BI11" s="59">
        <f ca="1">AVERAGE(OFFSET($BH$3,0,0,'Données projet'!$E$11+1,1))-AVERAGE(OFFSET($H$3,0,0,'Données projet'!$E$11+1,1))</f>
        <v>355.96253323046608</v>
      </c>
      <c r="BJ11" s="59">
        <f t="shared" si="38"/>
        <v>366.8380442809696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projet'!$B$11,Paramètres!$A$1:$I$88,7,0))</f>
        <v>0</v>
      </c>
      <c r="BN11" s="16">
        <f>IF(ISNA(VLOOKUP(A11,'Données projet'!$A$87:$I$107,6,0)),0%,VLOOKUP(A11,'Données projet'!$A$87:$I$107,6,0)*VLOOKUP('Données projet'!$B$11,Paramètres!$A$1:$I$88,7,0))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projet'!$B$11,Paramètres!$A$1:$I$88,3,0)*0.475*44/12</f>
        <v>0</v>
      </c>
      <c r="BQ11" s="21">
        <f>EXP(-LN(2)/25)*BQ10+(1-EXP(-LN(2)/25))/(LN(2)/25)*Calculateur!BL11*Calculateur!BN11*VLOOKUP('Données projet'!$B$11,Paramètres!$A$1:$I$88,3,0)*0.475*44/12</f>
        <v>0</v>
      </c>
      <c r="BR11" s="21">
        <f>EXP(-LN(2)/2)*BR10+(1-EXP(-LN(2)/2))/(LN(2)/2)*BL11*BO11*VLOOKUP('Données projet'!$B$11,Paramètres!$A$1:$I$88,3,0)*0.475*44/12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4.75</v>
      </c>
      <c r="BY11" s="12">
        <f>IF('Données projet'!$A$114&gt;35,BY10+BX11-CG10,IF(A11&lt;'Données projet'!$A$114,$BV$205^A11,IF(A11='Données projet'!$A$114,'Données projet'!$B$114,BY10+BX11-CG10)))</f>
        <v>6.1814369253798551</v>
      </c>
      <c r="BZ11" s="13">
        <f>BY11*VLOOKUP('Données projet'!$B$12,Paramètres!$A$1:$I$88,3,0)*VLOOKUP('Données projet'!$B$12,Paramètres!$A$1:$I$88,5,0)</f>
        <v>4.0500774735088809</v>
      </c>
      <c r="CA11" s="13">
        <f t="shared" si="39"/>
        <v>1.5860127124711578</v>
      </c>
      <c r="CB11" s="20">
        <f t="shared" si="10"/>
        <v>9.816190407248568</v>
      </c>
      <c r="CC11" s="59">
        <f t="shared" si="11"/>
        <v>276.260634851693</v>
      </c>
      <c r="CD11" s="59">
        <f ca="1">AVERAGE(OFFSET($CC$3,0,0,'Données projet'!$E$12+1,1))-AVERAGE(OFFSET($H$3,0,0,'Données projet'!$E$12+1,1))</f>
        <v>180.90147430936133</v>
      </c>
      <c r="CE11" s="59">
        <f t="shared" si="40"/>
        <v>226.87949199830018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projet'!$B$12,Paramètres!$A$1:$I$88,7,0))</f>
        <v>0</v>
      </c>
      <c r="CI11" s="16">
        <f>IF(ISNA(VLOOKUP(A11,'Données projet'!$A$113:$I$133,6,0)),0%,VLOOKUP(A11,'Données projet'!$A$113:$I$133,6,0)*VLOOKUP('Données projet'!$B$12,Paramètres!$A$1:$I$88,7,0))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projet'!$B$12,Paramètres!$A$1:$I$88,3,0)*0.475*44/12</f>
        <v>0</v>
      </c>
      <c r="CL11" s="21">
        <f>EXP(-LN(2)/25)*CL10+(1-EXP(-LN(2)/25))/(LN(2)/25)*Calculateur!CG11*Calculateur!CI11*VLOOKUP('Données projet'!$B$12,Paramètres!$A$1:$I$88,3,0)*0.475*44/12</f>
        <v>0</v>
      </c>
      <c r="CM11" s="21">
        <f>EXP(-LN(2)/2)*CM10+(1-EXP(-LN(2)/2))/(LN(2)/2)*CG11*CJ11*VLOOKUP('Données projet'!$B$12,Paramètres!$A$1:$I$88,3,0)*0.475*44/12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5.2</v>
      </c>
      <c r="CT11" s="12">
        <f>IF('Données projet'!$A$140&gt;35,CT10+CS11-DB10,IF(A11&lt;'Données projet'!$A$140,$CQ$205^A11,IF(A11='Données projet'!$A$140,'Données projet'!$B$140,CT10+CS11-DB10)))</f>
        <v>23.594059750594596</v>
      </c>
      <c r="CU11" s="17">
        <f>CT11*VLOOKUP('Données projet'!$B$13,Paramètres!$A$1:$I$88,3,0)*VLOOKUP('Données projet'!$B$13,Paramètres!$A$1:$I$88,5,0)</f>
        <v>11.998995026762389</v>
      </c>
      <c r="CV11" s="13">
        <f t="shared" si="41"/>
        <v>4.1408021003802169</v>
      </c>
      <c r="CW11" s="20">
        <f t="shared" si="13"/>
        <v>28.110146663106708</v>
      </c>
      <c r="CX11" s="59">
        <f t="shared" si="14"/>
        <v>294.55459110755118</v>
      </c>
      <c r="CY11" s="59">
        <f ca="1">AVERAGE(OFFSET($CX$3,0,0,'Données projet'!$E$13+1,1))-AVERAGE(OFFSET($H$3,0,0,'Données projet'!$E$13+1,1))</f>
        <v>133.08385802816008</v>
      </c>
      <c r="CZ11" s="59">
        <f t="shared" si="42"/>
        <v>316.59112511251385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projet'!$B$13,Paramètres!$A$1:$I$88,7,0))</f>
        <v>0</v>
      </c>
      <c r="DD11" s="16">
        <f>IF(ISNA(VLOOKUP(A11,'Données projet'!$A$139:$I$159,6,0)),0%,VLOOKUP(A11,'Données projet'!$A$139:$I$159,6,0)*VLOOKUP('Données projet'!$B$13,Paramètres!$A$1:$I$88,7,0))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projet'!$B$13,Paramètres!$A$1:$I$88,3,0)*0.475*44/12</f>
        <v>0</v>
      </c>
      <c r="DG11" s="21">
        <f>EXP(-LN(2)/25)*DG10+(1-EXP(-LN(2)/25))/(LN(2)/25)*Calculateur!DB11*Calculateur!DD11*VLOOKUP('Données projet'!$B$13,Paramètres!$A$1:$I$88,3,0)*0.475*44/12</f>
        <v>0</v>
      </c>
      <c r="DH11" s="21">
        <f>EXP(-LN(2)/2)*DH10+(1-EXP(-LN(2)/2))/(LN(2)/2)*DB11*DE11*VLOOKUP('Données projet'!$B$13,Paramètres!$A$1:$I$88,3,0)*0.475*44/12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projet'!$B$14,Paramètres!$A$1:$I$88,3,0)*VLOOKUP('Données projet'!$B$14,Paramètres!$A$1:$I$88,5,0)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projet'!$B$14,Paramètres!$A$1:$I$88,7,0))</f>
        <v>0</v>
      </c>
      <c r="DY11" s="16">
        <f>IF(ISNA(VLOOKUP(A11,'Données projet'!$A$165:$I$185,6,0)),0%,VLOOKUP(A11,'Données projet'!$A$165:$I$185,6,0)*VLOOKUP('Données projet'!$B$14,Paramètres!$A$1:$I$88,7,0))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projet'!$B$14,Paramètres!$A$1:$I$88,3,0)*0.475*44/12</f>
        <v>#N/A</v>
      </c>
      <c r="EB11" s="21" t="e">
        <f>EXP(-LN(2)/25)*EB10+(1-EXP(-LN(2)/25))/(LN(2)/25)*Calculateur!DW11*Calculateur!DY11*VLOOKUP('Données projet'!$B$14,Paramètres!$A$1:$I$88,3,0)*0.475*44/12</f>
        <v>#N/A</v>
      </c>
      <c r="EC11" s="21" t="e">
        <f>EXP(-LN(2)/2)*EC10+(1-EXP(-LN(2)/2))/(LN(2)/2)*DW11*DZ11*VLOOKUP('Données projet'!$B$14,Paramètres!$A$1:$I$88,3,0)*0.475*44/12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projet'!$B$15,Paramètres!$A$1:$I$88,3,0)*VLOOKUP('Données projet'!$B$15,Paramètres!$A$1:$I$88,5,0)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projet'!$B$15,Paramètres!$A$1:$I$88,7,0))</f>
        <v>0</v>
      </c>
      <c r="ET11" s="16">
        <f>IF(ISNA(VLOOKUP(A11,'Données projet'!$A$191:$I$211,6,0)),0%,VLOOKUP(A11,'Données projet'!$A$191:$I$211,6,0)*VLOOKUP('Données projet'!$B$15,Paramètres!$A$1:$I$88,7,0))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projet'!$B$15,Paramètres!$A$1:$I$88,3,0)*0.475*44/12</f>
        <v>#N/A</v>
      </c>
      <c r="EW11" s="21" t="e">
        <f>EXP(-LN(2)/25)*EW10+(1-EXP(-LN(2)/25))/(LN(2)/25)*Calculateur!ER11*Calculateur!ET11*VLOOKUP('Données projet'!$B$15,Paramètres!$A$1:$I$88,3,0)*0.475*44/12</f>
        <v>#N/A</v>
      </c>
      <c r="EX11" s="21" t="e">
        <f>EXP(-LN(2)/2)*EX10+(1-EXP(-LN(2)/2))/(LN(2)/2)*ER11*EU11*VLOOKUP('Données projet'!$B$15,Paramètres!$A$1:$I$88,3,0)*0.475*44/12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projet'!$B$16,Paramètres!$A$1:$I$88,3,0)*VLOOKUP('Données projet'!$B$16,Paramètres!$A$1:$I$88,5,0)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projet'!$B$16,Paramètres!$A$1:$I$88,7,0))</f>
        <v>0</v>
      </c>
      <c r="FO11" s="16">
        <f>IF(ISNA(VLOOKUP(A11,'Données projet'!$A$217:$I$237,6,0)),0%,VLOOKUP(A11,'Données projet'!$A$217:$I$237,6,0)*VLOOKUP('Données projet'!$B$16,Paramètres!$A$1:$I$88,7,0))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projet'!$B$16,Paramètres!$A$1:$I$88,3,0)*0.475*44/12</f>
        <v>#N/A</v>
      </c>
      <c r="FR11" s="21" t="e">
        <f>EXP(-LN(2)/25)*FR10+(1-EXP(-LN(2)/25))/(LN(2)/25)*Calculateur!FM11*Calculateur!FO11*VLOOKUP('Données projet'!$B$16,Paramètres!$A$1:$I$88,3,0)*0.475*44/12</f>
        <v>#N/A</v>
      </c>
      <c r="FS11" s="21" t="e">
        <f>EXP(-LN(2)/2)*FS10+(1-EXP(-LN(2)/2))/(LN(2)/2)*FM11*FP11*VLOOKUP('Données projet'!$B$16,Paramètres!$A$1:$I$88,3,0)*0.475*44/12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projet'!$B$17,Paramètres!$A$1:$I$88,3,0)*VLOOKUP('Données projet'!$B$17,Paramètres!$A$1:$I$88,5,0)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projet'!$B$17,Paramètres!$A$1:$I$88,7,0))</f>
        <v>0</v>
      </c>
      <c r="GJ11" s="16">
        <f>IF(ISNA(VLOOKUP(A11,'Données projet'!$A$243:$I$263,6,0)),0%,VLOOKUP(A11,'Données projet'!$A$243:$I$263,6,0)*VLOOKUP('Données projet'!$B$17,Paramètres!$A$1:$I$88,7,0))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projet'!$B$17,Paramètres!$A$1:$I$88,3,0)*0.475*44/12</f>
        <v>#N/A</v>
      </c>
      <c r="GM11" s="21" t="e">
        <f>EXP(-LN(2)/25)*GM10+(1-EXP(-LN(2)/25))/(LN(2)/25)*Calculateur!GH11*Calculateur!GJ11*VLOOKUP('Données projet'!$B$17,Paramètres!$A$1:$I$88,3,0)*0.475*44/12</f>
        <v>#N/A</v>
      </c>
      <c r="GN11" s="21" t="e">
        <f>EXP(-LN(2)/2)*GN10+(1-EXP(-LN(2)/2))/(LN(2)/2)*GH11*GK11*VLOOKUP('Données projet'!$B$17,Paramètres!$A$1:$I$88,3,0)*0.475*44/12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projet'!$B$18,Paramètres!$A$1:$I$88,3,0)*VLOOKUP('Données projet'!$B$18,Paramètres!$A$1:$I$88,5,0)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projet'!$B$18,Paramètres!$A$1:$I$88,7,0))</f>
        <v>0</v>
      </c>
      <c r="HE11" s="16">
        <f>IF(ISNA(VLOOKUP(A11,'Données projet'!$A$269:$I$289,6,0)),0%,VLOOKUP(A11,'Données projet'!$A$269:$I$289,6,0)*VLOOKUP('Données projet'!$B$18,Paramètres!$A$1:$I$88,7,0))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projet'!$B$18,Paramètres!$A$1:$I$88,3,0)*0.475*44/12</f>
        <v>#N/A</v>
      </c>
      <c r="HH11" s="21" t="e">
        <f>EXP(-LN(2)/25)*HH10+(1-EXP(-LN(2)/25))/(LN(2)/25)*Calculateur!HC11*Calculateur!HE11*VLOOKUP('Données projet'!$B$18,Paramètres!$A$1:$I$88,3,0)*0.475*44/12</f>
        <v>#N/A</v>
      </c>
      <c r="HI11" s="21" t="e">
        <f>EXP(-LN(2)/2)*HI10+(1-EXP(-LN(2)/2))/(LN(2)/2)*HC11*HF11*VLOOKUP('Données projet'!$B$18,Paramètres!$A$1:$I$88,3,0)*0.475*44/12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</v>
      </c>
      <c r="N12" s="13">
        <f>IF('Données projet'!$A$36&gt;35,N11+M12-V11,IF(A12&lt;'Données projet'!$A$36,$K$205^A12,IF(A12='Données projet'!$A$36,'Données projet'!$B$36,N11+M12-V11)))</f>
        <v>14.696938456699069</v>
      </c>
      <c r="O12" s="13">
        <f>N12*VLOOKUP('Données projet'!$B$9,Paramètres!$A$1:$I$88,3,0)*VLOOKUP('Données projet'!$B$9,Paramètres!$A$1:$I$88,5,0)</f>
        <v>8.7887691971060438</v>
      </c>
      <c r="P12" s="13">
        <f t="shared" si="33"/>
        <v>3.1449004184369191</v>
      </c>
      <c r="Q12" s="20">
        <f t="shared" si="2"/>
        <v>20.784474580403991</v>
      </c>
      <c r="R12" s="59">
        <f t="shared" si="0"/>
        <v>288.45114124707067</v>
      </c>
      <c r="S12" s="59">
        <f ca="1">AVERAGE(OFFSET($R$3,0,0,'Données projet'!$E$9+1,1))-AVERAGE(OFFSET($H$3,0,0,'Données projet'!$E$9+1,1))</f>
        <v>195.73441209602686</v>
      </c>
      <c r="T12" s="59">
        <f t="shared" si="34"/>
        <v>219.19129224309006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projet'!$B$9,Paramètres!$A$1:$I$88,7,0))</f>
        <v>0</v>
      </c>
      <c r="X12" s="16">
        <f>IF(ISNA(VLOOKUP(A12,'Données projet'!$A$35:$I$55,6,0)),0%,VLOOKUP(A12,'Données projet'!$A$35:$I$55,6,0)*VLOOKUP('Données projet'!$B$9,Paramètres!$A$1:$I$88,7,0))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projet'!$B$9,Paramètres!$A$1:$I$88,3,0)*0.475*44/12</f>
        <v>0</v>
      </c>
      <c r="AA12" s="21">
        <f>EXP(-LN(2)/25)*AA11+(1-EXP(-LN(2)/25))/(LN(2)/25)*Calculateur!V12*Calculateur!X12*VLOOKUP('Données projet'!$B$9,Paramètres!$A$1:$I$88,3,0)*0.475*44/12</f>
        <v>0</v>
      </c>
      <c r="AB12" s="21">
        <f>EXP(-LN(2)/2)*AB11+(1-EXP(-LN(2)/2))/(LN(2)/2)*V12*Y12*VLOOKUP('Données projet'!$B$9,Paramètres!$A$1:$I$88,3,0)*0.475*44/12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4.55</v>
      </c>
      <c r="AI12" s="13">
        <f>IF('Données projet'!$A$62&gt;35,AI11+AH12-AQ11,IF(A12&lt;'Données projet'!$A$62,$AF$205^A12,IF(A12='Données projet'!$A$62,'Données projet'!$B$62,AI11+AH12-AQ11)))</f>
        <v>7.6132243249824851</v>
      </c>
      <c r="AJ12" s="13">
        <f>AI12*VLOOKUP('Données projet'!$B$10,Paramètres!$A$1:$I$88,3,0)*VLOOKUP('Données projet'!$B$10,Paramètres!$A$1:$I$88,5,0)</f>
        <v>4.5527081463395263</v>
      </c>
      <c r="AK12" s="13">
        <f t="shared" si="35"/>
        <v>1.758730395704539</v>
      </c>
      <c r="AL12" s="20">
        <f t="shared" si="4"/>
        <v>10.992422127393413</v>
      </c>
      <c r="AM12" s="59">
        <f t="shared" si="5"/>
        <v>278.6590887940601</v>
      </c>
      <c r="AN12" s="59">
        <f ca="1">AVERAGE(OFFSET($AM$3,0,0,'Données projet'!$E$10+1,1))-AVERAGE(OFFSET($H$3,0,0,'Données projet'!$E$10+1,1))</f>
        <v>246.59447135626942</v>
      </c>
      <c r="AO12" s="59">
        <f t="shared" si="36"/>
        <v>262.00382544285367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projet'!$B$10,Paramètres!$A$1:$I$88,7,0))</f>
        <v>0</v>
      </c>
      <c r="AS12" s="16">
        <f>IF(ISNA(VLOOKUP(A12,'Données projet'!$A$61:$I$81,6,0)),0%,VLOOKUP(A12,'Données projet'!$A$61:$I$81,6,0)*VLOOKUP('Données projet'!$B$10,Paramètres!$A$1:$I$88,7,0))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projet'!$B$10,Paramètres!$A$1:$I$88,3,0)*0.475*44/12</f>
        <v>0</v>
      </c>
      <c r="AV12" s="21">
        <f>EXP(-LN(2)/25)*AV11+(1-EXP(-LN(2)/25))/(LN(2)/25)*Calculateur!AQ12*Calculateur!AS12*VLOOKUP('Données projet'!$B$10,Paramètres!$A$1:$I$88,3,0)*0.475*44/12</f>
        <v>0</v>
      </c>
      <c r="AW12" s="21">
        <f>EXP(-LN(2)/2)*AW11+(1-EXP(-LN(2)/2))/(LN(2)/2)*AQ12*AT12*VLOOKUP('Données projet'!$B$10,Paramètres!$A$1:$I$88,3,0)*0.475*44/12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1.2</v>
      </c>
      <c r="BD12" s="12">
        <f>IF('Données projet'!$A$88&gt;35,BD11+BC12-BL11,IF(A12&lt;'Données projet'!$A$88,$BA$205^A12,IF(A12='Données projet'!$A$88,'Données projet'!$B$88,BD11+BC12-BL11)))</f>
        <v>9.3597257028516339</v>
      </c>
      <c r="BE12" s="13">
        <f>BD12*VLOOKUP('Données projet'!$B$11,Paramètres!$A$1:$I$88,3,0)*VLOOKUP('Données projet'!$B$11,Paramètres!$A$1:$I$88,5,0)</f>
        <v>5.2320866678940634</v>
      </c>
      <c r="BF12" s="13">
        <f t="shared" si="37"/>
        <v>1.9887181275113242</v>
      </c>
      <c r="BG12" s="20">
        <f t="shared" si="7"/>
        <v>12.576235018664383</v>
      </c>
      <c r="BH12" s="59">
        <f t="shared" si="8"/>
        <v>280.24290168533105</v>
      </c>
      <c r="BI12" s="59">
        <f ca="1">AVERAGE(OFFSET($BH$3,0,0,'Données projet'!$E$11+1,1))-AVERAGE(OFFSET($H$3,0,0,'Données projet'!$E$11+1,1))</f>
        <v>355.96253323046608</v>
      </c>
      <c r="BJ12" s="59">
        <f t="shared" si="38"/>
        <v>366.8380442809696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projet'!$B$11,Paramètres!$A$1:$I$88,7,0))</f>
        <v>0</v>
      </c>
      <c r="BN12" s="16">
        <f>IF(ISNA(VLOOKUP(A12,'Données projet'!$A$87:$I$107,6,0)),0%,VLOOKUP(A12,'Données projet'!$A$87:$I$107,6,0)*VLOOKUP('Données projet'!$B$11,Paramètres!$A$1:$I$88,7,0))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projet'!$B$11,Paramètres!$A$1:$I$88,3,0)*0.475*44/12</f>
        <v>0</v>
      </c>
      <c r="BQ12" s="21">
        <f>EXP(-LN(2)/25)*BQ11+(1-EXP(-LN(2)/25))/(LN(2)/25)*Calculateur!BL12*Calculateur!BN12*VLOOKUP('Données projet'!$B$11,Paramètres!$A$1:$I$88,3,0)*0.475*44/12</f>
        <v>0</v>
      </c>
      <c r="BR12" s="21">
        <f>EXP(-LN(2)/2)*BR11+(1-EXP(-LN(2)/2))/(LN(2)/2)*BL12*BO12*VLOOKUP('Données projet'!$B$11,Paramètres!$A$1:$I$88,3,0)*0.475*44/12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4.75</v>
      </c>
      <c r="BY12" s="12">
        <f>IF('Données projet'!$A$114&gt;35,BY11+BX12-CG11,IF(A12&lt;'Données projet'!$A$114,$BV$205^A12,IF(A12='Données projet'!$A$114,'Données projet'!$B$114,BY11+BX12-CG11)))</f>
        <v>7.7620354590201153</v>
      </c>
      <c r="BZ12" s="13">
        <f>BY12*VLOOKUP('Données projet'!$B$12,Paramètres!$A$1:$I$88,3,0)*VLOOKUP('Données projet'!$B$12,Paramètres!$A$1:$I$88,5,0)</f>
        <v>5.0856856327499793</v>
      </c>
      <c r="CA12" s="13">
        <f t="shared" si="39"/>
        <v>1.9394674395265261</v>
      </c>
      <c r="CB12" s="20">
        <f t="shared" si="10"/>
        <v>12.235474934214913</v>
      </c>
      <c r="CC12" s="59">
        <f t="shared" si="11"/>
        <v>279.90214160088158</v>
      </c>
      <c r="CD12" s="59">
        <f ca="1">AVERAGE(OFFSET($CC$3,0,0,'Données projet'!$E$12+1,1))-AVERAGE(OFFSET($H$3,0,0,'Données projet'!$E$12+1,1))</f>
        <v>180.90147430936133</v>
      </c>
      <c r="CE12" s="59">
        <f t="shared" si="40"/>
        <v>226.87949199830018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projet'!$B$12,Paramètres!$A$1:$I$88,7,0))</f>
        <v>0</v>
      </c>
      <c r="CI12" s="16">
        <f>IF(ISNA(VLOOKUP(A12,'Données projet'!$A$113:$I$133,6,0)),0%,VLOOKUP(A12,'Données projet'!$A$113:$I$133,6,0)*VLOOKUP('Données projet'!$B$12,Paramètres!$A$1:$I$88,7,0))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projet'!$B$12,Paramètres!$A$1:$I$88,3,0)*0.475*44/12</f>
        <v>0</v>
      </c>
      <c r="CL12" s="21">
        <f>EXP(-LN(2)/25)*CL11+(1-EXP(-LN(2)/25))/(LN(2)/25)*Calculateur!CG12*Calculateur!CI12*VLOOKUP('Données projet'!$B$12,Paramètres!$A$1:$I$88,3,0)*0.475*44/12</f>
        <v>0</v>
      </c>
      <c r="CM12" s="21">
        <f>EXP(-LN(2)/2)*CM11+(1-EXP(-LN(2)/2))/(LN(2)/2)*CG12*CJ12*VLOOKUP('Données projet'!$B$12,Paramètres!$A$1:$I$88,3,0)*0.475*44/12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5.2</v>
      </c>
      <c r="CT12" s="12">
        <f>IF('Données projet'!$A$140&gt;35,CT11+CS12-DB11,IF(A12&lt;'Données projet'!$A$140,$CQ$205^A12,IF(A12='Données projet'!$A$140,'Données projet'!$B$140,CT11+CS12-DB11)))</f>
        <v>35.027005396278462</v>
      </c>
      <c r="CU12" s="17">
        <f>CT12*VLOOKUP('Données projet'!$B$13,Paramètres!$A$1:$I$88,3,0)*VLOOKUP('Données projet'!$B$13,Paramètres!$A$1:$I$88,5,0)</f>
        <v>17.813333864331376</v>
      </c>
      <c r="CV12" s="13">
        <f t="shared" si="41"/>
        <v>5.8709790465338934</v>
      </c>
      <c r="CW12" s="20">
        <f t="shared" si="13"/>
        <v>41.250178319757005</v>
      </c>
      <c r="CX12" s="59">
        <f t="shared" si="14"/>
        <v>308.91684498642371</v>
      </c>
      <c r="CY12" s="59">
        <f ca="1">AVERAGE(OFFSET($CX$3,0,0,'Données projet'!$E$13+1,1))-AVERAGE(OFFSET($H$3,0,0,'Données projet'!$E$13+1,1))</f>
        <v>133.08385802816008</v>
      </c>
      <c r="CZ12" s="59">
        <f t="shared" si="42"/>
        <v>316.59112511251385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projet'!$B$13,Paramètres!$A$1:$I$88,7,0))</f>
        <v>0</v>
      </c>
      <c r="DD12" s="16">
        <f>IF(ISNA(VLOOKUP(A12,'Données projet'!$A$139:$I$159,6,0)),0%,VLOOKUP(A12,'Données projet'!$A$139:$I$159,6,0)*VLOOKUP('Données projet'!$B$13,Paramètres!$A$1:$I$88,7,0))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projet'!$B$13,Paramètres!$A$1:$I$88,3,0)*0.475*44/12</f>
        <v>0</v>
      </c>
      <c r="DG12" s="21">
        <f>EXP(-LN(2)/25)*DG11+(1-EXP(-LN(2)/25))/(LN(2)/25)*Calculateur!DB12*Calculateur!DD12*VLOOKUP('Données projet'!$B$13,Paramètres!$A$1:$I$88,3,0)*0.475*44/12</f>
        <v>0</v>
      </c>
      <c r="DH12" s="21">
        <f>EXP(-LN(2)/2)*DH11+(1-EXP(-LN(2)/2))/(LN(2)/2)*DB12*DE12*VLOOKUP('Données projet'!$B$13,Paramètres!$A$1:$I$88,3,0)*0.475*44/12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projet'!$B$14,Paramètres!$A$1:$I$88,3,0)*VLOOKUP('Données projet'!$B$14,Paramètres!$A$1:$I$88,5,0)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projet'!$B$14,Paramètres!$A$1:$I$88,7,0))</f>
        <v>0</v>
      </c>
      <c r="DY12" s="16">
        <f>IF(ISNA(VLOOKUP(A12,'Données projet'!$A$165:$I$185,6,0)),0%,VLOOKUP(A12,'Données projet'!$A$165:$I$185,6,0)*VLOOKUP('Données projet'!$B$14,Paramètres!$A$1:$I$88,7,0))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projet'!$B$14,Paramètres!$A$1:$I$88,3,0)*0.475*44/12</f>
        <v>#N/A</v>
      </c>
      <c r="EB12" s="21" t="e">
        <f>EXP(-LN(2)/25)*EB11+(1-EXP(-LN(2)/25))/(LN(2)/25)*Calculateur!DW12*Calculateur!DY12*VLOOKUP('Données projet'!$B$14,Paramètres!$A$1:$I$88,3,0)*0.475*44/12</f>
        <v>#N/A</v>
      </c>
      <c r="EC12" s="21" t="e">
        <f>EXP(-LN(2)/2)*EC11+(1-EXP(-LN(2)/2))/(LN(2)/2)*DW12*DZ12*VLOOKUP('Données projet'!$B$14,Paramètres!$A$1:$I$88,3,0)*0.475*44/12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projet'!$B$15,Paramètres!$A$1:$I$88,3,0)*VLOOKUP('Données projet'!$B$15,Paramètres!$A$1:$I$88,5,0)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projet'!$B$15,Paramètres!$A$1:$I$88,7,0))</f>
        <v>0</v>
      </c>
      <c r="ET12" s="16">
        <f>IF(ISNA(VLOOKUP(A12,'Données projet'!$A$191:$I$211,6,0)),0%,VLOOKUP(A12,'Données projet'!$A$191:$I$211,6,0)*VLOOKUP('Données projet'!$B$15,Paramètres!$A$1:$I$88,7,0))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projet'!$B$15,Paramètres!$A$1:$I$88,3,0)*0.475*44/12</f>
        <v>#N/A</v>
      </c>
      <c r="EW12" s="21" t="e">
        <f>EXP(-LN(2)/25)*EW11+(1-EXP(-LN(2)/25))/(LN(2)/25)*Calculateur!ER12*Calculateur!ET12*VLOOKUP('Données projet'!$B$15,Paramètres!$A$1:$I$88,3,0)*0.475*44/12</f>
        <v>#N/A</v>
      </c>
      <c r="EX12" s="21" t="e">
        <f>EXP(-LN(2)/2)*EX11+(1-EXP(-LN(2)/2))/(LN(2)/2)*ER12*EU12*VLOOKUP('Données projet'!$B$15,Paramètres!$A$1:$I$88,3,0)*0.475*44/12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projet'!$B$16,Paramètres!$A$1:$I$88,3,0)*VLOOKUP('Données projet'!$B$16,Paramètres!$A$1:$I$88,5,0)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projet'!$B$16,Paramètres!$A$1:$I$88,7,0))</f>
        <v>0</v>
      </c>
      <c r="FO12" s="16">
        <f>IF(ISNA(VLOOKUP(A12,'Données projet'!$A$217:$I$237,6,0)),0%,VLOOKUP(A12,'Données projet'!$A$217:$I$237,6,0)*VLOOKUP('Données projet'!$B$16,Paramètres!$A$1:$I$88,7,0))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projet'!$B$16,Paramètres!$A$1:$I$88,3,0)*0.475*44/12</f>
        <v>#N/A</v>
      </c>
      <c r="FR12" s="21" t="e">
        <f>EXP(-LN(2)/25)*FR11+(1-EXP(-LN(2)/25))/(LN(2)/25)*Calculateur!FM12*Calculateur!FO12*VLOOKUP('Données projet'!$B$16,Paramètres!$A$1:$I$88,3,0)*0.475*44/12</f>
        <v>#N/A</v>
      </c>
      <c r="FS12" s="21" t="e">
        <f>EXP(-LN(2)/2)*FS11+(1-EXP(-LN(2)/2))/(LN(2)/2)*FM12*FP12*VLOOKUP('Données projet'!$B$16,Paramètres!$A$1:$I$88,3,0)*0.475*44/12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projet'!$B$17,Paramètres!$A$1:$I$88,3,0)*VLOOKUP('Données projet'!$B$17,Paramètres!$A$1:$I$88,5,0)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projet'!$B$17,Paramètres!$A$1:$I$88,7,0))</f>
        <v>0</v>
      </c>
      <c r="GJ12" s="16">
        <f>IF(ISNA(VLOOKUP(A12,'Données projet'!$A$243:$I$263,6,0)),0%,VLOOKUP(A12,'Données projet'!$A$243:$I$263,6,0)*VLOOKUP('Données projet'!$B$17,Paramètres!$A$1:$I$88,7,0))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projet'!$B$17,Paramètres!$A$1:$I$88,3,0)*0.475*44/12</f>
        <v>#N/A</v>
      </c>
      <c r="GM12" s="21" t="e">
        <f>EXP(-LN(2)/25)*GM11+(1-EXP(-LN(2)/25))/(LN(2)/25)*Calculateur!GH12*Calculateur!GJ12*VLOOKUP('Données projet'!$B$17,Paramètres!$A$1:$I$88,3,0)*0.475*44/12</f>
        <v>#N/A</v>
      </c>
      <c r="GN12" s="21" t="e">
        <f>EXP(-LN(2)/2)*GN11+(1-EXP(-LN(2)/2))/(LN(2)/2)*GH12*GK12*VLOOKUP('Données projet'!$B$17,Paramètres!$A$1:$I$88,3,0)*0.475*44/12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projet'!$B$18,Paramètres!$A$1:$I$88,3,0)*VLOOKUP('Données projet'!$B$18,Paramètres!$A$1:$I$88,5,0)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projet'!$B$18,Paramètres!$A$1:$I$88,7,0))</f>
        <v>0</v>
      </c>
      <c r="HE12" s="16">
        <f>IF(ISNA(VLOOKUP(A12,'Données projet'!$A$269:$I$289,6,0)),0%,VLOOKUP(A12,'Données projet'!$A$269:$I$289,6,0)*VLOOKUP('Données projet'!$B$18,Paramètres!$A$1:$I$88,7,0))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projet'!$B$18,Paramètres!$A$1:$I$88,3,0)*0.475*44/12</f>
        <v>#N/A</v>
      </c>
      <c r="HH12" s="21" t="e">
        <f>EXP(-LN(2)/25)*HH11+(1-EXP(-LN(2)/25))/(LN(2)/25)*Calculateur!HC12*Calculateur!HE12*VLOOKUP('Données projet'!$B$18,Paramètres!$A$1:$I$88,3,0)*0.475*44/12</f>
        <v>#N/A</v>
      </c>
      <c r="HI12" s="21" t="e">
        <f>EXP(-LN(2)/2)*HI11+(1-EXP(-LN(2)/2))/(LN(2)/2)*HC12*HF12*VLOOKUP('Données projet'!$B$18,Paramètres!$A$1:$I$88,3,0)*0.475*44/12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</v>
      </c>
      <c r="N13" s="13">
        <f>IF('Données projet'!$A$36&gt;35,N12+M13-V12,IF(A13&lt;'Données projet'!$A$36,$K$205^A13,IF(A13='Données projet'!$A$36,'Données projet'!$B$36,N12+M13-V12)))</f>
        <v>19.81156349336776</v>
      </c>
      <c r="O13" s="13">
        <f>N13*VLOOKUP('Données projet'!$B$9,Paramètres!$A$1:$I$88,3,0)*VLOOKUP('Données projet'!$B$9,Paramètres!$A$1:$I$88,5,0)</f>
        <v>11.847314969033921</v>
      </c>
      <c r="P13" s="13">
        <f t="shared" si="33"/>
        <v>4.094516627677768</v>
      </c>
      <c r="Q13" s="20">
        <f t="shared" si="2"/>
        <v>27.76535669760619</v>
      </c>
      <c r="R13" s="59">
        <f t="shared" si="0"/>
        <v>296.65424558649505</v>
      </c>
      <c r="S13" s="59">
        <f ca="1">AVERAGE(OFFSET($R$3,0,0,'Données projet'!$E$9+1,1))-AVERAGE(OFFSET($H$3,0,0,'Données projet'!$E$9+1,1))</f>
        <v>195.73441209602686</v>
      </c>
      <c r="T13" s="59">
        <f t="shared" si="34"/>
        <v>219.19129224309006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projet'!$B$9,Paramètres!$A$1:$I$88,7,0))</f>
        <v>0</v>
      </c>
      <c r="X13" s="16">
        <f>IF(ISNA(VLOOKUP(A13,'Données projet'!$A$35:$I$55,6,0)),0%,VLOOKUP(A13,'Données projet'!$A$35:$I$55,6,0)*VLOOKUP('Données projet'!$B$9,Paramètres!$A$1:$I$88,7,0))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projet'!$B$9,Paramètres!$A$1:$I$88,3,0)*0.475*44/12</f>
        <v>0</v>
      </c>
      <c r="AA13" s="21">
        <f>EXP(-LN(2)/25)*AA12+(1-EXP(-LN(2)/25))/(LN(2)/25)*Calculateur!V13*Calculateur!X13*VLOOKUP('Données projet'!$B$9,Paramètres!$A$1:$I$88,3,0)*0.475*44/12</f>
        <v>0</v>
      </c>
      <c r="AB13" s="21">
        <f>EXP(-LN(2)/2)*AB12+(1-EXP(-LN(2)/2))/(LN(2)/2)*V13*Y13*VLOOKUP('Données projet'!$B$9,Paramètres!$A$1:$I$88,3,0)*0.475*44/12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4.55</v>
      </c>
      <c r="AI13" s="13">
        <f>IF('Données projet'!$A$62&gt;35,AI12+AH13-AQ12,IF(A13&lt;'Données projet'!$A$62,$AF$205^A13,IF(A13='Données projet'!$A$62,'Données projet'!$B$62,AI12+AH13-AQ12)))</f>
        <v>9.5393920141694579</v>
      </c>
      <c r="AJ13" s="13">
        <f>AI13*VLOOKUP('Données projet'!$B$10,Paramètres!$A$1:$I$88,3,0)*VLOOKUP('Données projet'!$B$10,Paramètres!$A$1:$I$88,5,0)</f>
        <v>5.7045564244733367</v>
      </c>
      <c r="AK13" s="13">
        <f t="shared" si="35"/>
        <v>2.1465930463066791</v>
      </c>
      <c r="AL13" s="20">
        <f t="shared" si="4"/>
        <v>13.674085328275192</v>
      </c>
      <c r="AM13" s="59">
        <f t="shared" si="5"/>
        <v>282.56297421716403</v>
      </c>
      <c r="AN13" s="59">
        <f ca="1">AVERAGE(OFFSET($AM$3,0,0,'Données projet'!$E$10+1,1))-AVERAGE(OFFSET($H$3,0,0,'Données projet'!$E$10+1,1))</f>
        <v>246.59447135626942</v>
      </c>
      <c r="AO13" s="59">
        <f t="shared" si="36"/>
        <v>262.00382544285367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projet'!$B$10,Paramètres!$A$1:$I$88,7,0))</f>
        <v>0</v>
      </c>
      <c r="AS13" s="16">
        <f>IF(ISNA(VLOOKUP(A13,'Données projet'!$A$61:$I$81,6,0)),0%,VLOOKUP(A13,'Données projet'!$A$61:$I$81,6,0)*VLOOKUP('Données projet'!$B$10,Paramètres!$A$1:$I$88,7,0))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projet'!$B$10,Paramètres!$A$1:$I$88,3,0)*0.475*44/12</f>
        <v>0</v>
      </c>
      <c r="AV13" s="21">
        <f>EXP(-LN(2)/25)*AV12+(1-EXP(-LN(2)/25))/(LN(2)/25)*Calculateur!AQ13*Calculateur!AS13*VLOOKUP('Données projet'!$B$10,Paramètres!$A$1:$I$88,3,0)*0.475*44/12</f>
        <v>0</v>
      </c>
      <c r="AW13" s="21">
        <f>EXP(-LN(2)/2)*AW12+(1-EXP(-LN(2)/2))/(LN(2)/2)*AQ13*AT13*VLOOKUP('Données projet'!$B$10,Paramètres!$A$1:$I$88,3,0)*0.475*44/12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12</v>
      </c>
      <c r="BB13" s="12">
        <f>VLOOKUP(A13,'Données projet'!$A$87:$I$107,9,0)</f>
        <v>1.2</v>
      </c>
      <c r="BC13" s="12">
        <f t="array" ref="BC13">INDEX(BB:BB,MIN(IF(ISNUMBER(BB13:BB209),ROW(BB13:BB209),"")))</f>
        <v>1.2</v>
      </c>
      <c r="BD13" s="12">
        <f>IF('Données projet'!$A$88&gt;35,BD12+BC13-BL12,IF(A13&lt;'Données projet'!$A$88,$BA$205^A13,IF(A13='Données projet'!$A$88,'Données projet'!$B$88,BD12+BC13-BL12)))</f>
        <v>12</v>
      </c>
      <c r="BE13" s="13">
        <f>BD13*VLOOKUP('Données projet'!$B$11,Paramètres!$A$1:$I$88,3,0)*VLOOKUP('Données projet'!$B$11,Paramètres!$A$1:$I$88,5,0)</f>
        <v>6.7080000000000002</v>
      </c>
      <c r="BF13" s="13">
        <f t="shared" si="37"/>
        <v>2.477020993200687</v>
      </c>
      <c r="BG13" s="20">
        <f t="shared" si="7"/>
        <v>15.997244896491198</v>
      </c>
      <c r="BH13" s="59">
        <f t="shared" si="8"/>
        <v>284.88613378538008</v>
      </c>
      <c r="BI13" s="59">
        <f ca="1">AVERAGE(OFFSET($BH$3,0,0,'Données projet'!$E$11+1,1))-AVERAGE(OFFSET($H$3,0,0,'Données projet'!$E$11+1,1))</f>
        <v>355.96253323046608</v>
      </c>
      <c r="BJ13" s="59">
        <f t="shared" si="38"/>
        <v>366.8380442809696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projet'!$B$11,Paramètres!$A$1:$I$88,7,0))</f>
        <v>0</v>
      </c>
      <c r="BN13" s="16">
        <f>IF(ISNA(VLOOKUP(A13,'Données projet'!$A$87:$I$107,6,0)),0%,VLOOKUP(A13,'Données projet'!$A$87:$I$107,6,0)*VLOOKUP('Données projet'!$B$11,Paramètres!$A$1:$I$88,7,0))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projet'!$B$11,Paramètres!$A$1:$I$88,3,0)*0.475*44/12</f>
        <v>0</v>
      </c>
      <c r="BQ13" s="21">
        <f>EXP(-LN(2)/25)*BQ12+(1-EXP(-LN(2)/25))/(LN(2)/25)*Calculateur!BL13*Calculateur!BN13*VLOOKUP('Données projet'!$B$11,Paramètres!$A$1:$I$88,3,0)*0.475*44/12</f>
        <v>0</v>
      </c>
      <c r="BR13" s="21">
        <f>EXP(-LN(2)/2)*BR12+(1-EXP(-LN(2)/2))/(LN(2)/2)*BL13*BO13*VLOOKUP('Données projet'!$B$11,Paramètres!$A$1:$I$88,3,0)*0.475*44/12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4.75</v>
      </c>
      <c r="BY13" s="12">
        <f>IF('Données projet'!$A$114&gt;35,BY12+BX13-CG12,IF(A13&lt;'Données projet'!$A$114,$BV$205^A13,IF(A13='Données projet'!$A$114,'Données projet'!$B$114,BY12+BX13-CG12)))</f>
        <v>9.7467943448089507</v>
      </c>
      <c r="BZ13" s="13">
        <f>BY13*VLOOKUP('Données projet'!$B$12,Paramètres!$A$1:$I$88,3,0)*VLOOKUP('Données projet'!$B$12,Paramètres!$A$1:$I$88,5,0)</f>
        <v>6.3860996547188247</v>
      </c>
      <c r="CA13" s="13">
        <f t="shared" si="39"/>
        <v>2.3716921809048759</v>
      </c>
      <c r="CB13" s="20">
        <f t="shared" si="10"/>
        <v>15.253154113711277</v>
      </c>
      <c r="CC13" s="59">
        <f t="shared" si="11"/>
        <v>284.14204300260013</v>
      </c>
      <c r="CD13" s="59">
        <f ca="1">AVERAGE(OFFSET($CC$3,0,0,'Données projet'!$E$12+1,1))-AVERAGE(OFFSET($H$3,0,0,'Données projet'!$E$12+1,1))</f>
        <v>180.90147430936133</v>
      </c>
      <c r="CE13" s="59">
        <f t="shared" si="40"/>
        <v>226.87949199830018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projet'!$B$12,Paramètres!$A$1:$I$88,7,0))</f>
        <v>0</v>
      </c>
      <c r="CI13" s="16">
        <f>IF(ISNA(VLOOKUP(A13,'Données projet'!$A$113:$I$133,6,0)),0%,VLOOKUP(A13,'Données projet'!$A$113:$I$133,6,0)*VLOOKUP('Données projet'!$B$12,Paramètres!$A$1:$I$88,7,0))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projet'!$B$12,Paramètres!$A$1:$I$88,3,0)*0.475*44/12</f>
        <v>0</v>
      </c>
      <c r="CL13" s="21">
        <f>EXP(-LN(2)/25)*CL12+(1-EXP(-LN(2)/25))/(LN(2)/25)*Calculateur!CG13*Calculateur!CI13*VLOOKUP('Données projet'!$B$12,Paramètres!$A$1:$I$88,3,0)*0.475*44/12</f>
        <v>0</v>
      </c>
      <c r="CM13" s="21">
        <f>EXP(-LN(2)/2)*CM12+(1-EXP(-LN(2)/2))/(LN(2)/2)*CG13*CJ13*VLOOKUP('Données projet'!$B$12,Paramètres!$A$1:$I$88,3,0)*0.475*44/12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52</v>
      </c>
      <c r="CR13" s="12">
        <f>VLOOKUP(A13,'Données projet'!$A$139:$I$159,9,0)</f>
        <v>5.2</v>
      </c>
      <c r="CS13" s="12">
        <f t="array" ref="CS13">INDEX(CR:CR,MIN(IF(ISNUMBER(CR13:CR209),ROW(CR13:CR209),"")))</f>
        <v>5.2</v>
      </c>
      <c r="CT13" s="12">
        <f>IF('Données projet'!$A$140&gt;35,CT12+CS13-DB12,IF(A13&lt;'Données projet'!$A$140,$CQ$205^A13,IF(A13='Données projet'!$A$140,'Données projet'!$B$140,CT12+CS13-DB12)))</f>
        <v>52</v>
      </c>
      <c r="CU13" s="17">
        <f>CT13*VLOOKUP('Données projet'!$B$13,Paramètres!$A$1:$I$88,3,0)*VLOOKUP('Données projet'!$B$13,Paramètres!$A$1:$I$88,5,0)</f>
        <v>26.445120000000003</v>
      </c>
      <c r="CV13" s="13">
        <f t="shared" si="41"/>
        <v>8.3240865246071554</v>
      </c>
      <c r="CW13" s="20">
        <f t="shared" si="13"/>
        <v>60.556368030357454</v>
      </c>
      <c r="CX13" s="59">
        <f t="shared" si="14"/>
        <v>329.44525691924633</v>
      </c>
      <c r="CY13" s="59">
        <f ca="1">AVERAGE(OFFSET($CX$3,0,0,'Données projet'!$E$13+1,1))-AVERAGE(OFFSET($H$3,0,0,'Données projet'!$E$13+1,1))</f>
        <v>133.08385802816008</v>
      </c>
      <c r="CZ13" s="59">
        <f t="shared" si="42"/>
        <v>316.59112511251385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projet'!$B$13,Paramètres!$A$1:$I$88,7,0))</f>
        <v>0</v>
      </c>
      <c r="DD13" s="16">
        <f>IF(ISNA(VLOOKUP(A13,'Données projet'!$A$139:$I$159,6,0)),0%,VLOOKUP(A13,'Données projet'!$A$139:$I$159,6,0)*VLOOKUP('Données projet'!$B$13,Paramètres!$A$1:$I$88,7,0))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projet'!$B$13,Paramètres!$A$1:$I$88,3,0)*0.475*44/12</f>
        <v>0</v>
      </c>
      <c r="DG13" s="21">
        <f>EXP(-LN(2)/25)*DG12+(1-EXP(-LN(2)/25))/(LN(2)/25)*Calculateur!DB13*Calculateur!DD13*VLOOKUP('Données projet'!$B$13,Paramètres!$A$1:$I$88,3,0)*0.475*44/12</f>
        <v>0</v>
      </c>
      <c r="DH13" s="21">
        <f>EXP(-LN(2)/2)*DH12+(1-EXP(-LN(2)/2))/(LN(2)/2)*DB13*DE13*VLOOKUP('Données projet'!$B$13,Paramètres!$A$1:$I$88,3,0)*0.475*44/12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projet'!$B$14,Paramètres!$A$1:$I$88,3,0)*VLOOKUP('Données projet'!$B$14,Paramètres!$A$1:$I$88,5,0)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projet'!$B$14,Paramètres!$A$1:$I$88,7,0))</f>
        <v>0</v>
      </c>
      <c r="DY13" s="16">
        <f>IF(ISNA(VLOOKUP(A13,'Données projet'!$A$165:$I$185,6,0)),0%,VLOOKUP(A13,'Données projet'!$A$165:$I$185,6,0)*VLOOKUP('Données projet'!$B$14,Paramètres!$A$1:$I$88,7,0))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projet'!$B$14,Paramètres!$A$1:$I$88,3,0)*0.475*44/12</f>
        <v>#N/A</v>
      </c>
      <c r="EB13" s="21" t="e">
        <f>EXP(-LN(2)/25)*EB12+(1-EXP(-LN(2)/25))/(LN(2)/25)*Calculateur!DW13*Calculateur!DY13*VLOOKUP('Données projet'!$B$14,Paramètres!$A$1:$I$88,3,0)*0.475*44/12</f>
        <v>#N/A</v>
      </c>
      <c r="EC13" s="21" t="e">
        <f>EXP(-LN(2)/2)*EC12+(1-EXP(-LN(2)/2))/(LN(2)/2)*DW13*DZ13*VLOOKUP('Données projet'!$B$14,Paramètres!$A$1:$I$88,3,0)*0.475*44/12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projet'!$B$15,Paramètres!$A$1:$I$88,3,0)*VLOOKUP('Données projet'!$B$15,Paramètres!$A$1:$I$88,5,0)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projet'!$B$15,Paramètres!$A$1:$I$88,7,0))</f>
        <v>0</v>
      </c>
      <c r="ET13" s="16">
        <f>IF(ISNA(VLOOKUP(A13,'Données projet'!$A$191:$I$211,6,0)),0%,VLOOKUP(A13,'Données projet'!$A$191:$I$211,6,0)*VLOOKUP('Données projet'!$B$15,Paramètres!$A$1:$I$88,7,0))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projet'!$B$15,Paramètres!$A$1:$I$88,3,0)*0.475*44/12</f>
        <v>#N/A</v>
      </c>
      <c r="EW13" s="21" t="e">
        <f>EXP(-LN(2)/25)*EW12+(1-EXP(-LN(2)/25))/(LN(2)/25)*Calculateur!ER13*Calculateur!ET13*VLOOKUP('Données projet'!$B$15,Paramètres!$A$1:$I$88,3,0)*0.475*44/12</f>
        <v>#N/A</v>
      </c>
      <c r="EX13" s="21" t="e">
        <f>EXP(-LN(2)/2)*EX12+(1-EXP(-LN(2)/2))/(LN(2)/2)*ER13*EU13*VLOOKUP('Données projet'!$B$15,Paramètres!$A$1:$I$88,3,0)*0.475*44/12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projet'!$B$16,Paramètres!$A$1:$I$88,3,0)*VLOOKUP('Données projet'!$B$16,Paramètres!$A$1:$I$88,5,0)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projet'!$B$16,Paramètres!$A$1:$I$88,7,0))</f>
        <v>0</v>
      </c>
      <c r="FO13" s="16">
        <f>IF(ISNA(VLOOKUP(A13,'Données projet'!$A$217:$I$237,6,0)),0%,VLOOKUP(A13,'Données projet'!$A$217:$I$237,6,0)*VLOOKUP('Données projet'!$B$16,Paramètres!$A$1:$I$88,7,0))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projet'!$B$16,Paramètres!$A$1:$I$88,3,0)*0.475*44/12</f>
        <v>#N/A</v>
      </c>
      <c r="FR13" s="21" t="e">
        <f>EXP(-LN(2)/25)*FR12+(1-EXP(-LN(2)/25))/(LN(2)/25)*Calculateur!FM13*Calculateur!FO13*VLOOKUP('Données projet'!$B$16,Paramètres!$A$1:$I$88,3,0)*0.475*44/12</f>
        <v>#N/A</v>
      </c>
      <c r="FS13" s="21" t="e">
        <f>EXP(-LN(2)/2)*FS12+(1-EXP(-LN(2)/2))/(LN(2)/2)*FM13*FP13*VLOOKUP('Données projet'!$B$16,Paramètres!$A$1:$I$88,3,0)*0.475*44/12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projet'!$B$17,Paramètres!$A$1:$I$88,3,0)*VLOOKUP('Données projet'!$B$17,Paramètres!$A$1:$I$88,5,0)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projet'!$B$17,Paramètres!$A$1:$I$88,7,0))</f>
        <v>0</v>
      </c>
      <c r="GJ13" s="16">
        <f>IF(ISNA(VLOOKUP(A13,'Données projet'!$A$243:$I$263,6,0)),0%,VLOOKUP(A13,'Données projet'!$A$243:$I$263,6,0)*VLOOKUP('Données projet'!$B$17,Paramètres!$A$1:$I$88,7,0))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projet'!$B$17,Paramètres!$A$1:$I$88,3,0)*0.475*44/12</f>
        <v>#N/A</v>
      </c>
      <c r="GM13" s="21" t="e">
        <f>EXP(-LN(2)/25)*GM12+(1-EXP(-LN(2)/25))/(LN(2)/25)*Calculateur!GH13*Calculateur!GJ13*VLOOKUP('Données projet'!$B$17,Paramètres!$A$1:$I$88,3,0)*0.475*44/12</f>
        <v>#N/A</v>
      </c>
      <c r="GN13" s="21" t="e">
        <f>EXP(-LN(2)/2)*GN12+(1-EXP(-LN(2)/2))/(LN(2)/2)*GH13*GK13*VLOOKUP('Données projet'!$B$17,Paramètres!$A$1:$I$88,3,0)*0.475*44/12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projet'!$B$18,Paramètres!$A$1:$I$88,3,0)*VLOOKUP('Données projet'!$B$18,Paramètres!$A$1:$I$88,5,0)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projet'!$B$18,Paramètres!$A$1:$I$88,7,0))</f>
        <v>0</v>
      </c>
      <c r="HE13" s="16">
        <f>IF(ISNA(VLOOKUP(A13,'Données projet'!$A$269:$I$289,6,0)),0%,VLOOKUP(A13,'Données projet'!$A$269:$I$289,6,0)*VLOOKUP('Données projet'!$B$18,Paramètres!$A$1:$I$88,7,0))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projet'!$B$18,Paramètres!$A$1:$I$88,3,0)*0.475*44/12</f>
        <v>#N/A</v>
      </c>
      <c r="HH13" s="21" t="e">
        <f>EXP(-LN(2)/25)*HH12+(1-EXP(-LN(2)/25))/(LN(2)/25)*Calculateur!HC13*Calculateur!HE13*VLOOKUP('Données projet'!$B$18,Paramètres!$A$1:$I$88,3,0)*0.475*44/12</f>
        <v>#N/A</v>
      </c>
      <c r="HI13" s="21" t="e">
        <f>EXP(-LN(2)/2)*HI12+(1-EXP(-LN(2)/2))/(LN(2)/2)*HC13*HF13*VLOOKUP('Données projet'!$B$18,Paramètres!$A$1:$I$88,3,0)*0.475*44/12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</v>
      </c>
      <c r="N14" s="13">
        <f>IF('Données projet'!$A$36&gt;35,N13+M14-V13,IF(A14&lt;'Données projet'!$A$36,$K$205^A14,IF(A14='Données projet'!$A$36,'Données projet'!$B$36,N13+M14-V13)))</f>
        <v>26.706109521254486</v>
      </c>
      <c r="O14" s="13">
        <f>N14*VLOOKUP('Données projet'!$B$9,Paramètres!$A$1:$I$88,3,0)*VLOOKUP('Données projet'!$B$9,Paramètres!$A$1:$I$88,5,0)</f>
        <v>15.970253493710185</v>
      </c>
      <c r="P14" s="13">
        <f t="shared" si="33"/>
        <v>5.3308735361046251</v>
      </c>
      <c r="Q14" s="20">
        <f t="shared" si="2"/>
        <v>37.09946291026079</v>
      </c>
      <c r="R14" s="59">
        <f t="shared" si="0"/>
        <v>307.21057402137194</v>
      </c>
      <c r="S14" s="59">
        <f ca="1">AVERAGE(OFFSET($R$3,0,0,'Données projet'!$E$9+1,1))-AVERAGE(OFFSET($H$3,0,0,'Données projet'!$E$9+1,1))</f>
        <v>195.73441209602686</v>
      </c>
      <c r="T14" s="59">
        <f t="shared" si="34"/>
        <v>219.19129224309006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projet'!$B$9,Paramètres!$A$1:$I$88,7,0))</f>
        <v>0</v>
      </c>
      <c r="X14" s="16">
        <f>IF(ISNA(VLOOKUP(A14,'Données projet'!$A$35:$I$55,6,0)),0%,VLOOKUP(A14,'Données projet'!$A$35:$I$55,6,0)*VLOOKUP('Données projet'!$B$9,Paramètres!$A$1:$I$88,7,0))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projet'!$B$9,Paramètres!$A$1:$I$88,3,0)*0.475*44/12</f>
        <v>0</v>
      </c>
      <c r="AA14" s="21">
        <f>EXP(-LN(2)/25)*AA13+(1-EXP(-LN(2)/25))/(LN(2)/25)*Calculateur!V14*Calculateur!X14*VLOOKUP('Données projet'!$B$9,Paramètres!$A$1:$I$88,3,0)*0.475*44/12</f>
        <v>0</v>
      </c>
      <c r="AB14" s="21">
        <f>EXP(-LN(2)/2)*AB13+(1-EXP(-LN(2)/2))/(LN(2)/2)*V14*Y14*VLOOKUP('Données projet'!$B$9,Paramètres!$A$1:$I$88,3,0)*0.475*44/12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4.55</v>
      </c>
      <c r="AI14" s="13">
        <f>IF('Données projet'!$A$62&gt;35,AI13+AH14-AQ13,IF(A14&lt;'Données projet'!$A$62,$AF$205^A14,IF(A14='Données projet'!$A$62,'Données projet'!$B$62,AI13+AH14-AQ13)))</f>
        <v>11.952885678330434</v>
      </c>
      <c r="AJ14" s="13">
        <f>AI14*VLOOKUP('Données projet'!$B$10,Paramètres!$A$1:$I$88,3,0)*VLOOKUP('Données projet'!$B$10,Paramètres!$A$1:$I$88,5,0)</f>
        <v>7.147825635641599</v>
      </c>
      <c r="AK14" s="13">
        <f t="shared" si="35"/>
        <v>2.6199932165306663</v>
      </c>
      <c r="AL14" s="20">
        <f t="shared" si="4"/>
        <v>17.012284500866695</v>
      </c>
      <c r="AM14" s="59">
        <f t="shared" si="5"/>
        <v>287.12339561197786</v>
      </c>
      <c r="AN14" s="59">
        <f ca="1">AVERAGE(OFFSET($AM$3,0,0,'Données projet'!$E$10+1,1))-AVERAGE(OFFSET($H$3,0,0,'Données projet'!$E$10+1,1))</f>
        <v>246.59447135626942</v>
      </c>
      <c r="AO14" s="59">
        <f t="shared" si="36"/>
        <v>262.00382544285367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projet'!$B$10,Paramètres!$A$1:$I$88,7,0))</f>
        <v>0</v>
      </c>
      <c r="AS14" s="16">
        <f>IF(ISNA(VLOOKUP(A14,'Données projet'!$A$61:$I$81,6,0)),0%,VLOOKUP(A14,'Données projet'!$A$61:$I$81,6,0)*VLOOKUP('Données projet'!$B$10,Paramètres!$A$1:$I$88,7,0))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projet'!$B$10,Paramètres!$A$1:$I$88,3,0)*0.475*44/12</f>
        <v>0</v>
      </c>
      <c r="AV14" s="21">
        <f>EXP(-LN(2)/25)*AV13+(1-EXP(-LN(2)/25))/(LN(2)/25)*Calculateur!AQ14*Calculateur!AS14*VLOOKUP('Données projet'!$B$10,Paramètres!$A$1:$I$88,3,0)*0.475*44/12</f>
        <v>0</v>
      </c>
      <c r="AW14" s="21">
        <f>EXP(-LN(2)/2)*AW13+(1-EXP(-LN(2)/2))/(LN(2)/2)*AQ14*AT14*VLOOKUP('Données projet'!$B$10,Paramètres!$A$1:$I$88,3,0)*0.475*44/12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15</v>
      </c>
      <c r="BD14" s="12">
        <f>IF('Données projet'!$A$88&gt;35,BD13+BC14-BL13,IF(A14&lt;'Données projet'!$A$88,$BA$205^A14,IF(A14='Données projet'!$A$88,'Données projet'!$B$88,BD13+BC14-BL13)))</f>
        <v>27</v>
      </c>
      <c r="BE14" s="13">
        <f>BD14*VLOOKUP('Données projet'!$B$11,Paramètres!$A$1:$I$88,3,0)*VLOOKUP('Données projet'!$B$11,Paramètres!$A$1:$I$88,5,0)</f>
        <v>15.093</v>
      </c>
      <c r="BF14" s="13">
        <f t="shared" si="37"/>
        <v>5.0712866613861207</v>
      </c>
      <c r="BG14" s="20">
        <f t="shared" si="7"/>
        <v>35.11946593524749</v>
      </c>
      <c r="BH14" s="59">
        <f t="shared" si="8"/>
        <v>305.23057704635863</v>
      </c>
      <c r="BI14" s="59">
        <f ca="1">AVERAGE(OFFSET($BH$3,0,0,'Données projet'!$E$11+1,1))-AVERAGE(OFFSET($H$3,0,0,'Données projet'!$E$11+1,1))</f>
        <v>355.96253323046608</v>
      </c>
      <c r="BJ14" s="59">
        <f t="shared" si="38"/>
        <v>366.8380442809696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projet'!$B$11,Paramètres!$A$1:$I$88,7,0))</f>
        <v>0</v>
      </c>
      <c r="BN14" s="16">
        <f>IF(ISNA(VLOOKUP(A14,'Données projet'!$A$87:$I$107,6,0)),0%,VLOOKUP(A14,'Données projet'!$A$87:$I$107,6,0)*VLOOKUP('Données projet'!$B$11,Paramètres!$A$1:$I$88,7,0))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projet'!$B$11,Paramètres!$A$1:$I$88,3,0)*0.475*44/12</f>
        <v>0</v>
      </c>
      <c r="BQ14" s="21">
        <f>EXP(-LN(2)/25)*BQ13+(1-EXP(-LN(2)/25))/(LN(2)/25)*Calculateur!BL14*Calculateur!BN14*VLOOKUP('Données projet'!$B$11,Paramètres!$A$1:$I$88,3,0)*0.475*44/12</f>
        <v>0</v>
      </c>
      <c r="BR14" s="21">
        <f>EXP(-LN(2)/2)*BR13+(1-EXP(-LN(2)/2))/(LN(2)/2)*BL14*BO14*VLOOKUP('Données projet'!$B$11,Paramètres!$A$1:$I$88,3,0)*0.475*44/12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4.75</v>
      </c>
      <c r="BY14" s="12">
        <f>IF('Données projet'!$A$114&gt;35,BY13+BX14-CG13,IF(A14&lt;'Données projet'!$A$114,$BV$205^A14,IF(A14='Données projet'!$A$114,'Données projet'!$B$114,BY13+BX14-CG13)))</f>
        <v>12.239057719016479</v>
      </c>
      <c r="BZ14" s="13">
        <f>BY14*VLOOKUP('Données projet'!$B$12,Paramètres!$A$1:$I$88,3,0)*VLOOKUP('Données projet'!$B$12,Paramètres!$A$1:$I$88,5,0)</f>
        <v>8.0190306174995971</v>
      </c>
      <c r="CA14" s="13">
        <f t="shared" si="39"/>
        <v>2.9002414200562789</v>
      </c>
      <c r="CB14" s="20">
        <f t="shared" si="10"/>
        <v>19.017732132076485</v>
      </c>
      <c r="CC14" s="59">
        <f t="shared" si="11"/>
        <v>289.12884324318765</v>
      </c>
      <c r="CD14" s="59">
        <f ca="1">AVERAGE(OFFSET($CC$3,0,0,'Données projet'!$E$12+1,1))-AVERAGE(OFFSET($H$3,0,0,'Données projet'!$E$12+1,1))</f>
        <v>180.90147430936133</v>
      </c>
      <c r="CE14" s="59">
        <f t="shared" si="40"/>
        <v>226.87949199830018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projet'!$B$12,Paramètres!$A$1:$I$88,7,0))</f>
        <v>0</v>
      </c>
      <c r="CI14" s="16">
        <f>IF(ISNA(VLOOKUP(A14,'Données projet'!$A$113:$I$133,6,0)),0%,VLOOKUP(A14,'Données projet'!$A$113:$I$133,6,0)*VLOOKUP('Données projet'!$B$12,Paramètres!$A$1:$I$88,7,0))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projet'!$B$12,Paramètres!$A$1:$I$88,3,0)*0.475*44/12</f>
        <v>0</v>
      </c>
      <c r="CL14" s="21">
        <f>EXP(-LN(2)/25)*CL13+(1-EXP(-LN(2)/25))/(LN(2)/25)*Calculateur!CG14*Calculateur!CI14*VLOOKUP('Données projet'!$B$12,Paramètres!$A$1:$I$88,3,0)*0.475*44/12</f>
        <v>0</v>
      </c>
      <c r="CM14" s="21">
        <f>EXP(-LN(2)/2)*CM13+(1-EXP(-LN(2)/2))/(LN(2)/2)*CG14*CJ14*VLOOKUP('Données projet'!$B$12,Paramètres!$A$1:$I$88,3,0)*0.475*44/12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24</v>
      </c>
      <c r="CT14" s="12">
        <f>IF('Données projet'!$A$140&gt;35,CT13+CS14-DB13,IF(A14&lt;'Données projet'!$A$140,$CQ$205^A14,IF(A14='Données projet'!$A$140,'Données projet'!$B$140,CT13+CS14-DB13)))</f>
        <v>76</v>
      </c>
      <c r="CU14" s="17">
        <f>CT14*VLOOKUP('Données projet'!$B$13,Paramètres!$A$1:$I$88,3,0)*VLOOKUP('Données projet'!$B$13,Paramètres!$A$1:$I$88,5,0)</f>
        <v>38.650559999999999</v>
      </c>
      <c r="CV14" s="13">
        <f t="shared" si="41"/>
        <v>11.640266448554883</v>
      </c>
      <c r="CW14" s="20">
        <f t="shared" si="13"/>
        <v>87.589856064566405</v>
      </c>
      <c r="CX14" s="59">
        <f t="shared" si="14"/>
        <v>357.70096717567753</v>
      </c>
      <c r="CY14" s="59">
        <f ca="1">AVERAGE(OFFSET($CX$3,0,0,'Données projet'!$E$13+1,1))-AVERAGE(OFFSET($H$3,0,0,'Données projet'!$E$13+1,1))</f>
        <v>133.08385802816008</v>
      </c>
      <c r="CZ14" s="59">
        <f t="shared" si="42"/>
        <v>316.59112511251385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projet'!$B$13,Paramètres!$A$1:$I$88,7,0))</f>
        <v>0</v>
      </c>
      <c r="DD14" s="16">
        <f>IF(ISNA(VLOOKUP(A14,'Données projet'!$A$139:$I$159,6,0)),0%,VLOOKUP(A14,'Données projet'!$A$139:$I$159,6,0)*VLOOKUP('Données projet'!$B$13,Paramètres!$A$1:$I$88,7,0))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projet'!$B$13,Paramètres!$A$1:$I$88,3,0)*0.475*44/12</f>
        <v>0</v>
      </c>
      <c r="DG14" s="21">
        <f>EXP(-LN(2)/25)*DG13+(1-EXP(-LN(2)/25))/(LN(2)/25)*Calculateur!DB14*Calculateur!DD14*VLOOKUP('Données projet'!$B$13,Paramètres!$A$1:$I$88,3,0)*0.475*44/12</f>
        <v>0</v>
      </c>
      <c r="DH14" s="21">
        <f>EXP(-LN(2)/2)*DH13+(1-EXP(-LN(2)/2))/(LN(2)/2)*DB14*DE14*VLOOKUP('Données projet'!$B$13,Paramètres!$A$1:$I$88,3,0)*0.475*44/12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projet'!$B$14,Paramètres!$A$1:$I$88,3,0)*VLOOKUP('Données projet'!$B$14,Paramètres!$A$1:$I$88,5,0)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projet'!$B$14,Paramètres!$A$1:$I$88,7,0))</f>
        <v>0</v>
      </c>
      <c r="DY14" s="16">
        <f>IF(ISNA(VLOOKUP(A14,'Données projet'!$A$165:$I$185,6,0)),0%,VLOOKUP(A14,'Données projet'!$A$165:$I$185,6,0)*VLOOKUP('Données projet'!$B$14,Paramètres!$A$1:$I$88,7,0))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projet'!$B$14,Paramètres!$A$1:$I$88,3,0)*0.475*44/12</f>
        <v>#N/A</v>
      </c>
      <c r="EB14" s="21" t="e">
        <f>EXP(-LN(2)/25)*EB13+(1-EXP(-LN(2)/25))/(LN(2)/25)*Calculateur!DW14*Calculateur!DY14*VLOOKUP('Données projet'!$B$14,Paramètres!$A$1:$I$88,3,0)*0.475*44/12</f>
        <v>#N/A</v>
      </c>
      <c r="EC14" s="21" t="e">
        <f>EXP(-LN(2)/2)*EC13+(1-EXP(-LN(2)/2))/(LN(2)/2)*DW14*DZ14*VLOOKUP('Données projet'!$B$14,Paramètres!$A$1:$I$88,3,0)*0.475*44/12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projet'!$B$15,Paramètres!$A$1:$I$88,3,0)*VLOOKUP('Données projet'!$B$15,Paramètres!$A$1:$I$88,5,0)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projet'!$B$15,Paramètres!$A$1:$I$88,7,0))</f>
        <v>0</v>
      </c>
      <c r="ET14" s="16">
        <f>IF(ISNA(VLOOKUP(A14,'Données projet'!$A$191:$I$211,6,0)),0%,VLOOKUP(A14,'Données projet'!$A$191:$I$211,6,0)*VLOOKUP('Données projet'!$B$15,Paramètres!$A$1:$I$88,7,0))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projet'!$B$15,Paramètres!$A$1:$I$88,3,0)*0.475*44/12</f>
        <v>#N/A</v>
      </c>
      <c r="EW14" s="21" t="e">
        <f>EXP(-LN(2)/25)*EW13+(1-EXP(-LN(2)/25))/(LN(2)/25)*Calculateur!ER14*Calculateur!ET14*VLOOKUP('Données projet'!$B$15,Paramètres!$A$1:$I$88,3,0)*0.475*44/12</f>
        <v>#N/A</v>
      </c>
      <c r="EX14" s="21" t="e">
        <f>EXP(-LN(2)/2)*EX13+(1-EXP(-LN(2)/2))/(LN(2)/2)*ER14*EU14*VLOOKUP('Données projet'!$B$15,Paramètres!$A$1:$I$88,3,0)*0.475*44/12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projet'!$B$16,Paramètres!$A$1:$I$88,3,0)*VLOOKUP('Données projet'!$B$16,Paramètres!$A$1:$I$88,5,0)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projet'!$B$16,Paramètres!$A$1:$I$88,7,0))</f>
        <v>0</v>
      </c>
      <c r="FO14" s="16">
        <f>IF(ISNA(VLOOKUP(A14,'Données projet'!$A$217:$I$237,6,0)),0%,VLOOKUP(A14,'Données projet'!$A$217:$I$237,6,0)*VLOOKUP('Données projet'!$B$16,Paramètres!$A$1:$I$88,7,0))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projet'!$B$16,Paramètres!$A$1:$I$88,3,0)*0.475*44/12</f>
        <v>#N/A</v>
      </c>
      <c r="FR14" s="21" t="e">
        <f>EXP(-LN(2)/25)*FR13+(1-EXP(-LN(2)/25))/(LN(2)/25)*Calculateur!FM14*Calculateur!FO14*VLOOKUP('Données projet'!$B$16,Paramètres!$A$1:$I$88,3,0)*0.475*44/12</f>
        <v>#N/A</v>
      </c>
      <c r="FS14" s="21" t="e">
        <f>EXP(-LN(2)/2)*FS13+(1-EXP(-LN(2)/2))/(LN(2)/2)*FM14*FP14*VLOOKUP('Données projet'!$B$16,Paramètres!$A$1:$I$88,3,0)*0.475*44/12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projet'!$B$17,Paramètres!$A$1:$I$88,3,0)*VLOOKUP('Données projet'!$B$17,Paramètres!$A$1:$I$88,5,0)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projet'!$B$17,Paramètres!$A$1:$I$88,7,0))</f>
        <v>0</v>
      </c>
      <c r="GJ14" s="16">
        <f>IF(ISNA(VLOOKUP(A14,'Données projet'!$A$243:$I$263,6,0)),0%,VLOOKUP(A14,'Données projet'!$A$243:$I$263,6,0)*VLOOKUP('Données projet'!$B$17,Paramètres!$A$1:$I$88,7,0))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projet'!$B$17,Paramètres!$A$1:$I$88,3,0)*0.475*44/12</f>
        <v>#N/A</v>
      </c>
      <c r="GM14" s="21" t="e">
        <f>EXP(-LN(2)/25)*GM13+(1-EXP(-LN(2)/25))/(LN(2)/25)*Calculateur!GH14*Calculateur!GJ14*VLOOKUP('Données projet'!$B$17,Paramètres!$A$1:$I$88,3,0)*0.475*44/12</f>
        <v>#N/A</v>
      </c>
      <c r="GN14" s="21" t="e">
        <f>EXP(-LN(2)/2)*GN13+(1-EXP(-LN(2)/2))/(LN(2)/2)*GH14*GK14*VLOOKUP('Données projet'!$B$17,Paramètres!$A$1:$I$88,3,0)*0.475*44/12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projet'!$B$18,Paramètres!$A$1:$I$88,3,0)*VLOOKUP('Données projet'!$B$18,Paramètres!$A$1:$I$88,5,0)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projet'!$B$18,Paramètres!$A$1:$I$88,7,0))</f>
        <v>0</v>
      </c>
      <c r="HE14" s="16">
        <f>IF(ISNA(VLOOKUP(A14,'Données projet'!$A$269:$I$289,6,0)),0%,VLOOKUP(A14,'Données projet'!$A$269:$I$289,6,0)*VLOOKUP('Données projet'!$B$18,Paramètres!$A$1:$I$88,7,0))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projet'!$B$18,Paramètres!$A$1:$I$88,3,0)*0.475*44/12</f>
        <v>#N/A</v>
      </c>
      <c r="HH14" s="21" t="e">
        <f>EXP(-LN(2)/25)*HH13+(1-EXP(-LN(2)/25))/(LN(2)/25)*Calculateur!HC14*Calculateur!HE14*VLOOKUP('Données projet'!$B$18,Paramètres!$A$1:$I$88,3,0)*0.475*44/12</f>
        <v>#N/A</v>
      </c>
      <c r="HI14" s="21" t="e">
        <f>EXP(-LN(2)/2)*HI13+(1-EXP(-LN(2)/2))/(LN(2)/2)*HC14*HF14*VLOOKUP('Données projet'!$B$18,Paramètres!$A$1:$I$88,3,0)*0.475*44/12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36</v>
      </c>
      <c r="L15" s="12">
        <f>VLOOKUP(A15,'Données projet'!$A$35:$I$55,9,0)</f>
        <v>3</v>
      </c>
      <c r="M15" s="12">
        <f t="array" ref="M15">INDEX(L:L,MIN(IF(ISNUMBER(L15:L211),ROW(L15:L211),"")))</f>
        <v>3</v>
      </c>
      <c r="N15" s="13">
        <f>IF('Données projet'!$A$36&gt;35,N14+M15-V14,IF(A15&lt;'Données projet'!$A$36,$K$205^A15,IF(A15='Données projet'!$A$36,'Données projet'!$B$36,N14+M15-V14)))</f>
        <v>36</v>
      </c>
      <c r="O15" s="13">
        <f>N15*VLOOKUP('Données projet'!$B$9,Paramètres!$A$1:$I$88,3,0)*VLOOKUP('Données projet'!$B$9,Paramètres!$A$1:$I$88,5,0)</f>
        <v>21.528000000000002</v>
      </c>
      <c r="P15" s="13">
        <f t="shared" si="33"/>
        <v>6.9405537312613621</v>
      </c>
      <c r="Q15" s="20">
        <f t="shared" si="2"/>
        <v>49.582731081946882</v>
      </c>
      <c r="R15" s="59">
        <f t="shared" si="0"/>
        <v>320.91606441528018</v>
      </c>
      <c r="S15" s="59">
        <f ca="1">AVERAGE(OFFSET($R$3,0,0,'Données projet'!$E$9+1,1))-AVERAGE(OFFSET($H$3,0,0,'Données projet'!$E$9+1,1))</f>
        <v>195.73441209602686</v>
      </c>
      <c r="T15" s="59">
        <f t="shared" si="34"/>
        <v>219.19129224309006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projet'!$B$9,Paramètres!$A$1:$I$88,7,0))</f>
        <v>0</v>
      </c>
      <c r="X15" s="16">
        <f>IF(ISNA(VLOOKUP(A15,'Données projet'!$A$35:$I$55,6,0)),0%,VLOOKUP(A15,'Données projet'!$A$35:$I$55,6,0)*VLOOKUP('Données projet'!$B$9,Paramètres!$A$1:$I$88,7,0))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projet'!$B$9,Paramètres!$A$1:$I$88,3,0)*0.475*44/12</f>
        <v>0</v>
      </c>
      <c r="AA15" s="21">
        <f>EXP(-LN(2)/25)*AA14+(1-EXP(-LN(2)/25))/(LN(2)/25)*Calculateur!V15*Calculateur!X15*VLOOKUP('Données projet'!$B$9,Paramètres!$A$1:$I$88,3,0)*0.475*44/12</f>
        <v>0</v>
      </c>
      <c r="AB15" s="21">
        <f>EXP(-LN(2)/2)*AB14+(1-EXP(-LN(2)/2))/(LN(2)/2)*V15*Y15*VLOOKUP('Données projet'!$B$9,Paramètres!$A$1:$I$88,3,0)*0.475*44/12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4.55</v>
      </c>
      <c r="AI15" s="13">
        <f>IF('Données projet'!$A$62&gt;35,AI14+AH15-AQ14,IF(A15&lt;'Données projet'!$A$62,$AF$205^A15,IF(A15='Données projet'!$A$62,'Données projet'!$B$62,AI14+AH15-AQ14)))</f>
        <v>14.97700019320108</v>
      </c>
      <c r="AJ15" s="13">
        <f>AI15*VLOOKUP('Données projet'!$B$10,Paramètres!$A$1:$I$88,3,0)*VLOOKUP('Données projet'!$B$10,Paramètres!$A$1:$I$88,5,0)</f>
        <v>8.9562461155342472</v>
      </c>
      <c r="AK15" s="13">
        <f t="shared" si="35"/>
        <v>3.1977949739831653</v>
      </c>
      <c r="AL15" s="20">
        <f t="shared" si="4"/>
        <v>21.168288230909493</v>
      </c>
      <c r="AM15" s="59">
        <f t="shared" si="5"/>
        <v>292.50162156424278</v>
      </c>
      <c r="AN15" s="59">
        <f ca="1">AVERAGE(OFFSET($AM$3,0,0,'Données projet'!$E$10+1,1))-AVERAGE(OFFSET($H$3,0,0,'Données projet'!$E$10+1,1))</f>
        <v>246.59447135626942</v>
      </c>
      <c r="AO15" s="59">
        <f t="shared" si="36"/>
        <v>262.00382544285367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projet'!$B$10,Paramètres!$A$1:$I$88,7,0))</f>
        <v>0</v>
      </c>
      <c r="AS15" s="16">
        <f>IF(ISNA(VLOOKUP(A15,'Données projet'!$A$61:$I$81,6,0)),0%,VLOOKUP(A15,'Données projet'!$A$61:$I$81,6,0)*VLOOKUP('Données projet'!$B$10,Paramètres!$A$1:$I$88,7,0))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projet'!$B$10,Paramètres!$A$1:$I$88,3,0)*0.475*44/12</f>
        <v>0</v>
      </c>
      <c r="AV15" s="21">
        <f>EXP(-LN(2)/25)*AV14+(1-EXP(-LN(2)/25))/(LN(2)/25)*Calculateur!AQ15*Calculateur!AS15*VLOOKUP('Données projet'!$B$10,Paramètres!$A$1:$I$88,3,0)*0.475*44/12</f>
        <v>0</v>
      </c>
      <c r="AW15" s="21">
        <f>EXP(-LN(2)/2)*AW14+(1-EXP(-LN(2)/2))/(LN(2)/2)*AQ15*AT15*VLOOKUP('Données projet'!$B$10,Paramètres!$A$1:$I$88,3,0)*0.475*44/12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15</v>
      </c>
      <c r="BD15" s="12">
        <f>IF('Données projet'!$A$88&gt;35,BD14+BC15-BL14,IF(A15&lt;'Données projet'!$A$88,$BA$205^A15,IF(A15='Données projet'!$A$88,'Données projet'!$B$88,BD14+BC15-BL14)))</f>
        <v>42</v>
      </c>
      <c r="BE15" s="13">
        <f>BD15*VLOOKUP('Données projet'!$B$11,Paramètres!$A$1:$I$88,3,0)*VLOOKUP('Données projet'!$B$11,Paramètres!$A$1:$I$88,5,0)</f>
        <v>23.477999999999998</v>
      </c>
      <c r="BF15" s="13">
        <f t="shared" si="37"/>
        <v>7.4932153017418202</v>
      </c>
      <c r="BG15" s="20">
        <f t="shared" si="7"/>
        <v>53.941533317200332</v>
      </c>
      <c r="BH15" s="59">
        <f t="shared" si="8"/>
        <v>325.27486665053362</v>
      </c>
      <c r="BI15" s="59">
        <f ca="1">AVERAGE(OFFSET($BH$3,0,0,'Données projet'!$E$11+1,1))-AVERAGE(OFFSET($H$3,0,0,'Données projet'!$E$11+1,1))</f>
        <v>355.96253323046608</v>
      </c>
      <c r="BJ15" s="59">
        <f t="shared" si="38"/>
        <v>366.8380442809696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projet'!$B$11,Paramètres!$A$1:$I$88,7,0))</f>
        <v>0</v>
      </c>
      <c r="BN15" s="16">
        <f>IF(ISNA(VLOOKUP(A15,'Données projet'!$A$87:$I$107,6,0)),0%,VLOOKUP(A15,'Données projet'!$A$87:$I$107,6,0)*VLOOKUP('Données projet'!$B$11,Paramètres!$A$1:$I$88,7,0))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projet'!$B$11,Paramètres!$A$1:$I$88,3,0)*0.475*44/12</f>
        <v>0</v>
      </c>
      <c r="BQ15" s="21">
        <f>EXP(-LN(2)/25)*BQ14+(1-EXP(-LN(2)/25))/(LN(2)/25)*Calculateur!BL15*Calculateur!BN15*VLOOKUP('Données projet'!$B$11,Paramètres!$A$1:$I$88,3,0)*0.475*44/12</f>
        <v>0</v>
      </c>
      <c r="BR15" s="21">
        <f>EXP(-LN(2)/2)*BR14+(1-EXP(-LN(2)/2))/(LN(2)/2)*BL15*BO15*VLOOKUP('Données projet'!$B$11,Paramètres!$A$1:$I$88,3,0)*0.475*44/12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4.75</v>
      </c>
      <c r="BY15" s="12">
        <f>IF('Données projet'!$A$114&gt;35,BY14+BX15-CG14,IF(A15&lt;'Données projet'!$A$114,$BV$205^A15,IF(A15='Données projet'!$A$114,'Données projet'!$B$114,BY14+BX15-CG14)))</f>
        <v>15.368594899018873</v>
      </c>
      <c r="BZ15" s="13">
        <f>BY15*VLOOKUP('Données projet'!$B$12,Paramètres!$A$1:$I$88,3,0)*VLOOKUP('Données projet'!$B$12,Paramètres!$A$1:$I$88,5,0)</f>
        <v>10.069503377837167</v>
      </c>
      <c r="CA15" s="13">
        <f t="shared" si="39"/>
        <v>3.5465817876082237</v>
      </c>
      <c r="CB15" s="20">
        <f t="shared" si="10"/>
        <v>23.714681663150724</v>
      </c>
      <c r="CC15" s="59">
        <f t="shared" si="11"/>
        <v>295.04801499648403</v>
      </c>
      <c r="CD15" s="59">
        <f ca="1">AVERAGE(OFFSET($CC$3,0,0,'Données projet'!$E$12+1,1))-AVERAGE(OFFSET($H$3,0,0,'Données projet'!$E$12+1,1))</f>
        <v>180.90147430936133</v>
      </c>
      <c r="CE15" s="59">
        <f t="shared" si="40"/>
        <v>226.87949199830018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projet'!$B$12,Paramètres!$A$1:$I$88,7,0))</f>
        <v>0</v>
      </c>
      <c r="CI15" s="16">
        <f>IF(ISNA(VLOOKUP(A15,'Données projet'!$A$113:$I$133,6,0)),0%,VLOOKUP(A15,'Données projet'!$A$113:$I$133,6,0)*VLOOKUP('Données projet'!$B$12,Paramètres!$A$1:$I$88,7,0))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projet'!$B$12,Paramètres!$A$1:$I$88,3,0)*0.475*44/12</f>
        <v>0</v>
      </c>
      <c r="CL15" s="21">
        <f>EXP(-LN(2)/25)*CL14+(1-EXP(-LN(2)/25))/(LN(2)/25)*Calculateur!CG15*Calculateur!CI15*VLOOKUP('Données projet'!$B$12,Paramètres!$A$1:$I$88,3,0)*0.475*44/12</f>
        <v>0</v>
      </c>
      <c r="CM15" s="21">
        <f>EXP(-LN(2)/2)*CM14+(1-EXP(-LN(2)/2))/(LN(2)/2)*CG15*CJ15*VLOOKUP('Données projet'!$B$12,Paramètres!$A$1:$I$88,3,0)*0.475*44/12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24</v>
      </c>
      <c r="CT15" s="12">
        <f>IF('Données projet'!$A$140&gt;35,CT14+CS15-DB14,IF(A15&lt;'Données projet'!$A$140,$CQ$205^A15,IF(A15='Données projet'!$A$140,'Données projet'!$B$140,CT14+CS15-DB14)))</f>
        <v>100</v>
      </c>
      <c r="CU15" s="17">
        <f>CT15*VLOOKUP('Données projet'!$B$13,Paramètres!$A$1:$I$88,3,0)*VLOOKUP('Données projet'!$B$13,Paramètres!$A$1:$I$88,5,0)</f>
        <v>50.856000000000002</v>
      </c>
      <c r="CV15" s="13">
        <f t="shared" si="41"/>
        <v>14.83460652063861</v>
      </c>
      <c r="CW15" s="20">
        <f t="shared" si="13"/>
        <v>114.41113969011224</v>
      </c>
      <c r="CX15" s="59">
        <f t="shared" si="14"/>
        <v>385.74447302344555</v>
      </c>
      <c r="CY15" s="59">
        <f ca="1">AVERAGE(OFFSET($CX$3,0,0,'Données projet'!$E$13+1,1))-AVERAGE(OFFSET($H$3,0,0,'Données projet'!$E$13+1,1))</f>
        <v>133.08385802816008</v>
      </c>
      <c r="CZ15" s="59">
        <f t="shared" si="42"/>
        <v>316.59112511251385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projet'!$B$13,Paramètres!$A$1:$I$88,7,0))</f>
        <v>0</v>
      </c>
      <c r="DD15" s="16">
        <f>IF(ISNA(VLOOKUP(A15,'Données projet'!$A$139:$I$159,6,0)),0%,VLOOKUP(A15,'Données projet'!$A$139:$I$159,6,0)*VLOOKUP('Données projet'!$B$13,Paramètres!$A$1:$I$88,7,0))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projet'!$B$13,Paramètres!$A$1:$I$88,3,0)*0.475*44/12</f>
        <v>0</v>
      </c>
      <c r="DG15" s="21">
        <f>EXP(-LN(2)/25)*DG14+(1-EXP(-LN(2)/25))/(LN(2)/25)*Calculateur!DB15*Calculateur!DD15*VLOOKUP('Données projet'!$B$13,Paramètres!$A$1:$I$88,3,0)*0.475*44/12</f>
        <v>0</v>
      </c>
      <c r="DH15" s="21">
        <f>EXP(-LN(2)/2)*DH14+(1-EXP(-LN(2)/2))/(LN(2)/2)*DB15*DE15*VLOOKUP('Données projet'!$B$13,Paramètres!$A$1:$I$88,3,0)*0.475*44/12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projet'!$B$14,Paramètres!$A$1:$I$88,3,0)*VLOOKUP('Données projet'!$B$14,Paramètres!$A$1:$I$88,5,0)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projet'!$B$14,Paramètres!$A$1:$I$88,7,0))</f>
        <v>0</v>
      </c>
      <c r="DY15" s="16">
        <f>IF(ISNA(VLOOKUP(A15,'Données projet'!$A$165:$I$185,6,0)),0%,VLOOKUP(A15,'Données projet'!$A$165:$I$185,6,0)*VLOOKUP('Données projet'!$B$14,Paramètres!$A$1:$I$88,7,0))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projet'!$B$14,Paramètres!$A$1:$I$88,3,0)*0.475*44/12</f>
        <v>#N/A</v>
      </c>
      <c r="EB15" s="21" t="e">
        <f>EXP(-LN(2)/25)*EB14+(1-EXP(-LN(2)/25))/(LN(2)/25)*Calculateur!DW15*Calculateur!DY15*VLOOKUP('Données projet'!$B$14,Paramètres!$A$1:$I$88,3,0)*0.475*44/12</f>
        <v>#N/A</v>
      </c>
      <c r="EC15" s="21" t="e">
        <f>EXP(-LN(2)/2)*EC14+(1-EXP(-LN(2)/2))/(LN(2)/2)*DW15*DZ15*VLOOKUP('Données projet'!$B$14,Paramètres!$A$1:$I$88,3,0)*0.475*44/12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projet'!$B$15,Paramètres!$A$1:$I$88,3,0)*VLOOKUP('Données projet'!$B$15,Paramètres!$A$1:$I$88,5,0)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projet'!$B$15,Paramètres!$A$1:$I$88,7,0))</f>
        <v>0</v>
      </c>
      <c r="ET15" s="16">
        <f>IF(ISNA(VLOOKUP(A15,'Données projet'!$A$191:$I$211,6,0)),0%,VLOOKUP(A15,'Données projet'!$A$191:$I$211,6,0)*VLOOKUP('Données projet'!$B$15,Paramètres!$A$1:$I$88,7,0))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projet'!$B$15,Paramètres!$A$1:$I$88,3,0)*0.475*44/12</f>
        <v>#N/A</v>
      </c>
      <c r="EW15" s="21" t="e">
        <f>EXP(-LN(2)/25)*EW14+(1-EXP(-LN(2)/25))/(LN(2)/25)*Calculateur!ER15*Calculateur!ET15*VLOOKUP('Données projet'!$B$15,Paramètres!$A$1:$I$88,3,0)*0.475*44/12</f>
        <v>#N/A</v>
      </c>
      <c r="EX15" s="21" t="e">
        <f>EXP(-LN(2)/2)*EX14+(1-EXP(-LN(2)/2))/(LN(2)/2)*ER15*EU15*VLOOKUP('Données projet'!$B$15,Paramètres!$A$1:$I$88,3,0)*0.475*44/12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projet'!$B$16,Paramètres!$A$1:$I$88,3,0)*VLOOKUP('Données projet'!$B$16,Paramètres!$A$1:$I$88,5,0)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projet'!$B$16,Paramètres!$A$1:$I$88,7,0))</f>
        <v>0</v>
      </c>
      <c r="FO15" s="16">
        <f>IF(ISNA(VLOOKUP(A15,'Données projet'!$A$217:$I$237,6,0)),0%,VLOOKUP(A15,'Données projet'!$A$217:$I$237,6,0)*VLOOKUP('Données projet'!$B$16,Paramètres!$A$1:$I$88,7,0))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projet'!$B$16,Paramètres!$A$1:$I$88,3,0)*0.475*44/12</f>
        <v>#N/A</v>
      </c>
      <c r="FR15" s="21" t="e">
        <f>EXP(-LN(2)/25)*FR14+(1-EXP(-LN(2)/25))/(LN(2)/25)*Calculateur!FM15*Calculateur!FO15*VLOOKUP('Données projet'!$B$16,Paramètres!$A$1:$I$88,3,0)*0.475*44/12</f>
        <v>#N/A</v>
      </c>
      <c r="FS15" s="21" t="e">
        <f>EXP(-LN(2)/2)*FS14+(1-EXP(-LN(2)/2))/(LN(2)/2)*FM15*FP15*VLOOKUP('Données projet'!$B$16,Paramètres!$A$1:$I$88,3,0)*0.475*44/12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projet'!$B$17,Paramètres!$A$1:$I$88,3,0)*VLOOKUP('Données projet'!$B$17,Paramètres!$A$1:$I$88,5,0)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projet'!$B$17,Paramètres!$A$1:$I$88,7,0))</f>
        <v>0</v>
      </c>
      <c r="GJ15" s="16">
        <f>IF(ISNA(VLOOKUP(A15,'Données projet'!$A$243:$I$263,6,0)),0%,VLOOKUP(A15,'Données projet'!$A$243:$I$263,6,0)*VLOOKUP('Données projet'!$B$17,Paramètres!$A$1:$I$88,7,0))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projet'!$B$17,Paramètres!$A$1:$I$88,3,0)*0.475*44/12</f>
        <v>#N/A</v>
      </c>
      <c r="GM15" s="21" t="e">
        <f>EXP(-LN(2)/25)*GM14+(1-EXP(-LN(2)/25))/(LN(2)/25)*Calculateur!GH15*Calculateur!GJ15*VLOOKUP('Données projet'!$B$17,Paramètres!$A$1:$I$88,3,0)*0.475*44/12</f>
        <v>#N/A</v>
      </c>
      <c r="GN15" s="21" t="e">
        <f>EXP(-LN(2)/2)*GN14+(1-EXP(-LN(2)/2))/(LN(2)/2)*GH15*GK15*VLOOKUP('Données projet'!$B$17,Paramètres!$A$1:$I$88,3,0)*0.475*44/12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projet'!$B$18,Paramètres!$A$1:$I$88,3,0)*VLOOKUP('Données projet'!$B$18,Paramètres!$A$1:$I$88,5,0)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projet'!$B$18,Paramètres!$A$1:$I$88,7,0))</f>
        <v>0</v>
      </c>
      <c r="HE15" s="16">
        <f>IF(ISNA(VLOOKUP(A15,'Données projet'!$A$269:$I$289,6,0)),0%,VLOOKUP(A15,'Données projet'!$A$269:$I$289,6,0)*VLOOKUP('Données projet'!$B$18,Paramètres!$A$1:$I$88,7,0))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projet'!$B$18,Paramètres!$A$1:$I$88,3,0)*0.475*44/12</f>
        <v>#N/A</v>
      </c>
      <c r="HH15" s="21" t="e">
        <f>EXP(-LN(2)/25)*HH14+(1-EXP(-LN(2)/25))/(LN(2)/25)*Calculateur!HC15*Calculateur!HE15*VLOOKUP('Données projet'!$B$18,Paramètres!$A$1:$I$88,3,0)*0.475*44/12</f>
        <v>#N/A</v>
      </c>
      <c r="HI15" s="21" t="e">
        <f>EXP(-LN(2)/2)*HI14+(1-EXP(-LN(2)/2))/(LN(2)/2)*HC15*HF15*VLOOKUP('Données projet'!$B$18,Paramètres!$A$1:$I$88,3,0)*0.475*44/12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11.25</v>
      </c>
      <c r="N16" s="13">
        <f>IF('Données projet'!$A$36&gt;35,N15+M16-V15,IF(A16&lt;'Données projet'!$A$36,$K$205^A16,IF(A16='Données projet'!$A$36,'Données projet'!$B$36,N15+M16-V15)))</f>
        <v>47.25</v>
      </c>
      <c r="O16" s="13">
        <f>N16*VLOOKUP('Données projet'!$B$9,Paramètres!$A$1:$I$88,3,0)*VLOOKUP('Données projet'!$B$9,Paramètres!$A$1:$I$88,5,0)</f>
        <v>28.255500000000001</v>
      </c>
      <c r="P16" s="13">
        <f t="shared" si="33"/>
        <v>8.8256494369710552</v>
      </c>
      <c r="Q16" s="20">
        <f t="shared" si="2"/>
        <v>64.583001936057926</v>
      </c>
      <c r="R16" s="59">
        <f t="shared" si="0"/>
        <v>337.13855749161348</v>
      </c>
      <c r="S16" s="59">
        <f ca="1">AVERAGE(OFFSET($R$3,0,0,'Données projet'!$E$9+1,1))-AVERAGE(OFFSET($H$3,0,0,'Données projet'!$E$9+1,1))</f>
        <v>195.73441209602686</v>
      </c>
      <c r="T16" s="59">
        <f t="shared" si="34"/>
        <v>219.19129224309006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projet'!$B$9,Paramètres!$A$1:$I$88,7,0))</f>
        <v>0</v>
      </c>
      <c r="X16" s="16">
        <f>IF(ISNA(VLOOKUP(A16,'Données projet'!$A$35:$I$55,6,0)),0%,VLOOKUP(A16,'Données projet'!$A$35:$I$55,6,0)*VLOOKUP('Données projet'!$B$9,Paramètres!$A$1:$I$88,7,0))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projet'!$B$9,Paramètres!$A$1:$I$88,3,0)*0.475*44/12</f>
        <v>0</v>
      </c>
      <c r="AA16" s="21">
        <f>EXP(-LN(2)/25)*AA15+(1-EXP(-LN(2)/25))/(LN(2)/25)*Calculateur!V16*Calculateur!X16*VLOOKUP('Données projet'!$B$9,Paramètres!$A$1:$I$88,3,0)*0.475*44/12</f>
        <v>0</v>
      </c>
      <c r="AB16" s="21">
        <f>EXP(-LN(2)/2)*AB15+(1-EXP(-LN(2)/2))/(LN(2)/2)*V16*Y16*VLOOKUP('Données projet'!$B$9,Paramètres!$A$1:$I$88,3,0)*0.475*44/12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4.55</v>
      </c>
      <c r="AI16" s="13">
        <f>IF('Données projet'!$A$62&gt;35,AI15+AH16-AQ15,IF(A16&lt;'Données projet'!$A$62,$AF$205^A16,IF(A16='Données projet'!$A$62,'Données projet'!$B$62,AI15+AH16-AQ15)))</f>
        <v>18.766224393311244</v>
      </c>
      <c r="AJ16" s="13">
        <f>AI16*VLOOKUP('Données projet'!$B$10,Paramètres!$A$1:$I$88,3,0)*VLOOKUP('Données projet'!$B$10,Paramètres!$A$1:$I$88,5,0)</f>
        <v>11.222202187200125</v>
      </c>
      <c r="AK16" s="13">
        <f t="shared" si="35"/>
        <v>3.903022584605345</v>
      </c>
      <c r="AL16" s="20">
        <f t="shared" si="4"/>
        <v>26.343099810894525</v>
      </c>
      <c r="AM16" s="59">
        <f t="shared" si="5"/>
        <v>298.89865536645004</v>
      </c>
      <c r="AN16" s="59">
        <f ca="1">AVERAGE(OFFSET($AM$3,0,0,'Données projet'!$E$10+1,1))-AVERAGE(OFFSET($H$3,0,0,'Données projet'!$E$10+1,1))</f>
        <v>246.59447135626942</v>
      </c>
      <c r="AO16" s="59">
        <f t="shared" si="36"/>
        <v>262.00382544285367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projet'!$B$10,Paramètres!$A$1:$I$88,7,0))</f>
        <v>0</v>
      </c>
      <c r="AS16" s="16">
        <f>IF(ISNA(VLOOKUP(A16,'Données projet'!$A$61:$I$81,6,0)),0%,VLOOKUP(A16,'Données projet'!$A$61:$I$81,6,0)*VLOOKUP('Données projet'!$B$10,Paramètres!$A$1:$I$88,7,0))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projet'!$B$10,Paramètres!$A$1:$I$88,3,0)*0.475*44/12</f>
        <v>0</v>
      </c>
      <c r="AV16" s="21">
        <f>EXP(-LN(2)/25)*AV15+(1-EXP(-LN(2)/25))/(LN(2)/25)*Calculateur!AQ16*Calculateur!AS16*VLOOKUP('Données projet'!$B$10,Paramètres!$A$1:$I$88,3,0)*0.475*44/12</f>
        <v>0</v>
      </c>
      <c r="AW16" s="21">
        <f>EXP(-LN(2)/2)*AW15+(1-EXP(-LN(2)/2))/(LN(2)/2)*AQ16*AT16*VLOOKUP('Données projet'!$B$10,Paramètres!$A$1:$I$88,3,0)*0.475*44/12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15</v>
      </c>
      <c r="BD16" s="12">
        <f>IF('Données projet'!$A$88&gt;35,BD15+BC16-BL15,IF(A16&lt;'Données projet'!$A$88,$BA$205^A16,IF(A16='Données projet'!$A$88,'Données projet'!$B$88,BD15+BC16-BL15)))</f>
        <v>57</v>
      </c>
      <c r="BE16" s="13">
        <f>BD16*VLOOKUP('Données projet'!$B$11,Paramètres!$A$1:$I$88,3,0)*VLOOKUP('Données projet'!$B$11,Paramètres!$A$1:$I$88,5,0)</f>
        <v>31.863</v>
      </c>
      <c r="BF16" s="13">
        <f t="shared" si="37"/>
        <v>9.8142283995824151</v>
      </c>
      <c r="BG16" s="20">
        <f t="shared" si="7"/>
        <v>72.587839462606041</v>
      </c>
      <c r="BH16" s="59">
        <f t="shared" si="8"/>
        <v>345.14339501816158</v>
      </c>
      <c r="BI16" s="59">
        <f ca="1">AVERAGE(OFFSET($BH$3,0,0,'Données projet'!$E$11+1,1))-AVERAGE(OFFSET($H$3,0,0,'Données projet'!$E$11+1,1))</f>
        <v>355.96253323046608</v>
      </c>
      <c r="BJ16" s="59">
        <f t="shared" si="38"/>
        <v>366.8380442809696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projet'!$B$11,Paramètres!$A$1:$I$88,7,0))</f>
        <v>0</v>
      </c>
      <c r="BN16" s="16">
        <f>IF(ISNA(VLOOKUP(A16,'Données projet'!$A$87:$I$107,6,0)),0%,VLOOKUP(A16,'Données projet'!$A$87:$I$107,6,0)*VLOOKUP('Données projet'!$B$11,Paramètres!$A$1:$I$88,7,0))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projet'!$B$11,Paramètres!$A$1:$I$88,3,0)*0.475*44/12</f>
        <v>0</v>
      </c>
      <c r="BQ16" s="21">
        <f>EXP(-LN(2)/25)*BQ15+(1-EXP(-LN(2)/25))/(LN(2)/25)*Calculateur!BL16*Calculateur!BN16*VLOOKUP('Données projet'!$B$11,Paramètres!$A$1:$I$88,3,0)*0.475*44/12</f>
        <v>0</v>
      </c>
      <c r="BR16" s="21">
        <f>EXP(-LN(2)/2)*BR15+(1-EXP(-LN(2)/2))/(LN(2)/2)*BL16*BO16*VLOOKUP('Données projet'!$B$11,Paramètres!$A$1:$I$88,3,0)*0.475*44/12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4.75</v>
      </c>
      <c r="BY16" s="12">
        <f>IF('Données projet'!$A$114&gt;35,BY15+BX16-CG15,IF(A16&lt;'Données projet'!$A$114,$BV$205^A16,IF(A16='Données projet'!$A$114,'Données projet'!$B$114,BY15+BX16-CG15)))</f>
        <v>19.298357323959845</v>
      </c>
      <c r="BZ16" s="13">
        <f>BY16*VLOOKUP('Données projet'!$B$12,Paramètres!$A$1:$I$88,3,0)*VLOOKUP('Données projet'!$B$12,Paramètres!$A$1:$I$88,5,0)</f>
        <v>12.644283718658489</v>
      </c>
      <c r="CA16" s="13">
        <f t="shared" si="39"/>
        <v>4.3369639124560413</v>
      </c>
      <c r="CB16" s="20">
        <f t="shared" si="10"/>
        <v>29.575672957524475</v>
      </c>
      <c r="CC16" s="59">
        <f t="shared" si="11"/>
        <v>302.13122851308003</v>
      </c>
      <c r="CD16" s="59">
        <f ca="1">AVERAGE(OFFSET($CC$3,0,0,'Données projet'!$E$12+1,1))-AVERAGE(OFFSET($H$3,0,0,'Données projet'!$E$12+1,1))</f>
        <v>180.90147430936133</v>
      </c>
      <c r="CE16" s="59">
        <f t="shared" si="40"/>
        <v>226.87949199830018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projet'!$B$12,Paramètres!$A$1:$I$88,7,0))</f>
        <v>0</v>
      </c>
      <c r="CI16" s="16">
        <f>IF(ISNA(VLOOKUP(A16,'Données projet'!$A$113:$I$133,6,0)),0%,VLOOKUP(A16,'Données projet'!$A$113:$I$133,6,0)*VLOOKUP('Données projet'!$B$12,Paramètres!$A$1:$I$88,7,0))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projet'!$B$12,Paramètres!$A$1:$I$88,3,0)*0.475*44/12</f>
        <v>0</v>
      </c>
      <c r="CL16" s="21">
        <f>EXP(-LN(2)/25)*CL15+(1-EXP(-LN(2)/25))/(LN(2)/25)*Calculateur!CG16*Calculateur!CI16*VLOOKUP('Données projet'!$B$12,Paramètres!$A$1:$I$88,3,0)*0.475*44/12</f>
        <v>0</v>
      </c>
      <c r="CM16" s="21">
        <f>EXP(-LN(2)/2)*CM15+(1-EXP(-LN(2)/2))/(LN(2)/2)*CG16*CJ16*VLOOKUP('Données projet'!$B$12,Paramètres!$A$1:$I$88,3,0)*0.475*44/12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24</v>
      </c>
      <c r="CT16" s="12">
        <f>IF('Données projet'!$A$140&gt;35,CT15+CS16-DB15,IF(A16&lt;'Données projet'!$A$140,$CQ$205^A16,IF(A16='Données projet'!$A$140,'Données projet'!$B$140,CT15+CS16-DB15)))</f>
        <v>124</v>
      </c>
      <c r="CU16" s="17">
        <f>CT16*VLOOKUP('Données projet'!$B$13,Paramètres!$A$1:$I$88,3,0)*VLOOKUP('Données projet'!$B$13,Paramètres!$A$1:$I$88,5,0)</f>
        <v>63.061440000000005</v>
      </c>
      <c r="CV16" s="13">
        <f t="shared" si="41"/>
        <v>17.940041048051118</v>
      </c>
      <c r="CW16" s="20">
        <f t="shared" si="13"/>
        <v>141.07757949202235</v>
      </c>
      <c r="CX16" s="59">
        <f t="shared" si="14"/>
        <v>413.63313504757787</v>
      </c>
      <c r="CY16" s="59">
        <f ca="1">AVERAGE(OFFSET($CX$3,0,0,'Données projet'!$E$13+1,1))-AVERAGE(OFFSET($H$3,0,0,'Données projet'!$E$13+1,1))</f>
        <v>133.08385802816008</v>
      </c>
      <c r="CZ16" s="59">
        <f t="shared" si="42"/>
        <v>316.59112511251385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projet'!$B$13,Paramètres!$A$1:$I$88,7,0))</f>
        <v>0</v>
      </c>
      <c r="DD16" s="16">
        <f>IF(ISNA(VLOOKUP(A16,'Données projet'!$A$139:$I$159,6,0)),0%,VLOOKUP(A16,'Données projet'!$A$139:$I$159,6,0)*VLOOKUP('Données projet'!$B$13,Paramètres!$A$1:$I$88,7,0))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projet'!$B$13,Paramètres!$A$1:$I$88,3,0)*0.475*44/12</f>
        <v>0</v>
      </c>
      <c r="DG16" s="21">
        <f>EXP(-LN(2)/25)*DG15+(1-EXP(-LN(2)/25))/(LN(2)/25)*Calculateur!DB16*Calculateur!DD16*VLOOKUP('Données projet'!$B$13,Paramètres!$A$1:$I$88,3,0)*0.475*44/12</f>
        <v>0</v>
      </c>
      <c r="DH16" s="21">
        <f>EXP(-LN(2)/2)*DH15+(1-EXP(-LN(2)/2))/(LN(2)/2)*DB16*DE16*VLOOKUP('Données projet'!$B$13,Paramètres!$A$1:$I$88,3,0)*0.475*44/12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projet'!$B$14,Paramètres!$A$1:$I$88,3,0)*VLOOKUP('Données projet'!$B$14,Paramètres!$A$1:$I$88,5,0)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projet'!$B$14,Paramètres!$A$1:$I$88,7,0))</f>
        <v>0</v>
      </c>
      <c r="DY16" s="16">
        <f>IF(ISNA(VLOOKUP(A16,'Données projet'!$A$165:$I$185,6,0)),0%,VLOOKUP(A16,'Données projet'!$A$165:$I$185,6,0)*VLOOKUP('Données projet'!$B$14,Paramètres!$A$1:$I$88,7,0))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projet'!$B$14,Paramètres!$A$1:$I$88,3,0)*0.475*44/12</f>
        <v>#N/A</v>
      </c>
      <c r="EB16" s="21" t="e">
        <f>EXP(-LN(2)/25)*EB15+(1-EXP(-LN(2)/25))/(LN(2)/25)*Calculateur!DW16*Calculateur!DY16*VLOOKUP('Données projet'!$B$14,Paramètres!$A$1:$I$88,3,0)*0.475*44/12</f>
        <v>#N/A</v>
      </c>
      <c r="EC16" s="21" t="e">
        <f>EXP(-LN(2)/2)*EC15+(1-EXP(-LN(2)/2))/(LN(2)/2)*DW16*DZ16*VLOOKUP('Données projet'!$B$14,Paramètres!$A$1:$I$88,3,0)*0.475*44/12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projet'!$B$15,Paramètres!$A$1:$I$88,3,0)*VLOOKUP('Données projet'!$B$15,Paramètres!$A$1:$I$88,5,0)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projet'!$B$15,Paramètres!$A$1:$I$88,7,0))</f>
        <v>0</v>
      </c>
      <c r="ET16" s="16">
        <f>IF(ISNA(VLOOKUP(A16,'Données projet'!$A$191:$I$211,6,0)),0%,VLOOKUP(A16,'Données projet'!$A$191:$I$211,6,0)*VLOOKUP('Données projet'!$B$15,Paramètres!$A$1:$I$88,7,0))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projet'!$B$15,Paramètres!$A$1:$I$88,3,0)*0.475*44/12</f>
        <v>#N/A</v>
      </c>
      <c r="EW16" s="21" t="e">
        <f>EXP(-LN(2)/25)*EW15+(1-EXP(-LN(2)/25))/(LN(2)/25)*Calculateur!ER16*Calculateur!ET16*VLOOKUP('Données projet'!$B$15,Paramètres!$A$1:$I$88,3,0)*0.475*44/12</f>
        <v>#N/A</v>
      </c>
      <c r="EX16" s="21" t="e">
        <f>EXP(-LN(2)/2)*EX15+(1-EXP(-LN(2)/2))/(LN(2)/2)*ER16*EU16*VLOOKUP('Données projet'!$B$15,Paramètres!$A$1:$I$88,3,0)*0.475*44/12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projet'!$B$16,Paramètres!$A$1:$I$88,3,0)*VLOOKUP('Données projet'!$B$16,Paramètres!$A$1:$I$88,5,0)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projet'!$B$16,Paramètres!$A$1:$I$88,7,0))</f>
        <v>0</v>
      </c>
      <c r="FO16" s="16">
        <f>IF(ISNA(VLOOKUP(A16,'Données projet'!$A$217:$I$237,6,0)),0%,VLOOKUP(A16,'Données projet'!$A$217:$I$237,6,0)*VLOOKUP('Données projet'!$B$16,Paramètres!$A$1:$I$88,7,0))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projet'!$B$16,Paramètres!$A$1:$I$88,3,0)*0.475*44/12</f>
        <v>#N/A</v>
      </c>
      <c r="FR16" s="21" t="e">
        <f>EXP(-LN(2)/25)*FR15+(1-EXP(-LN(2)/25))/(LN(2)/25)*Calculateur!FM16*Calculateur!FO16*VLOOKUP('Données projet'!$B$16,Paramètres!$A$1:$I$88,3,0)*0.475*44/12</f>
        <v>#N/A</v>
      </c>
      <c r="FS16" s="21" t="e">
        <f>EXP(-LN(2)/2)*FS15+(1-EXP(-LN(2)/2))/(LN(2)/2)*FM16*FP16*VLOOKUP('Données projet'!$B$16,Paramètres!$A$1:$I$88,3,0)*0.475*44/12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projet'!$B$17,Paramètres!$A$1:$I$88,3,0)*VLOOKUP('Données projet'!$B$17,Paramètres!$A$1:$I$88,5,0)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projet'!$B$17,Paramètres!$A$1:$I$88,7,0))</f>
        <v>0</v>
      </c>
      <c r="GJ16" s="16">
        <f>IF(ISNA(VLOOKUP(A16,'Données projet'!$A$243:$I$263,6,0)),0%,VLOOKUP(A16,'Données projet'!$A$243:$I$263,6,0)*VLOOKUP('Données projet'!$B$17,Paramètres!$A$1:$I$88,7,0))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projet'!$B$17,Paramètres!$A$1:$I$88,3,0)*0.475*44/12</f>
        <v>#N/A</v>
      </c>
      <c r="GM16" s="21" t="e">
        <f>EXP(-LN(2)/25)*GM15+(1-EXP(-LN(2)/25))/(LN(2)/25)*Calculateur!GH16*Calculateur!GJ16*VLOOKUP('Données projet'!$B$17,Paramètres!$A$1:$I$88,3,0)*0.475*44/12</f>
        <v>#N/A</v>
      </c>
      <c r="GN16" s="21" t="e">
        <f>EXP(-LN(2)/2)*GN15+(1-EXP(-LN(2)/2))/(LN(2)/2)*GH16*GK16*VLOOKUP('Données projet'!$B$17,Paramètres!$A$1:$I$88,3,0)*0.475*44/12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projet'!$B$18,Paramètres!$A$1:$I$88,3,0)*VLOOKUP('Données projet'!$B$18,Paramètres!$A$1:$I$88,5,0)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projet'!$B$18,Paramètres!$A$1:$I$88,7,0))</f>
        <v>0</v>
      </c>
      <c r="HE16" s="16">
        <f>IF(ISNA(VLOOKUP(A16,'Données projet'!$A$269:$I$289,6,0)),0%,VLOOKUP(A16,'Données projet'!$A$269:$I$289,6,0)*VLOOKUP('Données projet'!$B$18,Paramètres!$A$1:$I$88,7,0))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projet'!$B$18,Paramètres!$A$1:$I$88,3,0)*0.475*44/12</f>
        <v>#N/A</v>
      </c>
      <c r="HH16" s="21" t="e">
        <f>EXP(-LN(2)/25)*HH15+(1-EXP(-LN(2)/25))/(LN(2)/25)*Calculateur!HC16*Calculateur!HE16*VLOOKUP('Données projet'!$B$18,Paramètres!$A$1:$I$88,3,0)*0.475*44/12</f>
        <v>#N/A</v>
      </c>
      <c r="HI16" s="21" t="e">
        <f>EXP(-LN(2)/2)*HI15+(1-EXP(-LN(2)/2))/(LN(2)/2)*HC16*HF16*VLOOKUP('Données projet'!$B$18,Paramètres!$A$1:$I$88,3,0)*0.475*44/12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11.25</v>
      </c>
      <c r="N17" s="13">
        <f>IF('Données projet'!$A$36&gt;35,N16+M17-V16,IF(A17&lt;'Données projet'!$A$36,$K$205^A17,IF(A17='Données projet'!$A$36,'Données projet'!$B$36,N16+M17-V16)))</f>
        <v>58.5</v>
      </c>
      <c r="O17" s="13">
        <f>N17*VLOOKUP('Données projet'!$B$9,Paramètres!$A$1:$I$88,3,0)*VLOOKUP('Données projet'!$B$9,Paramètres!$A$1:$I$88,5,0)</f>
        <v>34.983000000000004</v>
      </c>
      <c r="P17" s="13">
        <f t="shared" si="33"/>
        <v>10.658697928430266</v>
      </c>
      <c r="Q17" s="20">
        <f t="shared" si="2"/>
        <v>79.492623892016056</v>
      </c>
      <c r="R17" s="59">
        <f t="shared" si="0"/>
        <v>353.27040166979384</v>
      </c>
      <c r="S17" s="59">
        <f ca="1">AVERAGE(OFFSET($R$3,0,0,'Données projet'!$E$9+1,1))-AVERAGE(OFFSET($H$3,0,0,'Données projet'!$E$9+1,1))</f>
        <v>195.73441209602686</v>
      </c>
      <c r="T17" s="59">
        <f t="shared" si="34"/>
        <v>219.19129224309006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projet'!$B$9,Paramètres!$A$1:$I$88,7,0))</f>
        <v>0</v>
      </c>
      <c r="X17" s="16">
        <f>IF(ISNA(VLOOKUP(A17,'Données projet'!$A$35:$I$55,6,0)),0%,VLOOKUP(A17,'Données projet'!$A$35:$I$55,6,0)*VLOOKUP('Données projet'!$B$9,Paramètres!$A$1:$I$88,7,0))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projet'!$B$9,Paramètres!$A$1:$I$88,3,0)*0.475*44/12</f>
        <v>0</v>
      </c>
      <c r="AA17" s="21">
        <f>EXP(-LN(2)/25)*AA16+(1-EXP(-LN(2)/25))/(LN(2)/25)*Calculateur!V17*Calculateur!X17*VLOOKUP('Données projet'!$B$9,Paramètres!$A$1:$I$88,3,0)*0.475*44/12</f>
        <v>0</v>
      </c>
      <c r="AB17" s="21">
        <f>EXP(-LN(2)/2)*AB16+(1-EXP(-LN(2)/2))/(LN(2)/2)*V17*Y17*VLOOKUP('Données projet'!$B$9,Paramètres!$A$1:$I$88,3,0)*0.475*44/12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4.55</v>
      </c>
      <c r="AI17" s="13">
        <f>IF('Données projet'!$A$62&gt;35,AI16+AH17-AQ16,IF(A17&lt;'Données projet'!$A$62,$AF$205^A17,IF(A17='Données projet'!$A$62,'Données projet'!$B$62,AI16+AH17-AQ16)))</f>
        <v>23.514133233434862</v>
      </c>
      <c r="AJ17" s="13">
        <f>AI17*VLOOKUP('Données projet'!$B$10,Paramètres!$A$1:$I$88,3,0)*VLOOKUP('Données projet'!$B$10,Paramètres!$A$1:$I$88,5,0)</f>
        <v>14.061451673594048</v>
      </c>
      <c r="AK17" s="13">
        <f t="shared" si="35"/>
        <v>4.7637779844792423</v>
      </c>
      <c r="AL17" s="20">
        <f t="shared" si="4"/>
        <v>32.787274987810981</v>
      </c>
      <c r="AM17" s="59">
        <f t="shared" si="5"/>
        <v>306.56505276558875</v>
      </c>
      <c r="AN17" s="59">
        <f ca="1">AVERAGE(OFFSET($AM$3,0,0,'Données projet'!$E$10+1,1))-AVERAGE(OFFSET($H$3,0,0,'Données projet'!$E$10+1,1))</f>
        <v>246.59447135626942</v>
      </c>
      <c r="AO17" s="59">
        <f t="shared" si="36"/>
        <v>262.00382544285367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projet'!$B$10,Paramètres!$A$1:$I$88,7,0))</f>
        <v>0</v>
      </c>
      <c r="AS17" s="16">
        <f>IF(ISNA(VLOOKUP(A17,'Données projet'!$A$61:$I$81,6,0)),0%,VLOOKUP(A17,'Données projet'!$A$61:$I$81,6,0)*VLOOKUP('Données projet'!$B$10,Paramètres!$A$1:$I$88,7,0))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projet'!$B$10,Paramètres!$A$1:$I$88,3,0)*0.475*44/12</f>
        <v>0</v>
      </c>
      <c r="AV17" s="21">
        <f>EXP(-LN(2)/25)*AV16+(1-EXP(-LN(2)/25))/(LN(2)/25)*Calculateur!AQ17*Calculateur!AS17*VLOOKUP('Données projet'!$B$10,Paramètres!$A$1:$I$88,3,0)*0.475*44/12</f>
        <v>0</v>
      </c>
      <c r="AW17" s="21">
        <f>EXP(-LN(2)/2)*AW16+(1-EXP(-LN(2)/2))/(LN(2)/2)*AQ17*AT17*VLOOKUP('Données projet'!$B$10,Paramètres!$A$1:$I$88,3,0)*0.475*44/12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15</v>
      </c>
      <c r="BD17" s="12">
        <f>IF('Données projet'!$A$88&gt;35,BD16+BC17-BL16,IF(A17&lt;'Données projet'!$A$88,$BA$205^A17,IF(A17='Données projet'!$A$88,'Données projet'!$B$88,BD16+BC17-BL16)))</f>
        <v>72</v>
      </c>
      <c r="BE17" s="13">
        <f>BD17*VLOOKUP('Données projet'!$B$11,Paramètres!$A$1:$I$88,3,0)*VLOOKUP('Données projet'!$B$11,Paramètres!$A$1:$I$88,5,0)</f>
        <v>40.248000000000005</v>
      </c>
      <c r="BF17" s="13">
        <f t="shared" si="37"/>
        <v>12.064355669675363</v>
      </c>
      <c r="BG17" s="20">
        <f t="shared" si="7"/>
        <v>91.110686124684605</v>
      </c>
      <c r="BH17" s="59">
        <f t="shared" si="8"/>
        <v>364.88846390246238</v>
      </c>
      <c r="BI17" s="59">
        <f ca="1">AVERAGE(OFFSET($BH$3,0,0,'Données projet'!$E$11+1,1))-AVERAGE(OFFSET($H$3,0,0,'Données projet'!$E$11+1,1))</f>
        <v>355.96253323046608</v>
      </c>
      <c r="BJ17" s="59">
        <f t="shared" si="38"/>
        <v>366.8380442809696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projet'!$B$11,Paramètres!$A$1:$I$88,7,0))</f>
        <v>0</v>
      </c>
      <c r="BN17" s="16">
        <f>IF(ISNA(VLOOKUP(A17,'Données projet'!$A$87:$I$107,6,0)),0%,VLOOKUP(A17,'Données projet'!$A$87:$I$107,6,0)*VLOOKUP('Données projet'!$B$11,Paramètres!$A$1:$I$88,7,0))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projet'!$B$11,Paramètres!$A$1:$I$88,3,0)*0.475*44/12</f>
        <v>0</v>
      </c>
      <c r="BQ17" s="21">
        <f>EXP(-LN(2)/25)*BQ16+(1-EXP(-LN(2)/25))/(LN(2)/25)*Calculateur!BL17*Calculateur!BN17*VLOOKUP('Données projet'!$B$11,Paramètres!$A$1:$I$88,3,0)*0.475*44/12</f>
        <v>0</v>
      </c>
      <c r="BR17" s="21">
        <f>EXP(-LN(2)/2)*BR16+(1-EXP(-LN(2)/2))/(LN(2)/2)*BL17*BO17*VLOOKUP('Données projet'!$B$11,Paramètres!$A$1:$I$88,3,0)*0.475*44/12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4.75</v>
      </c>
      <c r="BY17" s="12">
        <f>IF('Données projet'!$A$114&gt;35,BY16+BX17-CG16,IF(A17&lt;'Données projet'!$A$114,$BV$205^A17,IF(A17='Données projet'!$A$114,'Données projet'!$B$114,BY16+BX17-CG16)))</f>
        <v>24.232963250726986</v>
      </c>
      <c r="BZ17" s="13">
        <f>BY17*VLOOKUP('Données projet'!$B$12,Paramètres!$A$1:$I$88,3,0)*VLOOKUP('Données projet'!$B$12,Paramètres!$A$1:$I$88,5,0)</f>
        <v>15.87743752187632</v>
      </c>
      <c r="CA17" s="13">
        <f t="shared" si="39"/>
        <v>5.3034885713521813</v>
      </c>
      <c r="CB17" s="20">
        <f t="shared" si="10"/>
        <v>36.890112945706299</v>
      </c>
      <c r="CC17" s="59">
        <f t="shared" si="11"/>
        <v>310.66789072348405</v>
      </c>
      <c r="CD17" s="59">
        <f ca="1">AVERAGE(OFFSET($CC$3,0,0,'Données projet'!$E$12+1,1))-AVERAGE(OFFSET($H$3,0,0,'Données projet'!$E$12+1,1))</f>
        <v>180.90147430936133</v>
      </c>
      <c r="CE17" s="59">
        <f t="shared" si="40"/>
        <v>226.87949199830018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projet'!$B$12,Paramètres!$A$1:$I$88,7,0))</f>
        <v>0</v>
      </c>
      <c r="CI17" s="16">
        <f>IF(ISNA(VLOOKUP(A17,'Données projet'!$A$113:$I$133,6,0)),0%,VLOOKUP(A17,'Données projet'!$A$113:$I$133,6,0)*VLOOKUP('Données projet'!$B$12,Paramètres!$A$1:$I$88,7,0))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projet'!$B$12,Paramètres!$A$1:$I$88,3,0)*0.475*44/12</f>
        <v>0</v>
      </c>
      <c r="CL17" s="21">
        <f>EXP(-LN(2)/25)*CL16+(1-EXP(-LN(2)/25))/(LN(2)/25)*Calculateur!CG17*Calculateur!CI17*VLOOKUP('Données projet'!$B$12,Paramètres!$A$1:$I$88,3,0)*0.475*44/12</f>
        <v>0</v>
      </c>
      <c r="CM17" s="21">
        <f>EXP(-LN(2)/2)*CM16+(1-EXP(-LN(2)/2))/(LN(2)/2)*CG17*CJ17*VLOOKUP('Données projet'!$B$12,Paramètres!$A$1:$I$88,3,0)*0.475*44/12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24</v>
      </c>
      <c r="CT17" s="12">
        <f>IF('Données projet'!$A$140&gt;35,CT16+CS17-DB16,IF(A17&lt;'Données projet'!$A$140,$CQ$205^A17,IF(A17='Données projet'!$A$140,'Données projet'!$B$140,CT16+CS17-DB16)))</f>
        <v>148</v>
      </c>
      <c r="CU17" s="17">
        <f>CT17*VLOOKUP('Données projet'!$B$13,Paramètres!$A$1:$I$88,3,0)*VLOOKUP('Données projet'!$B$13,Paramètres!$A$1:$I$88,5,0)</f>
        <v>75.266880000000015</v>
      </c>
      <c r="CV17" s="13">
        <f t="shared" si="41"/>
        <v>20.975836207660869</v>
      </c>
      <c r="CW17" s="20">
        <f t="shared" si="13"/>
        <v>167.6227307283427</v>
      </c>
      <c r="CX17" s="59">
        <f t="shared" si="14"/>
        <v>441.40050850612045</v>
      </c>
      <c r="CY17" s="59">
        <f ca="1">AVERAGE(OFFSET($CX$3,0,0,'Données projet'!$E$13+1,1))-AVERAGE(OFFSET($H$3,0,0,'Données projet'!$E$13+1,1))</f>
        <v>133.08385802816008</v>
      </c>
      <c r="CZ17" s="59">
        <f t="shared" si="42"/>
        <v>316.59112511251385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projet'!$B$13,Paramètres!$A$1:$I$88,7,0))</f>
        <v>0</v>
      </c>
      <c r="DD17" s="16">
        <f>IF(ISNA(VLOOKUP(A17,'Données projet'!$A$139:$I$159,6,0)),0%,VLOOKUP(A17,'Données projet'!$A$139:$I$159,6,0)*VLOOKUP('Données projet'!$B$13,Paramètres!$A$1:$I$88,7,0))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projet'!$B$13,Paramètres!$A$1:$I$88,3,0)*0.475*44/12</f>
        <v>0</v>
      </c>
      <c r="DG17" s="21">
        <f>EXP(-LN(2)/25)*DG16+(1-EXP(-LN(2)/25))/(LN(2)/25)*Calculateur!DB17*Calculateur!DD17*VLOOKUP('Données projet'!$B$13,Paramètres!$A$1:$I$88,3,0)*0.475*44/12</f>
        <v>0</v>
      </c>
      <c r="DH17" s="21">
        <f>EXP(-LN(2)/2)*DH16+(1-EXP(-LN(2)/2))/(LN(2)/2)*DB17*DE17*VLOOKUP('Données projet'!$B$13,Paramètres!$A$1:$I$88,3,0)*0.475*44/12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projet'!$B$14,Paramètres!$A$1:$I$88,3,0)*VLOOKUP('Données projet'!$B$14,Paramètres!$A$1:$I$88,5,0)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projet'!$B$14,Paramètres!$A$1:$I$88,7,0))</f>
        <v>0</v>
      </c>
      <c r="DY17" s="16">
        <f>IF(ISNA(VLOOKUP(A17,'Données projet'!$A$165:$I$185,6,0)),0%,VLOOKUP(A17,'Données projet'!$A$165:$I$185,6,0)*VLOOKUP('Données projet'!$B$14,Paramètres!$A$1:$I$88,7,0))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projet'!$B$14,Paramètres!$A$1:$I$88,3,0)*0.475*44/12</f>
        <v>#N/A</v>
      </c>
      <c r="EB17" s="21" t="e">
        <f>EXP(-LN(2)/25)*EB16+(1-EXP(-LN(2)/25))/(LN(2)/25)*Calculateur!DW17*Calculateur!DY17*VLOOKUP('Données projet'!$B$14,Paramètres!$A$1:$I$88,3,0)*0.475*44/12</f>
        <v>#N/A</v>
      </c>
      <c r="EC17" s="21" t="e">
        <f>EXP(-LN(2)/2)*EC16+(1-EXP(-LN(2)/2))/(LN(2)/2)*DW17*DZ17*VLOOKUP('Données projet'!$B$14,Paramètres!$A$1:$I$88,3,0)*0.475*44/12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projet'!$B$15,Paramètres!$A$1:$I$88,3,0)*VLOOKUP('Données projet'!$B$15,Paramètres!$A$1:$I$88,5,0)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projet'!$B$15,Paramètres!$A$1:$I$88,7,0))</f>
        <v>0</v>
      </c>
      <c r="ET17" s="16">
        <f>IF(ISNA(VLOOKUP(A17,'Données projet'!$A$191:$I$211,6,0)),0%,VLOOKUP(A17,'Données projet'!$A$191:$I$211,6,0)*VLOOKUP('Données projet'!$B$15,Paramètres!$A$1:$I$88,7,0))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projet'!$B$15,Paramètres!$A$1:$I$88,3,0)*0.475*44/12</f>
        <v>#N/A</v>
      </c>
      <c r="EW17" s="21" t="e">
        <f>EXP(-LN(2)/25)*EW16+(1-EXP(-LN(2)/25))/(LN(2)/25)*Calculateur!ER17*Calculateur!ET17*VLOOKUP('Données projet'!$B$15,Paramètres!$A$1:$I$88,3,0)*0.475*44/12</f>
        <v>#N/A</v>
      </c>
      <c r="EX17" s="21" t="e">
        <f>EXP(-LN(2)/2)*EX16+(1-EXP(-LN(2)/2))/(LN(2)/2)*ER17*EU17*VLOOKUP('Données projet'!$B$15,Paramètres!$A$1:$I$88,3,0)*0.475*44/12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projet'!$B$16,Paramètres!$A$1:$I$88,3,0)*VLOOKUP('Données projet'!$B$16,Paramètres!$A$1:$I$88,5,0)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projet'!$B$16,Paramètres!$A$1:$I$88,7,0))</f>
        <v>0</v>
      </c>
      <c r="FO17" s="16">
        <f>IF(ISNA(VLOOKUP(A17,'Données projet'!$A$217:$I$237,6,0)),0%,VLOOKUP(A17,'Données projet'!$A$217:$I$237,6,0)*VLOOKUP('Données projet'!$B$16,Paramètres!$A$1:$I$88,7,0))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projet'!$B$16,Paramètres!$A$1:$I$88,3,0)*0.475*44/12</f>
        <v>#N/A</v>
      </c>
      <c r="FR17" s="21" t="e">
        <f>EXP(-LN(2)/25)*FR16+(1-EXP(-LN(2)/25))/(LN(2)/25)*Calculateur!FM17*Calculateur!FO17*VLOOKUP('Données projet'!$B$16,Paramètres!$A$1:$I$88,3,0)*0.475*44/12</f>
        <v>#N/A</v>
      </c>
      <c r="FS17" s="21" t="e">
        <f>EXP(-LN(2)/2)*FS16+(1-EXP(-LN(2)/2))/(LN(2)/2)*FM17*FP17*VLOOKUP('Données projet'!$B$16,Paramètres!$A$1:$I$88,3,0)*0.475*44/12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projet'!$B$17,Paramètres!$A$1:$I$88,3,0)*VLOOKUP('Données projet'!$B$17,Paramètres!$A$1:$I$88,5,0)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projet'!$B$17,Paramètres!$A$1:$I$88,7,0))</f>
        <v>0</v>
      </c>
      <c r="GJ17" s="16">
        <f>IF(ISNA(VLOOKUP(A17,'Données projet'!$A$243:$I$263,6,0)),0%,VLOOKUP(A17,'Données projet'!$A$243:$I$263,6,0)*VLOOKUP('Données projet'!$B$17,Paramètres!$A$1:$I$88,7,0))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projet'!$B$17,Paramètres!$A$1:$I$88,3,0)*0.475*44/12</f>
        <v>#N/A</v>
      </c>
      <c r="GM17" s="21" t="e">
        <f>EXP(-LN(2)/25)*GM16+(1-EXP(-LN(2)/25))/(LN(2)/25)*Calculateur!GH17*Calculateur!GJ17*VLOOKUP('Données projet'!$B$17,Paramètres!$A$1:$I$88,3,0)*0.475*44/12</f>
        <v>#N/A</v>
      </c>
      <c r="GN17" s="21" t="e">
        <f>EXP(-LN(2)/2)*GN16+(1-EXP(-LN(2)/2))/(LN(2)/2)*GH17*GK17*VLOOKUP('Données projet'!$B$17,Paramètres!$A$1:$I$88,3,0)*0.475*44/12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projet'!$B$18,Paramètres!$A$1:$I$88,3,0)*VLOOKUP('Données projet'!$B$18,Paramètres!$A$1:$I$88,5,0)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projet'!$B$18,Paramètres!$A$1:$I$88,7,0))</f>
        <v>0</v>
      </c>
      <c r="HE17" s="16">
        <f>IF(ISNA(VLOOKUP(A17,'Données projet'!$A$269:$I$289,6,0)),0%,VLOOKUP(A17,'Données projet'!$A$269:$I$289,6,0)*VLOOKUP('Données projet'!$B$18,Paramètres!$A$1:$I$88,7,0))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projet'!$B$18,Paramètres!$A$1:$I$88,3,0)*0.475*44/12</f>
        <v>#N/A</v>
      </c>
      <c r="HH17" s="21" t="e">
        <f>EXP(-LN(2)/25)*HH16+(1-EXP(-LN(2)/25))/(LN(2)/25)*Calculateur!HC17*Calculateur!HE17*VLOOKUP('Données projet'!$B$18,Paramètres!$A$1:$I$88,3,0)*0.475*44/12</f>
        <v>#N/A</v>
      </c>
      <c r="HI17" s="21" t="e">
        <f>EXP(-LN(2)/2)*HI16+(1-EXP(-LN(2)/2))/(LN(2)/2)*HC17*HF17*VLOOKUP('Données projet'!$B$18,Paramètres!$A$1:$I$88,3,0)*0.475*44/12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11.25</v>
      </c>
      <c r="N18" s="13">
        <f>IF('Données projet'!$A$36&gt;35,N17+M18-V17,IF(A18&lt;'Données projet'!$A$36,$K$205^A18,IF(A18='Données projet'!$A$36,'Données projet'!$B$36,N17+M18-V17)))</f>
        <v>69.75</v>
      </c>
      <c r="O18" s="13">
        <f>N18*VLOOKUP('Données projet'!$B$9,Paramètres!$A$1:$I$88,3,0)*VLOOKUP('Données projet'!$B$9,Paramètres!$A$1:$I$88,5,0)</f>
        <v>41.710500000000003</v>
      </c>
      <c r="P18" s="13">
        <f t="shared" si="33"/>
        <v>12.450904347349248</v>
      </c>
      <c r="Q18" s="20">
        <f t="shared" si="2"/>
        <v>94.331112571633255</v>
      </c>
      <c r="R18" s="59">
        <f t="shared" si="0"/>
        <v>369.33111257163324</v>
      </c>
      <c r="S18" s="59">
        <f ca="1">AVERAGE(OFFSET($R$3,0,0,'Données projet'!$E$9+1,1))-AVERAGE(OFFSET($H$3,0,0,'Données projet'!$E$9+1,1))</f>
        <v>195.73441209602686</v>
      </c>
      <c r="T18" s="59">
        <f t="shared" si="34"/>
        <v>219.19129224309006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projet'!$B$9,Paramètres!$A$1:$I$88,7,0))</f>
        <v>0</v>
      </c>
      <c r="X18" s="16">
        <f>IF(ISNA(VLOOKUP(A18,'Données projet'!$A$35:$I$55,6,0)),0%,VLOOKUP(A18,'Données projet'!$A$35:$I$55,6,0)*VLOOKUP('Données projet'!$B$9,Paramètres!$A$1:$I$88,7,0))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projet'!$B$9,Paramètres!$A$1:$I$88,3,0)*0.475*44/12</f>
        <v>0</v>
      </c>
      <c r="AA18" s="21">
        <f>EXP(-LN(2)/25)*AA17+(1-EXP(-LN(2)/25))/(LN(2)/25)*Calculateur!V18*Calculateur!X18*VLOOKUP('Données projet'!$B$9,Paramètres!$A$1:$I$88,3,0)*0.475*44/12</f>
        <v>0</v>
      </c>
      <c r="AB18" s="21">
        <f>EXP(-LN(2)/2)*AB17+(1-EXP(-LN(2)/2))/(LN(2)/2)*V18*Y18*VLOOKUP('Données projet'!$B$9,Paramètres!$A$1:$I$88,3,0)*0.475*44/12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4.55</v>
      </c>
      <c r="AI18" s="13">
        <f>IF('Données projet'!$A$62&gt;35,AI17+AH18-AQ17,IF(A18&lt;'Données projet'!$A$62,$AF$205^A18,IF(A18='Données projet'!$A$62,'Données projet'!$B$62,AI17+AH18-AQ17)))</f>
        <v>29.463276689625356</v>
      </c>
      <c r="AJ18" s="13">
        <f>AI18*VLOOKUP('Données projet'!$B$10,Paramètres!$A$1:$I$88,3,0)*VLOOKUP('Données projet'!$B$10,Paramètres!$A$1:$I$88,5,0)</f>
        <v>17.619039460395964</v>
      </c>
      <c r="AK18" s="13">
        <f t="shared" si="35"/>
        <v>5.8143605868229411</v>
      </c>
      <c r="AL18" s="20">
        <f t="shared" si="4"/>
        <v>40.81317174890625</v>
      </c>
      <c r="AM18" s="59">
        <f t="shared" si="5"/>
        <v>315.81317174890626</v>
      </c>
      <c r="AN18" s="59">
        <f ca="1">AVERAGE(OFFSET($AM$3,0,0,'Données projet'!$E$10+1,1))-AVERAGE(OFFSET($H$3,0,0,'Données projet'!$E$10+1,1))</f>
        <v>246.59447135626942</v>
      </c>
      <c r="AO18" s="59">
        <f t="shared" si="36"/>
        <v>262.00382544285367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projet'!$B$10,Paramètres!$A$1:$I$88,7,0))</f>
        <v>0</v>
      </c>
      <c r="AS18" s="16">
        <f>IF(ISNA(VLOOKUP(A18,'Données projet'!$A$61:$I$81,6,0)),0%,VLOOKUP(A18,'Données projet'!$A$61:$I$81,6,0)*VLOOKUP('Données projet'!$B$10,Paramètres!$A$1:$I$88,7,0))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projet'!$B$10,Paramètres!$A$1:$I$88,3,0)*0.475*44/12</f>
        <v>0</v>
      </c>
      <c r="AV18" s="21">
        <f>EXP(-LN(2)/25)*AV17+(1-EXP(-LN(2)/25))/(LN(2)/25)*Calculateur!AQ18*Calculateur!AS18*VLOOKUP('Données projet'!$B$10,Paramètres!$A$1:$I$88,3,0)*0.475*44/12</f>
        <v>0</v>
      </c>
      <c r="AW18" s="21">
        <f>EXP(-LN(2)/2)*AW17+(1-EXP(-LN(2)/2))/(LN(2)/2)*AQ18*AT18*VLOOKUP('Données projet'!$B$10,Paramètres!$A$1:$I$88,3,0)*0.475*44/12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15</v>
      </c>
      <c r="BD18" s="12">
        <f>IF('Données projet'!$A$88&gt;35,BD17+BC18-BL17,IF(A18&lt;'Données projet'!$A$88,$BA$205^A18,IF(A18='Données projet'!$A$88,'Données projet'!$B$88,BD17+BC18-BL17)))</f>
        <v>87</v>
      </c>
      <c r="BE18" s="13">
        <f>BD18*VLOOKUP('Données projet'!$B$11,Paramètres!$A$1:$I$88,3,0)*VLOOKUP('Données projet'!$B$11,Paramètres!$A$1:$I$88,5,0)</f>
        <v>48.632999999999996</v>
      </c>
      <c r="BF18" s="13">
        <f t="shared" si="37"/>
        <v>14.260158409918978</v>
      </c>
      <c r="BG18" s="20">
        <f t="shared" si="7"/>
        <v>109.53891756394221</v>
      </c>
      <c r="BH18" s="59">
        <f t="shared" si="8"/>
        <v>384.53891756394222</v>
      </c>
      <c r="BI18" s="59">
        <f ca="1">AVERAGE(OFFSET($BH$3,0,0,'Données projet'!$E$11+1,1))-AVERAGE(OFFSET($H$3,0,0,'Données projet'!$E$11+1,1))</f>
        <v>355.96253323046608</v>
      </c>
      <c r="BJ18" s="59">
        <f t="shared" si="38"/>
        <v>366.8380442809696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projet'!$B$11,Paramètres!$A$1:$I$88,7,0))</f>
        <v>0</v>
      </c>
      <c r="BN18" s="16">
        <f>IF(ISNA(VLOOKUP(A18,'Données projet'!$A$87:$I$107,6,0)),0%,VLOOKUP(A18,'Données projet'!$A$87:$I$107,6,0)*VLOOKUP('Données projet'!$B$11,Paramètres!$A$1:$I$88,7,0))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projet'!$B$11,Paramètres!$A$1:$I$88,3,0)*0.475*44/12</f>
        <v>0</v>
      </c>
      <c r="BQ18" s="21">
        <f>EXP(-LN(2)/25)*BQ17+(1-EXP(-LN(2)/25))/(LN(2)/25)*Calculateur!BL18*Calculateur!BN18*VLOOKUP('Données projet'!$B$11,Paramètres!$A$1:$I$88,3,0)*0.475*44/12</f>
        <v>0</v>
      </c>
      <c r="BR18" s="21">
        <f>EXP(-LN(2)/2)*BR17+(1-EXP(-LN(2)/2))/(LN(2)/2)*BL18*BO18*VLOOKUP('Données projet'!$B$11,Paramètres!$A$1:$I$88,3,0)*0.475*44/12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4.75</v>
      </c>
      <c r="BY18" s="12">
        <f>IF('Données projet'!$A$114&gt;35,BY17+BX18-CG17,IF(A18&lt;'Données projet'!$A$114,$BV$205^A18,IF(A18='Données projet'!$A$114,'Données projet'!$B$114,BY17+BX18-CG17)))</f>
        <v>30.429351993705815</v>
      </c>
      <c r="BZ18" s="13">
        <f>BY18*VLOOKUP('Données projet'!$B$12,Paramètres!$A$1:$I$88,3,0)*VLOOKUP('Données projet'!$B$12,Paramètres!$A$1:$I$88,5,0)</f>
        <v>19.93731142627605</v>
      </c>
      <c r="CA18" s="13">
        <f t="shared" si="39"/>
        <v>6.4854104378596906</v>
      </c>
      <c r="CB18" s="20">
        <f t="shared" si="10"/>
        <v>46.019573913369747</v>
      </c>
      <c r="CC18" s="59">
        <f t="shared" si="11"/>
        <v>321.01957391336975</v>
      </c>
      <c r="CD18" s="59">
        <f ca="1">AVERAGE(OFFSET($CC$3,0,0,'Données projet'!$E$12+1,1))-AVERAGE(OFFSET($H$3,0,0,'Données projet'!$E$12+1,1))</f>
        <v>180.90147430936133</v>
      </c>
      <c r="CE18" s="59">
        <f t="shared" si="40"/>
        <v>226.87949199830018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projet'!$B$12,Paramètres!$A$1:$I$88,7,0))</f>
        <v>0</v>
      </c>
      <c r="CI18" s="16">
        <f>IF(ISNA(VLOOKUP(A18,'Données projet'!$A$113:$I$133,6,0)),0%,VLOOKUP(A18,'Données projet'!$A$113:$I$133,6,0)*VLOOKUP('Données projet'!$B$12,Paramètres!$A$1:$I$88,7,0))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projet'!$B$12,Paramètres!$A$1:$I$88,3,0)*0.475*44/12</f>
        <v>0</v>
      </c>
      <c r="CL18" s="21">
        <f>EXP(-LN(2)/25)*CL17+(1-EXP(-LN(2)/25))/(LN(2)/25)*Calculateur!CG18*Calculateur!CI18*VLOOKUP('Données projet'!$B$12,Paramètres!$A$1:$I$88,3,0)*0.475*44/12</f>
        <v>0</v>
      </c>
      <c r="CM18" s="21">
        <f>EXP(-LN(2)/2)*CM17+(1-EXP(-LN(2)/2))/(LN(2)/2)*CG18*CJ18*VLOOKUP('Données projet'!$B$12,Paramètres!$A$1:$I$88,3,0)*0.475*44/12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172</v>
      </c>
      <c r="CR18" s="12">
        <f>VLOOKUP(A18,'Données projet'!$A$139:$I$159,9,0)</f>
        <v>24</v>
      </c>
      <c r="CS18" s="12">
        <f t="array" ref="CS18">INDEX(CR:CR,MIN(IF(ISNUMBER(CR18:CR214),ROW(CR18:CR214),"")))</f>
        <v>24</v>
      </c>
      <c r="CT18" s="12">
        <f>IF('Données projet'!$A$140&gt;35,CT17+CS18-DB17,IF(A18&lt;'Données projet'!$A$140,$CQ$205^A18,IF(A18='Données projet'!$A$140,'Données projet'!$B$140,CT17+CS18-DB17)))</f>
        <v>172</v>
      </c>
      <c r="CU18" s="17">
        <f>CT18*VLOOKUP('Données projet'!$B$13,Paramètres!$A$1:$I$88,3,0)*VLOOKUP('Données projet'!$B$13,Paramètres!$A$1:$I$88,5,0)</f>
        <v>87.472320000000011</v>
      </c>
      <c r="CV18" s="13">
        <f t="shared" si="41"/>
        <v>23.954602415239084</v>
      </c>
      <c r="CW18" s="20">
        <f t="shared" si="13"/>
        <v>194.06855653987475</v>
      </c>
      <c r="CX18" s="59">
        <f t="shared" si="14"/>
        <v>469.06855653987475</v>
      </c>
      <c r="CY18" s="59">
        <f ca="1">AVERAGE(OFFSET($CX$3,0,0,'Données projet'!$E$13+1,1))-AVERAGE(OFFSET($H$3,0,0,'Données projet'!$E$13+1,1))</f>
        <v>133.08385802816008</v>
      </c>
      <c r="CZ18" s="59">
        <f t="shared" si="42"/>
        <v>316.59112511251385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projet'!$B$13,Paramètres!$A$1:$I$88,7,0))</f>
        <v>0</v>
      </c>
      <c r="DD18" s="16">
        <f>IF(ISNA(VLOOKUP(A18,'Données projet'!$A$139:$I$159,6,0)),0%,VLOOKUP(A18,'Données projet'!$A$139:$I$159,6,0)*VLOOKUP('Données projet'!$B$13,Paramètres!$A$1:$I$88,7,0))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projet'!$B$13,Paramètres!$A$1:$I$88,3,0)*0.475*44/12</f>
        <v>0</v>
      </c>
      <c r="DG18" s="21">
        <f>EXP(-LN(2)/25)*DG17+(1-EXP(-LN(2)/25))/(LN(2)/25)*Calculateur!DB18*Calculateur!DD18*VLOOKUP('Données projet'!$B$13,Paramètres!$A$1:$I$88,3,0)*0.475*44/12</f>
        <v>0</v>
      </c>
      <c r="DH18" s="21">
        <f>EXP(-LN(2)/2)*DH17+(1-EXP(-LN(2)/2))/(LN(2)/2)*DB18*DE18*VLOOKUP('Données projet'!$B$13,Paramètres!$A$1:$I$88,3,0)*0.475*44/12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projet'!$B$14,Paramètres!$A$1:$I$88,3,0)*VLOOKUP('Données projet'!$B$14,Paramètres!$A$1:$I$88,5,0)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projet'!$B$14,Paramètres!$A$1:$I$88,7,0))</f>
        <v>0</v>
      </c>
      <c r="DY18" s="16">
        <f>IF(ISNA(VLOOKUP(A18,'Données projet'!$A$165:$I$185,6,0)),0%,VLOOKUP(A18,'Données projet'!$A$165:$I$185,6,0)*VLOOKUP('Données projet'!$B$14,Paramètres!$A$1:$I$88,7,0))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projet'!$B$14,Paramètres!$A$1:$I$88,3,0)*0.475*44/12</f>
        <v>#N/A</v>
      </c>
      <c r="EB18" s="21" t="e">
        <f>EXP(-LN(2)/25)*EB17+(1-EXP(-LN(2)/25))/(LN(2)/25)*Calculateur!DW18*Calculateur!DY18*VLOOKUP('Données projet'!$B$14,Paramètres!$A$1:$I$88,3,0)*0.475*44/12</f>
        <v>#N/A</v>
      </c>
      <c r="EC18" s="21" t="e">
        <f>EXP(-LN(2)/2)*EC17+(1-EXP(-LN(2)/2))/(LN(2)/2)*DW18*DZ18*VLOOKUP('Données projet'!$B$14,Paramètres!$A$1:$I$88,3,0)*0.475*44/12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projet'!$B$15,Paramètres!$A$1:$I$88,3,0)*VLOOKUP('Données projet'!$B$15,Paramètres!$A$1:$I$88,5,0)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projet'!$B$15,Paramètres!$A$1:$I$88,7,0))</f>
        <v>0</v>
      </c>
      <c r="ET18" s="16">
        <f>IF(ISNA(VLOOKUP(A18,'Données projet'!$A$191:$I$211,6,0)),0%,VLOOKUP(A18,'Données projet'!$A$191:$I$211,6,0)*VLOOKUP('Données projet'!$B$15,Paramètres!$A$1:$I$88,7,0))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projet'!$B$15,Paramètres!$A$1:$I$88,3,0)*0.475*44/12</f>
        <v>#N/A</v>
      </c>
      <c r="EW18" s="21" t="e">
        <f>EXP(-LN(2)/25)*EW17+(1-EXP(-LN(2)/25))/(LN(2)/25)*Calculateur!ER18*Calculateur!ET18*VLOOKUP('Données projet'!$B$15,Paramètres!$A$1:$I$88,3,0)*0.475*44/12</f>
        <v>#N/A</v>
      </c>
      <c r="EX18" s="21" t="e">
        <f>EXP(-LN(2)/2)*EX17+(1-EXP(-LN(2)/2))/(LN(2)/2)*ER18*EU18*VLOOKUP('Données projet'!$B$15,Paramètres!$A$1:$I$88,3,0)*0.475*44/12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projet'!$B$16,Paramètres!$A$1:$I$88,3,0)*VLOOKUP('Données projet'!$B$16,Paramètres!$A$1:$I$88,5,0)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projet'!$B$16,Paramètres!$A$1:$I$88,7,0))</f>
        <v>0</v>
      </c>
      <c r="FO18" s="16">
        <f>IF(ISNA(VLOOKUP(A18,'Données projet'!$A$217:$I$237,6,0)),0%,VLOOKUP(A18,'Données projet'!$A$217:$I$237,6,0)*VLOOKUP('Données projet'!$B$16,Paramètres!$A$1:$I$88,7,0))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projet'!$B$16,Paramètres!$A$1:$I$88,3,0)*0.475*44/12</f>
        <v>#N/A</v>
      </c>
      <c r="FR18" s="21" t="e">
        <f>EXP(-LN(2)/25)*FR17+(1-EXP(-LN(2)/25))/(LN(2)/25)*Calculateur!FM18*Calculateur!FO18*VLOOKUP('Données projet'!$B$16,Paramètres!$A$1:$I$88,3,0)*0.475*44/12</f>
        <v>#N/A</v>
      </c>
      <c r="FS18" s="21" t="e">
        <f>EXP(-LN(2)/2)*FS17+(1-EXP(-LN(2)/2))/(LN(2)/2)*FM18*FP18*VLOOKUP('Données projet'!$B$16,Paramètres!$A$1:$I$88,3,0)*0.475*44/12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projet'!$B$17,Paramètres!$A$1:$I$88,3,0)*VLOOKUP('Données projet'!$B$17,Paramètres!$A$1:$I$88,5,0)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projet'!$B$17,Paramètres!$A$1:$I$88,7,0))</f>
        <v>0</v>
      </c>
      <c r="GJ18" s="16">
        <f>IF(ISNA(VLOOKUP(A18,'Données projet'!$A$243:$I$263,6,0)),0%,VLOOKUP(A18,'Données projet'!$A$243:$I$263,6,0)*VLOOKUP('Données projet'!$B$17,Paramètres!$A$1:$I$88,7,0))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projet'!$B$17,Paramètres!$A$1:$I$88,3,0)*0.475*44/12</f>
        <v>#N/A</v>
      </c>
      <c r="GM18" s="21" t="e">
        <f>EXP(-LN(2)/25)*GM17+(1-EXP(-LN(2)/25))/(LN(2)/25)*Calculateur!GH18*Calculateur!GJ18*VLOOKUP('Données projet'!$B$17,Paramètres!$A$1:$I$88,3,0)*0.475*44/12</f>
        <v>#N/A</v>
      </c>
      <c r="GN18" s="21" t="e">
        <f>EXP(-LN(2)/2)*GN17+(1-EXP(-LN(2)/2))/(LN(2)/2)*GH18*GK18*VLOOKUP('Données projet'!$B$17,Paramètres!$A$1:$I$88,3,0)*0.475*44/12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projet'!$B$18,Paramètres!$A$1:$I$88,3,0)*VLOOKUP('Données projet'!$B$18,Paramètres!$A$1:$I$88,5,0)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projet'!$B$18,Paramètres!$A$1:$I$88,7,0))</f>
        <v>0</v>
      </c>
      <c r="HE18" s="16">
        <f>IF(ISNA(VLOOKUP(A18,'Données projet'!$A$269:$I$289,6,0)),0%,VLOOKUP(A18,'Données projet'!$A$269:$I$289,6,0)*VLOOKUP('Données projet'!$B$18,Paramètres!$A$1:$I$88,7,0))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projet'!$B$18,Paramètres!$A$1:$I$88,3,0)*0.475*44/12</f>
        <v>#N/A</v>
      </c>
      <c r="HH18" s="21" t="e">
        <f>EXP(-LN(2)/25)*HH17+(1-EXP(-LN(2)/25))/(LN(2)/25)*Calculateur!HC18*Calculateur!HE18*VLOOKUP('Données projet'!$B$18,Paramètres!$A$1:$I$88,3,0)*0.475*44/12</f>
        <v>#N/A</v>
      </c>
      <c r="HI18" s="21" t="e">
        <f>EXP(-LN(2)/2)*HI17+(1-EXP(-LN(2)/2))/(LN(2)/2)*HC18*HF18*VLOOKUP('Données projet'!$B$18,Paramètres!$A$1:$I$88,3,0)*0.475*44/12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81</v>
      </c>
      <c r="L19" s="12">
        <f>VLOOKUP(A19,'Données projet'!$A$35:$I$55,9,0)</f>
        <v>11.25</v>
      </c>
      <c r="M19" s="12">
        <f t="array" ref="M19">INDEX(L:L,MIN(IF(ISNUMBER(L19:L215),ROW(L19:L215),"")))</f>
        <v>11.25</v>
      </c>
      <c r="N19" s="13">
        <f>IF('Données projet'!$A$36&gt;35,N18+M19-V18,IF(A19&lt;'Données projet'!$A$36,$K$205^A19,IF(A19='Données projet'!$A$36,'Données projet'!$B$36,N18+M19-V18)))</f>
        <v>81</v>
      </c>
      <c r="O19" s="13">
        <f>N19*VLOOKUP('Données projet'!$B$9,Paramètres!$A$1:$I$88,3,0)*VLOOKUP('Données projet'!$B$9,Paramètres!$A$1:$I$88,5,0)</f>
        <v>48.438000000000009</v>
      </c>
      <c r="P19" s="13">
        <f t="shared" si="33"/>
        <v>14.209624244846971</v>
      </c>
      <c r="Q19" s="20">
        <f t="shared" si="2"/>
        <v>109.11127889310849</v>
      </c>
      <c r="R19" s="59">
        <f t="shared" si="0"/>
        <v>385.33350111533071</v>
      </c>
      <c r="S19" s="59">
        <f ca="1">AVERAGE(OFFSET($R$3,0,0,'Données projet'!$E$9+1,1))-AVERAGE(OFFSET($H$3,0,0,'Données projet'!$E$9+1,1))</f>
        <v>195.73441209602686</v>
      </c>
      <c r="T19" s="59">
        <f t="shared" si="34"/>
        <v>219.19129224309006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15</v>
      </c>
      <c r="W19" s="16">
        <f>IF(ISNA(VLOOKUP(A19,'Données projet'!$A$35:$I$55,5,0)),0%,VLOOKUP(A19,'Données projet'!$A$35:$I$55,5,0)*VLOOKUP('Données projet'!$B$9,Paramètres!$A$1:$I$88,7,0))</f>
        <v>0</v>
      </c>
      <c r="X19" s="16">
        <f>IF(ISNA(VLOOKUP(A19,'Données projet'!$A$35:$I$55,6,0)),0%,VLOOKUP(A19,'Données projet'!$A$35:$I$55,6,0)*VLOOKUP('Données projet'!$B$9,Paramètres!$A$1:$I$88,7,0))</f>
        <v>0.22500000000000001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projet'!$B$9,Paramètres!$A$1:$I$88,3,0)*0.475*44/12</f>
        <v>0</v>
      </c>
      <c r="AA19" s="21">
        <f>EXP(-LN(2)/25)*AA18+(1-EXP(-LN(2)/25))/(LN(2)/25)*Calculateur!V19*Calculateur!X19*VLOOKUP('Données projet'!$B$9,Paramètres!$A$1:$I$88,3,0)*0.475*44/12</f>
        <v>2.6667970095349296</v>
      </c>
      <c r="AB19" s="21">
        <f>EXP(-LN(2)/2)*AB18+(1-EXP(-LN(2)/2))/(LN(2)/2)*V19*Y19*VLOOKUP('Données projet'!$B$9,Paramètres!$A$1:$I$88,3,0)*0.475*44/12</f>
        <v>5.0780618544061999</v>
      </c>
      <c r="AC19" s="22">
        <f t="shared" si="3"/>
        <v>7.7448588639411291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4.55</v>
      </c>
      <c r="AI19" s="13">
        <f>IF('Données projet'!$A$62&gt;35,AI18+AH19-AQ18,IF(A19&lt;'Données projet'!$A$62,$AF$205^A19,IF(A19='Données projet'!$A$62,'Données projet'!$B$62,AI18+AH19-AQ18)))</f>
        <v>36.917570580704506</v>
      </c>
      <c r="AJ19" s="13">
        <f>AI19*VLOOKUP('Données projet'!$B$10,Paramètres!$A$1:$I$88,3,0)*VLOOKUP('Données projet'!$B$10,Paramètres!$A$1:$I$88,5,0)</f>
        <v>22.076707207261297</v>
      </c>
      <c r="AK19" s="13">
        <f t="shared" si="35"/>
        <v>7.0966340462853541</v>
      </c>
      <c r="AL19" s="20">
        <f t="shared" si="4"/>
        <v>50.810236016593741</v>
      </c>
      <c r="AM19" s="59">
        <f t="shared" si="5"/>
        <v>327.03245823881599</v>
      </c>
      <c r="AN19" s="59">
        <f ca="1">AVERAGE(OFFSET($AM$3,0,0,'Données projet'!$E$10+1,1))-AVERAGE(OFFSET($H$3,0,0,'Données projet'!$E$10+1,1))</f>
        <v>246.59447135626942</v>
      </c>
      <c r="AO19" s="59">
        <f t="shared" si="36"/>
        <v>262.00382544285367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projet'!$B$10,Paramètres!$A$1:$I$88,7,0))</f>
        <v>0</v>
      </c>
      <c r="AS19" s="16">
        <f>IF(ISNA(VLOOKUP(A19,'Données projet'!$A$61:$I$81,6,0)),0%,VLOOKUP(A19,'Données projet'!$A$61:$I$81,6,0)*VLOOKUP('Données projet'!$B$10,Paramètres!$A$1:$I$88,7,0))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projet'!$B$10,Paramètres!$A$1:$I$88,3,0)*0.475*44/12</f>
        <v>0</v>
      </c>
      <c r="AV19" s="21">
        <f>EXP(-LN(2)/25)*AV18+(1-EXP(-LN(2)/25))/(LN(2)/25)*Calculateur!AQ19*Calculateur!AS19*VLOOKUP('Données projet'!$B$10,Paramètres!$A$1:$I$88,3,0)*0.475*44/12</f>
        <v>0</v>
      </c>
      <c r="AW19" s="21">
        <f>EXP(-LN(2)/2)*AW18+(1-EXP(-LN(2)/2))/(LN(2)/2)*AQ19*AT19*VLOOKUP('Données projet'!$B$10,Paramètres!$A$1:$I$88,3,0)*0.475*44/12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15</v>
      </c>
      <c r="BD19" s="12">
        <f>IF('Données projet'!$A$88&gt;35,BD18+BC19-BL18,IF(A19&lt;'Données projet'!$A$88,$BA$205^A19,IF(A19='Données projet'!$A$88,'Données projet'!$B$88,BD18+BC19-BL18)))</f>
        <v>102</v>
      </c>
      <c r="BE19" s="13">
        <f>BD19*VLOOKUP('Données projet'!$B$11,Paramètres!$A$1:$I$88,3,0)*VLOOKUP('Données projet'!$B$11,Paramètres!$A$1:$I$88,5,0)</f>
        <v>57.018000000000001</v>
      </c>
      <c r="BF19" s="13">
        <f t="shared" si="37"/>
        <v>16.412103612717626</v>
      </c>
      <c r="BG19" s="20">
        <f t="shared" si="7"/>
        <v>127.89076379214985</v>
      </c>
      <c r="BH19" s="59">
        <f t="shared" si="8"/>
        <v>404.1129860143721</v>
      </c>
      <c r="BI19" s="59">
        <f ca="1">AVERAGE(OFFSET($BH$3,0,0,'Données projet'!$E$11+1,1))-AVERAGE(OFFSET($H$3,0,0,'Données projet'!$E$11+1,1))</f>
        <v>355.96253323046608</v>
      </c>
      <c r="BJ19" s="59">
        <f t="shared" si="38"/>
        <v>366.8380442809696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projet'!$B$11,Paramètres!$A$1:$I$88,7,0))</f>
        <v>0</v>
      </c>
      <c r="BN19" s="16">
        <f>IF(ISNA(VLOOKUP(A19,'Données projet'!$A$87:$I$107,6,0)),0%,VLOOKUP(A19,'Données projet'!$A$87:$I$107,6,0)*VLOOKUP('Données projet'!$B$11,Paramètres!$A$1:$I$88,7,0))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projet'!$B$11,Paramètres!$A$1:$I$88,3,0)*0.475*44/12</f>
        <v>0</v>
      </c>
      <c r="BQ19" s="21">
        <f>EXP(-LN(2)/25)*BQ18+(1-EXP(-LN(2)/25))/(LN(2)/25)*Calculateur!BL19*Calculateur!BN19*VLOOKUP('Données projet'!$B$11,Paramètres!$A$1:$I$88,3,0)*0.475*44/12</f>
        <v>0</v>
      </c>
      <c r="BR19" s="21">
        <f>EXP(-LN(2)/2)*BR18+(1-EXP(-LN(2)/2))/(LN(2)/2)*BL19*BO19*VLOOKUP('Données projet'!$B$11,Paramètres!$A$1:$I$88,3,0)*0.475*44/12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4.75</v>
      </c>
      <c r="BY19" s="12">
        <f>IF('Données projet'!$A$114&gt;35,BY18+BX19-CG18,IF(A19&lt;'Données projet'!$A$114,$BV$205^A19,IF(A19='Données projet'!$A$114,'Données projet'!$B$114,BY18+BX19-CG18)))</f>
        <v>38.21016246244956</v>
      </c>
      <c r="BZ19" s="13">
        <f>BY19*VLOOKUP('Données projet'!$B$12,Paramètres!$A$1:$I$88,3,0)*VLOOKUP('Données projet'!$B$12,Paramètres!$A$1:$I$88,5,0)</f>
        <v>25.03529844539695</v>
      </c>
      <c r="CA19" s="13">
        <f t="shared" si="39"/>
        <v>7.9307323814550301</v>
      </c>
      <c r="CB19" s="20">
        <f t="shared" si="10"/>
        <v>57.415837023433852</v>
      </c>
      <c r="CC19" s="59">
        <f t="shared" si="11"/>
        <v>333.63805924565611</v>
      </c>
      <c r="CD19" s="59">
        <f ca="1">AVERAGE(OFFSET($CC$3,0,0,'Données projet'!$E$12+1,1))-AVERAGE(OFFSET($H$3,0,0,'Données projet'!$E$12+1,1))</f>
        <v>180.90147430936133</v>
      </c>
      <c r="CE19" s="59">
        <f t="shared" si="40"/>
        <v>226.87949199830018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projet'!$B$12,Paramètres!$A$1:$I$88,7,0))</f>
        <v>0</v>
      </c>
      <c r="CI19" s="16">
        <f>IF(ISNA(VLOOKUP(A19,'Données projet'!$A$113:$I$133,6,0)),0%,VLOOKUP(A19,'Données projet'!$A$113:$I$133,6,0)*VLOOKUP('Données projet'!$B$12,Paramètres!$A$1:$I$88,7,0))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projet'!$B$12,Paramètres!$A$1:$I$88,3,0)*0.475*44/12</f>
        <v>0</v>
      </c>
      <c r="CL19" s="21">
        <f>EXP(-LN(2)/25)*CL18+(1-EXP(-LN(2)/25))/(LN(2)/25)*Calculateur!CG19*Calculateur!CI19*VLOOKUP('Données projet'!$B$12,Paramètres!$A$1:$I$88,3,0)*0.475*44/12</f>
        <v>0</v>
      </c>
      <c r="CM19" s="21">
        <f>EXP(-LN(2)/2)*CM18+(1-EXP(-LN(2)/2))/(LN(2)/2)*CG19*CJ19*VLOOKUP('Données projet'!$B$12,Paramètres!$A$1:$I$88,3,0)*0.475*44/12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17.399999999999999</v>
      </c>
      <c r="CT19" s="12">
        <f>IF('Données projet'!$A$140&gt;35,CT18+CS19-DB18,IF(A19&lt;'Données projet'!$A$140,$CQ$205^A19,IF(A19='Données projet'!$A$140,'Données projet'!$B$140,CT18+CS19-DB18)))</f>
        <v>189.4</v>
      </c>
      <c r="CU19" s="17">
        <f>CT19*VLOOKUP('Données projet'!$B$13,Paramètres!$A$1:$I$88,3,0)*VLOOKUP('Données projet'!$B$13,Paramètres!$A$1:$I$88,5,0)</f>
        <v>96.321264000000014</v>
      </c>
      <c r="CV19" s="13">
        <f t="shared" si="41"/>
        <v>26.083686814294772</v>
      </c>
      <c r="CW19" s="20">
        <f t="shared" si="13"/>
        <v>213.18862266823007</v>
      </c>
      <c r="CX19" s="59">
        <f t="shared" si="14"/>
        <v>489.41084489045227</v>
      </c>
      <c r="CY19" s="59">
        <f ca="1">AVERAGE(OFFSET($CX$3,0,0,'Données projet'!$E$13+1,1))-AVERAGE(OFFSET($H$3,0,0,'Données projet'!$E$13+1,1))</f>
        <v>133.08385802816008</v>
      </c>
      <c r="CZ19" s="59">
        <f t="shared" si="42"/>
        <v>316.59112511251385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projet'!$B$13,Paramètres!$A$1:$I$88,7,0))</f>
        <v>0</v>
      </c>
      <c r="DD19" s="16">
        <f>IF(ISNA(VLOOKUP(A19,'Données projet'!$A$139:$I$159,6,0)),0%,VLOOKUP(A19,'Données projet'!$A$139:$I$159,6,0)*VLOOKUP('Données projet'!$B$13,Paramètres!$A$1:$I$88,7,0))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projet'!$B$13,Paramètres!$A$1:$I$88,3,0)*0.475*44/12</f>
        <v>0</v>
      </c>
      <c r="DG19" s="21">
        <f>EXP(-LN(2)/25)*DG18+(1-EXP(-LN(2)/25))/(LN(2)/25)*Calculateur!DB19*Calculateur!DD19*VLOOKUP('Données projet'!$B$13,Paramètres!$A$1:$I$88,3,0)*0.475*44/12</f>
        <v>0</v>
      </c>
      <c r="DH19" s="21">
        <f>EXP(-LN(2)/2)*DH18+(1-EXP(-LN(2)/2))/(LN(2)/2)*DB19*DE19*VLOOKUP('Données projet'!$B$13,Paramètres!$A$1:$I$88,3,0)*0.475*44/12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projet'!$B$14,Paramètres!$A$1:$I$88,3,0)*VLOOKUP('Données projet'!$B$14,Paramètres!$A$1:$I$88,5,0)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projet'!$B$14,Paramètres!$A$1:$I$88,7,0))</f>
        <v>0</v>
      </c>
      <c r="DY19" s="16">
        <f>IF(ISNA(VLOOKUP(A19,'Données projet'!$A$165:$I$185,6,0)),0%,VLOOKUP(A19,'Données projet'!$A$165:$I$185,6,0)*VLOOKUP('Données projet'!$B$14,Paramètres!$A$1:$I$88,7,0))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projet'!$B$14,Paramètres!$A$1:$I$88,3,0)*0.475*44/12</f>
        <v>#N/A</v>
      </c>
      <c r="EB19" s="21" t="e">
        <f>EXP(-LN(2)/25)*EB18+(1-EXP(-LN(2)/25))/(LN(2)/25)*Calculateur!DW19*Calculateur!DY19*VLOOKUP('Données projet'!$B$14,Paramètres!$A$1:$I$88,3,0)*0.475*44/12</f>
        <v>#N/A</v>
      </c>
      <c r="EC19" s="21" t="e">
        <f>EXP(-LN(2)/2)*EC18+(1-EXP(-LN(2)/2))/(LN(2)/2)*DW19*DZ19*VLOOKUP('Données projet'!$B$14,Paramètres!$A$1:$I$88,3,0)*0.475*44/12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projet'!$B$15,Paramètres!$A$1:$I$88,3,0)*VLOOKUP('Données projet'!$B$15,Paramètres!$A$1:$I$88,5,0)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projet'!$B$15,Paramètres!$A$1:$I$88,7,0))</f>
        <v>0</v>
      </c>
      <c r="ET19" s="16">
        <f>IF(ISNA(VLOOKUP(A19,'Données projet'!$A$191:$I$211,6,0)),0%,VLOOKUP(A19,'Données projet'!$A$191:$I$211,6,0)*VLOOKUP('Données projet'!$B$15,Paramètres!$A$1:$I$88,7,0))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projet'!$B$15,Paramètres!$A$1:$I$88,3,0)*0.475*44/12</f>
        <v>#N/A</v>
      </c>
      <c r="EW19" s="21" t="e">
        <f>EXP(-LN(2)/25)*EW18+(1-EXP(-LN(2)/25))/(LN(2)/25)*Calculateur!ER19*Calculateur!ET19*VLOOKUP('Données projet'!$B$15,Paramètres!$A$1:$I$88,3,0)*0.475*44/12</f>
        <v>#N/A</v>
      </c>
      <c r="EX19" s="21" t="e">
        <f>EXP(-LN(2)/2)*EX18+(1-EXP(-LN(2)/2))/(LN(2)/2)*ER19*EU19*VLOOKUP('Données projet'!$B$15,Paramètres!$A$1:$I$88,3,0)*0.475*44/12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projet'!$B$16,Paramètres!$A$1:$I$88,3,0)*VLOOKUP('Données projet'!$B$16,Paramètres!$A$1:$I$88,5,0)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projet'!$B$16,Paramètres!$A$1:$I$88,7,0))</f>
        <v>0</v>
      </c>
      <c r="FO19" s="16">
        <f>IF(ISNA(VLOOKUP(A19,'Données projet'!$A$217:$I$237,6,0)),0%,VLOOKUP(A19,'Données projet'!$A$217:$I$237,6,0)*VLOOKUP('Données projet'!$B$16,Paramètres!$A$1:$I$88,7,0))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projet'!$B$16,Paramètres!$A$1:$I$88,3,0)*0.475*44/12</f>
        <v>#N/A</v>
      </c>
      <c r="FR19" s="21" t="e">
        <f>EXP(-LN(2)/25)*FR18+(1-EXP(-LN(2)/25))/(LN(2)/25)*Calculateur!FM19*Calculateur!FO19*VLOOKUP('Données projet'!$B$16,Paramètres!$A$1:$I$88,3,0)*0.475*44/12</f>
        <v>#N/A</v>
      </c>
      <c r="FS19" s="21" t="e">
        <f>EXP(-LN(2)/2)*FS18+(1-EXP(-LN(2)/2))/(LN(2)/2)*FM19*FP19*VLOOKUP('Données projet'!$B$16,Paramètres!$A$1:$I$88,3,0)*0.475*44/12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projet'!$B$17,Paramètres!$A$1:$I$88,3,0)*VLOOKUP('Données projet'!$B$17,Paramètres!$A$1:$I$88,5,0)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projet'!$B$17,Paramètres!$A$1:$I$88,7,0))</f>
        <v>0</v>
      </c>
      <c r="GJ19" s="16">
        <f>IF(ISNA(VLOOKUP(A19,'Données projet'!$A$243:$I$263,6,0)),0%,VLOOKUP(A19,'Données projet'!$A$243:$I$263,6,0)*VLOOKUP('Données projet'!$B$17,Paramètres!$A$1:$I$88,7,0))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projet'!$B$17,Paramètres!$A$1:$I$88,3,0)*0.475*44/12</f>
        <v>#N/A</v>
      </c>
      <c r="GM19" s="21" t="e">
        <f>EXP(-LN(2)/25)*GM18+(1-EXP(-LN(2)/25))/(LN(2)/25)*Calculateur!GH19*Calculateur!GJ19*VLOOKUP('Données projet'!$B$17,Paramètres!$A$1:$I$88,3,0)*0.475*44/12</f>
        <v>#N/A</v>
      </c>
      <c r="GN19" s="21" t="e">
        <f>EXP(-LN(2)/2)*GN18+(1-EXP(-LN(2)/2))/(LN(2)/2)*GH19*GK19*VLOOKUP('Données projet'!$B$17,Paramètres!$A$1:$I$88,3,0)*0.475*44/12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projet'!$B$18,Paramètres!$A$1:$I$88,3,0)*VLOOKUP('Données projet'!$B$18,Paramètres!$A$1:$I$88,5,0)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projet'!$B$18,Paramètres!$A$1:$I$88,7,0))</f>
        <v>0</v>
      </c>
      <c r="HE19" s="16">
        <f>IF(ISNA(VLOOKUP(A19,'Données projet'!$A$269:$I$289,6,0)),0%,VLOOKUP(A19,'Données projet'!$A$269:$I$289,6,0)*VLOOKUP('Données projet'!$B$18,Paramètres!$A$1:$I$88,7,0))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projet'!$B$18,Paramètres!$A$1:$I$88,3,0)*0.475*44/12</f>
        <v>#N/A</v>
      </c>
      <c r="HH19" s="21" t="e">
        <f>EXP(-LN(2)/25)*HH18+(1-EXP(-LN(2)/25))/(LN(2)/25)*Calculateur!HC19*Calculateur!HE19*VLOOKUP('Données projet'!$B$18,Paramètres!$A$1:$I$88,3,0)*0.475*44/12</f>
        <v>#N/A</v>
      </c>
      <c r="HI19" s="21" t="e">
        <f>EXP(-LN(2)/2)*HI18+(1-EXP(-LN(2)/2))/(LN(2)/2)*HC19*HF19*VLOOKUP('Données projet'!$B$18,Paramètres!$A$1:$I$88,3,0)*0.475*44/12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13.25</v>
      </c>
      <c r="N20" s="13">
        <f>IF('Données projet'!$A$36&gt;35,N19+M20-V19,IF(A20&lt;'Données projet'!$A$36,$K$205^A20,IF(A20='Données projet'!$A$36,'Données projet'!$B$36,N19+M20-V19)))</f>
        <v>79.25</v>
      </c>
      <c r="O20" s="13">
        <f>N20*VLOOKUP('Données projet'!$B$9,Paramètres!$A$1:$I$88,3,0)*VLOOKUP('Données projet'!$B$9,Paramètres!$A$1:$I$88,5,0)</f>
        <v>47.391500000000001</v>
      </c>
      <c r="P20" s="13">
        <f t="shared" si="33"/>
        <v>13.938016900926096</v>
      </c>
      <c r="Q20" s="20">
        <f t="shared" si="2"/>
        <v>106.81557526911295</v>
      </c>
      <c r="R20" s="59">
        <f t="shared" si="0"/>
        <v>384.26001971355743</v>
      </c>
      <c r="S20" s="59">
        <f ca="1">AVERAGE(OFFSET($R$3,0,0,'Données projet'!$E$9+1,1))-AVERAGE(OFFSET($H$3,0,0,'Données projet'!$E$9+1,1))</f>
        <v>195.73441209602686</v>
      </c>
      <c r="T20" s="59">
        <f t="shared" si="34"/>
        <v>219.19129224309006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projet'!$B$9,Paramètres!$A$1:$I$88,7,0))</f>
        <v>0</v>
      </c>
      <c r="X20" s="16">
        <f>IF(ISNA(VLOOKUP(A20,'Données projet'!$A$35:$I$55,6,0)),0%,VLOOKUP(A20,'Données projet'!$A$35:$I$55,6,0)*VLOOKUP('Données projet'!$B$9,Paramètres!$A$1:$I$88,7,0))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projet'!$B$9,Paramètres!$A$1:$I$88,3,0)*0.475*44/12</f>
        <v>0</v>
      </c>
      <c r="AA20" s="21">
        <f>EXP(-LN(2)/25)*AA19+(1-EXP(-LN(2)/25))/(LN(2)/25)*Calculateur!V20*Calculateur!X20*VLOOKUP('Données projet'!$B$9,Paramètres!$A$1:$I$88,3,0)*0.475*44/12</f>
        <v>2.5938733050684371</v>
      </c>
      <c r="AB20" s="21">
        <f>EXP(-LN(2)/2)*AB19+(1-EXP(-LN(2)/2))/(LN(2)/2)*V20*Y20*VLOOKUP('Données projet'!$B$9,Paramètres!$A$1:$I$88,3,0)*0.475*44/12</f>
        <v>3.5907319725353588</v>
      </c>
      <c r="AC20" s="22">
        <f t="shared" si="3"/>
        <v>6.1846052776037954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4.55</v>
      </c>
      <c r="AI20" s="13">
        <f>IF('Données projet'!$A$62&gt;35,AI19+AH20-AQ19,IF(A20&lt;'Données projet'!$A$62,$AF$205^A20,IF(A20='Données projet'!$A$62,'Données projet'!$B$62,AI19+AH20-AQ19)))</f>
        <v>46.257822303288052</v>
      </c>
      <c r="AJ20" s="13">
        <f>AI20*VLOOKUP('Données projet'!$B$10,Paramètres!$A$1:$I$88,3,0)*VLOOKUP('Données projet'!$B$10,Paramètres!$A$1:$I$88,5,0)</f>
        <v>27.66217773736626</v>
      </c>
      <c r="AK20" s="13">
        <f t="shared" si="35"/>
        <v>8.6616944434151719</v>
      </c>
      <c r="AL20" s="20">
        <f t="shared" si="4"/>
        <v>63.264077381527663</v>
      </c>
      <c r="AM20" s="59">
        <f t="shared" si="5"/>
        <v>340.70852182597213</v>
      </c>
      <c r="AN20" s="59">
        <f ca="1">AVERAGE(OFFSET($AM$3,0,0,'Données projet'!$E$10+1,1))-AVERAGE(OFFSET($H$3,0,0,'Données projet'!$E$10+1,1))</f>
        <v>246.59447135626942</v>
      </c>
      <c r="AO20" s="59">
        <f t="shared" si="36"/>
        <v>262.00382544285367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projet'!$B$10,Paramètres!$A$1:$I$88,7,0))</f>
        <v>0</v>
      </c>
      <c r="AS20" s="16">
        <f>IF(ISNA(VLOOKUP(A20,'Données projet'!$A$61:$I$81,6,0)),0%,VLOOKUP(A20,'Données projet'!$A$61:$I$81,6,0)*VLOOKUP('Données projet'!$B$10,Paramètres!$A$1:$I$88,7,0))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projet'!$B$10,Paramètres!$A$1:$I$88,3,0)*0.475*44/12</f>
        <v>0</v>
      </c>
      <c r="AV20" s="21">
        <f>EXP(-LN(2)/25)*AV19+(1-EXP(-LN(2)/25))/(LN(2)/25)*Calculateur!AQ20*Calculateur!AS20*VLOOKUP('Données projet'!$B$10,Paramètres!$A$1:$I$88,3,0)*0.475*44/12</f>
        <v>0</v>
      </c>
      <c r="AW20" s="21">
        <f>EXP(-LN(2)/2)*AW19+(1-EXP(-LN(2)/2))/(LN(2)/2)*AQ20*AT20*VLOOKUP('Données projet'!$B$10,Paramètres!$A$1:$I$88,3,0)*0.475*44/12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15</v>
      </c>
      <c r="BD20" s="12">
        <f>IF('Données projet'!$A$88&gt;35,BD19+BC20-BL19,IF(A20&lt;'Données projet'!$A$88,$BA$205^A20,IF(A20='Données projet'!$A$88,'Données projet'!$B$88,BD19+BC20-BL19)))</f>
        <v>117</v>
      </c>
      <c r="BE20" s="13">
        <f>BD20*VLOOKUP('Données projet'!$B$11,Paramètres!$A$1:$I$88,3,0)*VLOOKUP('Données projet'!$B$11,Paramètres!$A$1:$I$88,5,0)</f>
        <v>65.403000000000006</v>
      </c>
      <c r="BF20" s="13">
        <f t="shared" si="37"/>
        <v>18.527386684584471</v>
      </c>
      <c r="BG20" s="20">
        <f t="shared" si="7"/>
        <v>146.17875680898462</v>
      </c>
      <c r="BH20" s="59">
        <f t="shared" si="8"/>
        <v>423.6232012534291</v>
      </c>
      <c r="BI20" s="59">
        <f ca="1">AVERAGE(OFFSET($BH$3,0,0,'Données projet'!$E$11+1,1))-AVERAGE(OFFSET($H$3,0,0,'Données projet'!$E$11+1,1))</f>
        <v>355.96253323046608</v>
      </c>
      <c r="BJ20" s="59">
        <f t="shared" si="38"/>
        <v>366.8380442809696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projet'!$B$11,Paramètres!$A$1:$I$88,7,0))</f>
        <v>0</v>
      </c>
      <c r="BN20" s="16">
        <f>IF(ISNA(VLOOKUP(A20,'Données projet'!$A$87:$I$107,6,0)),0%,VLOOKUP(A20,'Données projet'!$A$87:$I$107,6,0)*VLOOKUP('Données projet'!$B$11,Paramètres!$A$1:$I$88,7,0))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projet'!$B$11,Paramètres!$A$1:$I$88,3,0)*0.475*44/12</f>
        <v>0</v>
      </c>
      <c r="BQ20" s="21">
        <f>EXP(-LN(2)/25)*BQ19+(1-EXP(-LN(2)/25))/(LN(2)/25)*Calculateur!BL20*Calculateur!BN20*VLOOKUP('Données projet'!$B$11,Paramètres!$A$1:$I$88,3,0)*0.475*44/12</f>
        <v>0</v>
      </c>
      <c r="BR20" s="21">
        <f>EXP(-LN(2)/2)*BR19+(1-EXP(-LN(2)/2))/(LN(2)/2)*BL20*BO20*VLOOKUP('Données projet'!$B$11,Paramètres!$A$1:$I$88,3,0)*0.475*44/12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4.75</v>
      </c>
      <c r="BY20" s="12">
        <f>IF('Données projet'!$A$114&gt;35,BY19+BX20-CG19,IF(A20&lt;'Données projet'!$A$114,$BV$205^A20,IF(A20='Données projet'!$A$114,'Données projet'!$B$114,BY19+BX20-CG19)))</f>
        <v>47.980532602494719</v>
      </c>
      <c r="BZ20" s="13">
        <f>BY20*VLOOKUP('Données projet'!$B$12,Paramètres!$A$1:$I$88,3,0)*VLOOKUP('Données projet'!$B$12,Paramètres!$A$1:$I$88,5,0)</f>
        <v>31.436844961154542</v>
      </c>
      <c r="CA20" s="13">
        <f t="shared" si="39"/>
        <v>9.6981550680416824</v>
      </c>
      <c r="CB20" s="20">
        <f t="shared" si="10"/>
        <v>71.643458384183418</v>
      </c>
      <c r="CC20" s="59">
        <f t="shared" si="11"/>
        <v>349.08790282862788</v>
      </c>
      <c r="CD20" s="59">
        <f ca="1">AVERAGE(OFFSET($CC$3,0,0,'Données projet'!$E$12+1,1))-AVERAGE(OFFSET($H$3,0,0,'Données projet'!$E$12+1,1))</f>
        <v>180.90147430936133</v>
      </c>
      <c r="CE20" s="59">
        <f t="shared" si="40"/>
        <v>226.87949199830018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projet'!$B$12,Paramètres!$A$1:$I$88,7,0))</f>
        <v>0</v>
      </c>
      <c r="CI20" s="16">
        <f>IF(ISNA(VLOOKUP(A20,'Données projet'!$A$113:$I$133,6,0)),0%,VLOOKUP(A20,'Données projet'!$A$113:$I$133,6,0)*VLOOKUP('Données projet'!$B$12,Paramètres!$A$1:$I$88,7,0))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projet'!$B$12,Paramètres!$A$1:$I$88,3,0)*0.475*44/12</f>
        <v>0</v>
      </c>
      <c r="CL20" s="21">
        <f>EXP(-LN(2)/25)*CL19+(1-EXP(-LN(2)/25))/(LN(2)/25)*Calculateur!CG20*Calculateur!CI20*VLOOKUP('Données projet'!$B$12,Paramètres!$A$1:$I$88,3,0)*0.475*44/12</f>
        <v>0</v>
      </c>
      <c r="CM20" s="21">
        <f>EXP(-LN(2)/2)*CM19+(1-EXP(-LN(2)/2))/(LN(2)/2)*CG20*CJ20*VLOOKUP('Données projet'!$B$12,Paramètres!$A$1:$I$88,3,0)*0.475*44/12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17.399999999999999</v>
      </c>
      <c r="CT20" s="12">
        <f>IF('Données projet'!$A$140&gt;35,CT19+CS20-DB19,IF(A20&lt;'Données projet'!$A$140,$CQ$205^A20,IF(A20='Données projet'!$A$140,'Données projet'!$B$140,CT19+CS20-DB19)))</f>
        <v>206.8</v>
      </c>
      <c r="CU20" s="17">
        <f>CT20*VLOOKUP('Données projet'!$B$13,Paramètres!$A$1:$I$88,3,0)*VLOOKUP('Données projet'!$B$13,Paramètres!$A$1:$I$88,5,0)</f>
        <v>105.17020800000002</v>
      </c>
      <c r="CV20" s="13">
        <f t="shared" si="41"/>
        <v>28.190091376320375</v>
      </c>
      <c r="CW20" s="20">
        <f t="shared" si="13"/>
        <v>232.26918808042467</v>
      </c>
      <c r="CX20" s="59">
        <f t="shared" si="14"/>
        <v>509.71363252486913</v>
      </c>
      <c r="CY20" s="59">
        <f ca="1">AVERAGE(OFFSET($CX$3,0,0,'Données projet'!$E$13+1,1))-AVERAGE(OFFSET($H$3,0,0,'Données projet'!$E$13+1,1))</f>
        <v>133.08385802816008</v>
      </c>
      <c r="CZ20" s="59">
        <f t="shared" si="42"/>
        <v>316.59112511251385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projet'!$B$13,Paramètres!$A$1:$I$88,7,0))</f>
        <v>0</v>
      </c>
      <c r="DD20" s="16">
        <f>IF(ISNA(VLOOKUP(A20,'Données projet'!$A$139:$I$159,6,0)),0%,VLOOKUP(A20,'Données projet'!$A$139:$I$159,6,0)*VLOOKUP('Données projet'!$B$13,Paramètres!$A$1:$I$88,7,0))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projet'!$B$13,Paramètres!$A$1:$I$88,3,0)*0.475*44/12</f>
        <v>0</v>
      </c>
      <c r="DG20" s="21">
        <f>EXP(-LN(2)/25)*DG19+(1-EXP(-LN(2)/25))/(LN(2)/25)*Calculateur!DB20*Calculateur!DD20*VLOOKUP('Données projet'!$B$13,Paramètres!$A$1:$I$88,3,0)*0.475*44/12</f>
        <v>0</v>
      </c>
      <c r="DH20" s="21">
        <f>EXP(-LN(2)/2)*DH19+(1-EXP(-LN(2)/2))/(LN(2)/2)*DB20*DE20*VLOOKUP('Données projet'!$B$13,Paramètres!$A$1:$I$88,3,0)*0.475*44/12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projet'!$B$14,Paramètres!$A$1:$I$88,3,0)*VLOOKUP('Données projet'!$B$14,Paramètres!$A$1:$I$88,5,0)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projet'!$B$14,Paramètres!$A$1:$I$88,7,0))</f>
        <v>0</v>
      </c>
      <c r="DY20" s="16">
        <f>IF(ISNA(VLOOKUP(A20,'Données projet'!$A$165:$I$185,6,0)),0%,VLOOKUP(A20,'Données projet'!$A$165:$I$185,6,0)*VLOOKUP('Données projet'!$B$14,Paramètres!$A$1:$I$88,7,0))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projet'!$B$14,Paramètres!$A$1:$I$88,3,0)*0.475*44/12</f>
        <v>#N/A</v>
      </c>
      <c r="EB20" s="21" t="e">
        <f>EXP(-LN(2)/25)*EB19+(1-EXP(-LN(2)/25))/(LN(2)/25)*Calculateur!DW20*Calculateur!DY20*VLOOKUP('Données projet'!$B$14,Paramètres!$A$1:$I$88,3,0)*0.475*44/12</f>
        <v>#N/A</v>
      </c>
      <c r="EC20" s="21" t="e">
        <f>EXP(-LN(2)/2)*EC19+(1-EXP(-LN(2)/2))/(LN(2)/2)*DW20*DZ20*VLOOKUP('Données projet'!$B$14,Paramètres!$A$1:$I$88,3,0)*0.475*44/12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projet'!$B$15,Paramètres!$A$1:$I$88,3,0)*VLOOKUP('Données projet'!$B$15,Paramètres!$A$1:$I$88,5,0)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projet'!$B$15,Paramètres!$A$1:$I$88,7,0))</f>
        <v>0</v>
      </c>
      <c r="ET20" s="16">
        <f>IF(ISNA(VLOOKUP(A20,'Données projet'!$A$191:$I$211,6,0)),0%,VLOOKUP(A20,'Données projet'!$A$191:$I$211,6,0)*VLOOKUP('Données projet'!$B$15,Paramètres!$A$1:$I$88,7,0))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projet'!$B$15,Paramètres!$A$1:$I$88,3,0)*0.475*44/12</f>
        <v>#N/A</v>
      </c>
      <c r="EW20" s="21" t="e">
        <f>EXP(-LN(2)/25)*EW19+(1-EXP(-LN(2)/25))/(LN(2)/25)*Calculateur!ER20*Calculateur!ET20*VLOOKUP('Données projet'!$B$15,Paramètres!$A$1:$I$88,3,0)*0.475*44/12</f>
        <v>#N/A</v>
      </c>
      <c r="EX20" s="21" t="e">
        <f>EXP(-LN(2)/2)*EX19+(1-EXP(-LN(2)/2))/(LN(2)/2)*ER20*EU20*VLOOKUP('Données projet'!$B$15,Paramètres!$A$1:$I$88,3,0)*0.475*44/12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projet'!$B$16,Paramètres!$A$1:$I$88,3,0)*VLOOKUP('Données projet'!$B$16,Paramètres!$A$1:$I$88,5,0)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projet'!$B$16,Paramètres!$A$1:$I$88,7,0))</f>
        <v>0</v>
      </c>
      <c r="FO20" s="16">
        <f>IF(ISNA(VLOOKUP(A20,'Données projet'!$A$217:$I$237,6,0)),0%,VLOOKUP(A20,'Données projet'!$A$217:$I$237,6,0)*VLOOKUP('Données projet'!$B$16,Paramètres!$A$1:$I$88,7,0))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projet'!$B$16,Paramètres!$A$1:$I$88,3,0)*0.475*44/12</f>
        <v>#N/A</v>
      </c>
      <c r="FR20" s="21" t="e">
        <f>EXP(-LN(2)/25)*FR19+(1-EXP(-LN(2)/25))/(LN(2)/25)*Calculateur!FM20*Calculateur!FO20*VLOOKUP('Données projet'!$B$16,Paramètres!$A$1:$I$88,3,0)*0.475*44/12</f>
        <v>#N/A</v>
      </c>
      <c r="FS20" s="21" t="e">
        <f>EXP(-LN(2)/2)*FS19+(1-EXP(-LN(2)/2))/(LN(2)/2)*FM20*FP20*VLOOKUP('Données projet'!$B$16,Paramètres!$A$1:$I$88,3,0)*0.475*44/12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projet'!$B$17,Paramètres!$A$1:$I$88,3,0)*VLOOKUP('Données projet'!$B$17,Paramètres!$A$1:$I$88,5,0)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projet'!$B$17,Paramètres!$A$1:$I$88,7,0))</f>
        <v>0</v>
      </c>
      <c r="GJ20" s="16">
        <f>IF(ISNA(VLOOKUP(A20,'Données projet'!$A$243:$I$263,6,0)),0%,VLOOKUP(A20,'Données projet'!$A$243:$I$263,6,0)*VLOOKUP('Données projet'!$B$17,Paramètres!$A$1:$I$88,7,0))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projet'!$B$17,Paramètres!$A$1:$I$88,3,0)*0.475*44/12</f>
        <v>#N/A</v>
      </c>
      <c r="GM20" s="21" t="e">
        <f>EXP(-LN(2)/25)*GM19+(1-EXP(-LN(2)/25))/(LN(2)/25)*Calculateur!GH20*Calculateur!GJ20*VLOOKUP('Données projet'!$B$17,Paramètres!$A$1:$I$88,3,0)*0.475*44/12</f>
        <v>#N/A</v>
      </c>
      <c r="GN20" s="21" t="e">
        <f>EXP(-LN(2)/2)*GN19+(1-EXP(-LN(2)/2))/(LN(2)/2)*GH20*GK20*VLOOKUP('Données projet'!$B$17,Paramètres!$A$1:$I$88,3,0)*0.475*44/12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projet'!$B$18,Paramètres!$A$1:$I$88,3,0)*VLOOKUP('Données projet'!$B$18,Paramètres!$A$1:$I$88,5,0)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projet'!$B$18,Paramètres!$A$1:$I$88,7,0))</f>
        <v>0</v>
      </c>
      <c r="HE20" s="16">
        <f>IF(ISNA(VLOOKUP(A20,'Données projet'!$A$269:$I$289,6,0)),0%,VLOOKUP(A20,'Données projet'!$A$269:$I$289,6,0)*VLOOKUP('Données projet'!$B$18,Paramètres!$A$1:$I$88,7,0))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projet'!$B$18,Paramètres!$A$1:$I$88,3,0)*0.475*44/12</f>
        <v>#N/A</v>
      </c>
      <c r="HH20" s="21" t="e">
        <f>EXP(-LN(2)/25)*HH19+(1-EXP(-LN(2)/25))/(LN(2)/25)*Calculateur!HC20*Calculateur!HE20*VLOOKUP('Données projet'!$B$18,Paramètres!$A$1:$I$88,3,0)*0.475*44/12</f>
        <v>#N/A</v>
      </c>
      <c r="HI20" s="21" t="e">
        <f>EXP(-LN(2)/2)*HI19+(1-EXP(-LN(2)/2))/(LN(2)/2)*HC20*HF20*VLOOKUP('Données projet'!$B$18,Paramètres!$A$1:$I$88,3,0)*0.475*44/12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13.25</v>
      </c>
      <c r="N21" s="13">
        <f>IF('Données projet'!$A$36&gt;35,N20+M21-V20,IF(A21&lt;'Données projet'!$A$36,$K$205^A21,IF(A21='Données projet'!$A$36,'Données projet'!$B$36,N20+M21-V20)))</f>
        <v>92.5</v>
      </c>
      <c r="O21" s="13">
        <f>N21*VLOOKUP('Données projet'!$B$9,Paramètres!$A$1:$I$88,3,0)*VLOOKUP('Données projet'!$B$9,Paramètres!$A$1:$I$88,5,0)</f>
        <v>55.315000000000005</v>
      </c>
      <c r="P21" s="13">
        <f t="shared" si="33"/>
        <v>15.978207841877614</v>
      </c>
      <c r="Q21" s="20">
        <f t="shared" si="2"/>
        <v>124.16900365793684</v>
      </c>
      <c r="R21" s="59">
        <f t="shared" si="0"/>
        <v>402.83567032460354</v>
      </c>
      <c r="S21" s="59">
        <f ca="1">AVERAGE(OFFSET($R$3,0,0,'Données projet'!$E$9+1,1))-AVERAGE(OFFSET($H$3,0,0,'Données projet'!$E$9+1,1))</f>
        <v>195.73441209602686</v>
      </c>
      <c r="T21" s="59">
        <f t="shared" si="34"/>
        <v>219.19129224309006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projet'!$B$9,Paramètres!$A$1:$I$88,7,0))</f>
        <v>0</v>
      </c>
      <c r="X21" s="16">
        <f>IF(ISNA(VLOOKUP(A21,'Données projet'!$A$35:$I$55,6,0)),0%,VLOOKUP(A21,'Données projet'!$A$35:$I$55,6,0)*VLOOKUP('Données projet'!$B$9,Paramètres!$A$1:$I$88,7,0))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projet'!$B$9,Paramètres!$A$1:$I$88,3,0)*0.475*44/12</f>
        <v>0</v>
      </c>
      <c r="AA21" s="21">
        <f>EXP(-LN(2)/25)*AA20+(1-EXP(-LN(2)/25))/(LN(2)/25)*Calculateur!V21*Calculateur!X21*VLOOKUP('Données projet'!$B$9,Paramètres!$A$1:$I$88,3,0)*0.475*44/12</f>
        <v>2.5229437031354718</v>
      </c>
      <c r="AB21" s="21">
        <f>EXP(-LN(2)/2)*AB20+(1-EXP(-LN(2)/2))/(LN(2)/2)*V21*Y21*VLOOKUP('Données projet'!$B$9,Paramètres!$A$1:$I$88,3,0)*0.475*44/12</f>
        <v>2.5390309272031004</v>
      </c>
      <c r="AC21" s="22">
        <f t="shared" si="3"/>
        <v>5.0619746303385718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4.55</v>
      </c>
      <c r="AI21" s="13">
        <f>IF('Données projet'!$A$62&gt;35,AI20+AH21-AQ20,IF(A21&lt;'Données projet'!$A$62,$AF$205^A21,IF(A21='Données projet'!$A$62,'Données projet'!$B$62,AI20+AH21-AQ20)))</f>
        <v>57.961184622505009</v>
      </c>
      <c r="AJ21" s="13">
        <f>AI21*VLOOKUP('Données projet'!$B$10,Paramètres!$A$1:$I$88,3,0)*VLOOKUP('Données projet'!$B$10,Paramètres!$A$1:$I$88,5,0)</f>
        <v>34.660788404258</v>
      </c>
      <c r="AK21" s="13">
        <f t="shared" si="35"/>
        <v>10.571906363180744</v>
      </c>
      <c r="AL21" s="20">
        <f t="shared" si="4"/>
        <v>78.780276719955808</v>
      </c>
      <c r="AM21" s="59">
        <f t="shared" si="5"/>
        <v>357.44694338662248</v>
      </c>
      <c r="AN21" s="59">
        <f ca="1">AVERAGE(OFFSET($AM$3,0,0,'Données projet'!$E$10+1,1))-AVERAGE(OFFSET($H$3,0,0,'Données projet'!$E$10+1,1))</f>
        <v>246.59447135626942</v>
      </c>
      <c r="AO21" s="59">
        <f t="shared" si="36"/>
        <v>262.00382544285367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projet'!$B$10,Paramètres!$A$1:$I$88,7,0))</f>
        <v>0</v>
      </c>
      <c r="AS21" s="16">
        <f>IF(ISNA(VLOOKUP(A21,'Données projet'!$A$61:$I$81,6,0)),0%,VLOOKUP(A21,'Données projet'!$A$61:$I$81,6,0)*VLOOKUP('Données projet'!$B$10,Paramètres!$A$1:$I$88,7,0))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projet'!$B$10,Paramètres!$A$1:$I$88,3,0)*0.475*44/12</f>
        <v>0</v>
      </c>
      <c r="AV21" s="21">
        <f>EXP(-LN(2)/25)*AV20+(1-EXP(-LN(2)/25))/(LN(2)/25)*Calculateur!AQ21*Calculateur!AS21*VLOOKUP('Données projet'!$B$10,Paramètres!$A$1:$I$88,3,0)*0.475*44/12</f>
        <v>0</v>
      </c>
      <c r="AW21" s="21">
        <f>EXP(-LN(2)/2)*AW20+(1-EXP(-LN(2)/2))/(LN(2)/2)*AQ21*AT21*VLOOKUP('Données projet'!$B$10,Paramètres!$A$1:$I$88,3,0)*0.475*44/12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15</v>
      </c>
      <c r="BD21" s="12">
        <f>IF('Données projet'!$A$88&gt;35,BD20+BC21-BL20,IF(A21&lt;'Données projet'!$A$88,$BA$205^A21,IF(A21='Données projet'!$A$88,'Données projet'!$B$88,BD20+BC21-BL20)))</f>
        <v>132</v>
      </c>
      <c r="BE21" s="13">
        <f>BD21*VLOOKUP('Données projet'!$B$11,Paramètres!$A$1:$I$88,3,0)*VLOOKUP('Données projet'!$B$11,Paramètres!$A$1:$I$88,5,0)</f>
        <v>73.787999999999997</v>
      </c>
      <c r="BF21" s="13">
        <f t="shared" si="37"/>
        <v>20.611246816293939</v>
      </c>
      <c r="BG21" s="20">
        <f t="shared" si="7"/>
        <v>164.41202153837858</v>
      </c>
      <c r="BH21" s="59">
        <f t="shared" si="8"/>
        <v>443.0786882050453</v>
      </c>
      <c r="BI21" s="59">
        <f ca="1">AVERAGE(OFFSET($BH$3,0,0,'Données projet'!$E$11+1,1))-AVERAGE(OFFSET($H$3,0,0,'Données projet'!$E$11+1,1))</f>
        <v>355.96253323046608</v>
      </c>
      <c r="BJ21" s="59">
        <f t="shared" si="38"/>
        <v>366.8380442809696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projet'!$B$11,Paramètres!$A$1:$I$88,7,0))</f>
        <v>0</v>
      </c>
      <c r="BN21" s="16">
        <f>IF(ISNA(VLOOKUP(A21,'Données projet'!$A$87:$I$107,6,0)),0%,VLOOKUP(A21,'Données projet'!$A$87:$I$107,6,0)*VLOOKUP('Données projet'!$B$11,Paramètres!$A$1:$I$88,7,0))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projet'!$B$11,Paramètres!$A$1:$I$88,3,0)*0.475*44/12</f>
        <v>0</v>
      </c>
      <c r="BQ21" s="21">
        <f>EXP(-LN(2)/25)*BQ20+(1-EXP(-LN(2)/25))/(LN(2)/25)*Calculateur!BL21*Calculateur!BN21*VLOOKUP('Données projet'!$B$11,Paramètres!$A$1:$I$88,3,0)*0.475*44/12</f>
        <v>0</v>
      </c>
      <c r="BR21" s="21">
        <f>EXP(-LN(2)/2)*BR20+(1-EXP(-LN(2)/2))/(LN(2)/2)*BL21*BO21*VLOOKUP('Données projet'!$B$11,Paramètres!$A$1:$I$88,3,0)*0.475*44/12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4.75</v>
      </c>
      <c r="BY21" s="12">
        <f>IF('Données projet'!$A$114&gt;35,BY20+BX21-CG20,IF(A21&lt;'Données projet'!$A$114,$BV$205^A21,IF(A21='Données projet'!$A$114,'Données projet'!$B$114,BY20+BX21-CG20)))</f>
        <v>60.249194467085609</v>
      </c>
      <c r="BZ21" s="13">
        <f>BY21*VLOOKUP('Données projet'!$B$12,Paramètres!$A$1:$I$88,3,0)*VLOOKUP('Données projet'!$B$12,Paramètres!$A$1:$I$88,5,0)</f>
        <v>39.47527221483449</v>
      </c>
      <c r="CA21" s="13">
        <f t="shared" si="39"/>
        <v>11.859461043436028</v>
      </c>
      <c r="CB21" s="20">
        <f t="shared" si="10"/>
        <v>89.407993758154475</v>
      </c>
      <c r="CC21" s="59">
        <f t="shared" si="11"/>
        <v>368.07466042482116</v>
      </c>
      <c r="CD21" s="59">
        <f ca="1">AVERAGE(OFFSET($CC$3,0,0,'Données projet'!$E$12+1,1))-AVERAGE(OFFSET($H$3,0,0,'Données projet'!$E$12+1,1))</f>
        <v>180.90147430936133</v>
      </c>
      <c r="CE21" s="59">
        <f t="shared" si="40"/>
        <v>226.87949199830018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projet'!$B$12,Paramètres!$A$1:$I$88,7,0))</f>
        <v>0</v>
      </c>
      <c r="CI21" s="16">
        <f>IF(ISNA(VLOOKUP(A21,'Données projet'!$A$113:$I$133,6,0)),0%,VLOOKUP(A21,'Données projet'!$A$113:$I$133,6,0)*VLOOKUP('Données projet'!$B$12,Paramètres!$A$1:$I$88,7,0))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projet'!$B$12,Paramètres!$A$1:$I$88,3,0)*0.475*44/12</f>
        <v>0</v>
      </c>
      <c r="CL21" s="21">
        <f>EXP(-LN(2)/25)*CL20+(1-EXP(-LN(2)/25))/(LN(2)/25)*Calculateur!CG21*Calculateur!CI21*VLOOKUP('Données projet'!$B$12,Paramètres!$A$1:$I$88,3,0)*0.475*44/12</f>
        <v>0</v>
      </c>
      <c r="CM21" s="21">
        <f>EXP(-LN(2)/2)*CM20+(1-EXP(-LN(2)/2))/(LN(2)/2)*CG21*CJ21*VLOOKUP('Données projet'!$B$12,Paramètres!$A$1:$I$88,3,0)*0.475*44/12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17.399999999999999</v>
      </c>
      <c r="CT21" s="12">
        <f>IF('Données projet'!$A$140&gt;35,CT20+CS21-DB20,IF(A21&lt;'Données projet'!$A$140,$CQ$205^A21,IF(A21='Données projet'!$A$140,'Données projet'!$B$140,CT20+CS21-DB20)))</f>
        <v>224.20000000000002</v>
      </c>
      <c r="CU21" s="17">
        <f>CT21*VLOOKUP('Données projet'!$B$13,Paramètres!$A$1:$I$88,3,0)*VLOOKUP('Données projet'!$B$13,Paramètres!$A$1:$I$88,5,0)</f>
        <v>114.01915200000001</v>
      </c>
      <c r="CV21" s="13">
        <f t="shared" si="41"/>
        <v>30.275941321732173</v>
      </c>
      <c r="CW21" s="20">
        <f t="shared" si="13"/>
        <v>251.31395420201684</v>
      </c>
      <c r="CX21" s="59">
        <f t="shared" si="14"/>
        <v>529.98062086868356</v>
      </c>
      <c r="CY21" s="59">
        <f ca="1">AVERAGE(OFFSET($CX$3,0,0,'Données projet'!$E$13+1,1))-AVERAGE(OFFSET($H$3,0,0,'Données projet'!$E$13+1,1))</f>
        <v>133.08385802816008</v>
      </c>
      <c r="CZ21" s="59">
        <f t="shared" si="42"/>
        <v>316.59112511251385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projet'!$B$13,Paramètres!$A$1:$I$88,7,0))</f>
        <v>0</v>
      </c>
      <c r="DD21" s="16">
        <f>IF(ISNA(VLOOKUP(A21,'Données projet'!$A$139:$I$159,6,0)),0%,VLOOKUP(A21,'Données projet'!$A$139:$I$159,6,0)*VLOOKUP('Données projet'!$B$13,Paramètres!$A$1:$I$88,7,0))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projet'!$B$13,Paramètres!$A$1:$I$88,3,0)*0.475*44/12</f>
        <v>0</v>
      </c>
      <c r="DG21" s="21">
        <f>EXP(-LN(2)/25)*DG20+(1-EXP(-LN(2)/25))/(LN(2)/25)*Calculateur!DB21*Calculateur!DD21*VLOOKUP('Données projet'!$B$13,Paramètres!$A$1:$I$88,3,0)*0.475*44/12</f>
        <v>0</v>
      </c>
      <c r="DH21" s="21">
        <f>EXP(-LN(2)/2)*DH20+(1-EXP(-LN(2)/2))/(LN(2)/2)*DB21*DE21*VLOOKUP('Données projet'!$B$13,Paramètres!$A$1:$I$88,3,0)*0.475*44/12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projet'!$B$14,Paramètres!$A$1:$I$88,3,0)*VLOOKUP('Données projet'!$B$14,Paramètres!$A$1:$I$88,5,0)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projet'!$B$14,Paramètres!$A$1:$I$88,7,0))</f>
        <v>0</v>
      </c>
      <c r="DY21" s="16">
        <f>IF(ISNA(VLOOKUP(A21,'Données projet'!$A$165:$I$185,6,0)),0%,VLOOKUP(A21,'Données projet'!$A$165:$I$185,6,0)*VLOOKUP('Données projet'!$B$14,Paramètres!$A$1:$I$88,7,0))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projet'!$B$14,Paramètres!$A$1:$I$88,3,0)*0.475*44/12</f>
        <v>#N/A</v>
      </c>
      <c r="EB21" s="21" t="e">
        <f>EXP(-LN(2)/25)*EB20+(1-EXP(-LN(2)/25))/(LN(2)/25)*Calculateur!DW21*Calculateur!DY21*VLOOKUP('Données projet'!$B$14,Paramètres!$A$1:$I$88,3,0)*0.475*44/12</f>
        <v>#N/A</v>
      </c>
      <c r="EC21" s="21" t="e">
        <f>EXP(-LN(2)/2)*EC20+(1-EXP(-LN(2)/2))/(LN(2)/2)*DW21*DZ21*VLOOKUP('Données projet'!$B$14,Paramètres!$A$1:$I$88,3,0)*0.475*44/12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projet'!$B$15,Paramètres!$A$1:$I$88,3,0)*VLOOKUP('Données projet'!$B$15,Paramètres!$A$1:$I$88,5,0)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projet'!$B$15,Paramètres!$A$1:$I$88,7,0))</f>
        <v>0</v>
      </c>
      <c r="ET21" s="16">
        <f>IF(ISNA(VLOOKUP(A21,'Données projet'!$A$191:$I$211,6,0)),0%,VLOOKUP(A21,'Données projet'!$A$191:$I$211,6,0)*VLOOKUP('Données projet'!$B$15,Paramètres!$A$1:$I$88,7,0))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projet'!$B$15,Paramètres!$A$1:$I$88,3,0)*0.475*44/12</f>
        <v>#N/A</v>
      </c>
      <c r="EW21" s="21" t="e">
        <f>EXP(-LN(2)/25)*EW20+(1-EXP(-LN(2)/25))/(LN(2)/25)*Calculateur!ER21*Calculateur!ET21*VLOOKUP('Données projet'!$B$15,Paramètres!$A$1:$I$88,3,0)*0.475*44/12</f>
        <v>#N/A</v>
      </c>
      <c r="EX21" s="21" t="e">
        <f>EXP(-LN(2)/2)*EX20+(1-EXP(-LN(2)/2))/(LN(2)/2)*ER21*EU21*VLOOKUP('Données projet'!$B$15,Paramètres!$A$1:$I$88,3,0)*0.475*44/12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projet'!$B$16,Paramètres!$A$1:$I$88,3,0)*VLOOKUP('Données projet'!$B$16,Paramètres!$A$1:$I$88,5,0)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projet'!$B$16,Paramètres!$A$1:$I$88,7,0))</f>
        <v>0</v>
      </c>
      <c r="FO21" s="16">
        <f>IF(ISNA(VLOOKUP(A21,'Données projet'!$A$217:$I$237,6,0)),0%,VLOOKUP(A21,'Données projet'!$A$217:$I$237,6,0)*VLOOKUP('Données projet'!$B$16,Paramètres!$A$1:$I$88,7,0))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projet'!$B$16,Paramètres!$A$1:$I$88,3,0)*0.475*44/12</f>
        <v>#N/A</v>
      </c>
      <c r="FR21" s="21" t="e">
        <f>EXP(-LN(2)/25)*FR20+(1-EXP(-LN(2)/25))/(LN(2)/25)*Calculateur!FM21*Calculateur!FO21*VLOOKUP('Données projet'!$B$16,Paramètres!$A$1:$I$88,3,0)*0.475*44/12</f>
        <v>#N/A</v>
      </c>
      <c r="FS21" s="21" t="e">
        <f>EXP(-LN(2)/2)*FS20+(1-EXP(-LN(2)/2))/(LN(2)/2)*FM21*FP21*VLOOKUP('Données projet'!$B$16,Paramètres!$A$1:$I$88,3,0)*0.475*44/12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projet'!$B$17,Paramètres!$A$1:$I$88,3,0)*VLOOKUP('Données projet'!$B$17,Paramètres!$A$1:$I$88,5,0)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projet'!$B$17,Paramètres!$A$1:$I$88,7,0))</f>
        <v>0</v>
      </c>
      <c r="GJ21" s="16">
        <f>IF(ISNA(VLOOKUP(A21,'Données projet'!$A$243:$I$263,6,0)),0%,VLOOKUP(A21,'Données projet'!$A$243:$I$263,6,0)*VLOOKUP('Données projet'!$B$17,Paramètres!$A$1:$I$88,7,0))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projet'!$B$17,Paramètres!$A$1:$I$88,3,0)*0.475*44/12</f>
        <v>#N/A</v>
      </c>
      <c r="GM21" s="21" t="e">
        <f>EXP(-LN(2)/25)*GM20+(1-EXP(-LN(2)/25))/(LN(2)/25)*Calculateur!GH21*Calculateur!GJ21*VLOOKUP('Données projet'!$B$17,Paramètres!$A$1:$I$88,3,0)*0.475*44/12</f>
        <v>#N/A</v>
      </c>
      <c r="GN21" s="21" t="e">
        <f>EXP(-LN(2)/2)*GN20+(1-EXP(-LN(2)/2))/(LN(2)/2)*GH21*GK21*VLOOKUP('Données projet'!$B$17,Paramètres!$A$1:$I$88,3,0)*0.475*44/12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projet'!$B$18,Paramètres!$A$1:$I$88,3,0)*VLOOKUP('Données projet'!$B$18,Paramètres!$A$1:$I$88,5,0)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projet'!$B$18,Paramètres!$A$1:$I$88,7,0))</f>
        <v>0</v>
      </c>
      <c r="HE21" s="16">
        <f>IF(ISNA(VLOOKUP(A21,'Données projet'!$A$269:$I$289,6,0)),0%,VLOOKUP(A21,'Données projet'!$A$269:$I$289,6,0)*VLOOKUP('Données projet'!$B$18,Paramètres!$A$1:$I$88,7,0))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projet'!$B$18,Paramètres!$A$1:$I$88,3,0)*0.475*44/12</f>
        <v>#N/A</v>
      </c>
      <c r="HH21" s="21" t="e">
        <f>EXP(-LN(2)/25)*HH20+(1-EXP(-LN(2)/25))/(LN(2)/25)*Calculateur!HC21*Calculateur!HE21*VLOOKUP('Données projet'!$B$18,Paramètres!$A$1:$I$88,3,0)*0.475*44/12</f>
        <v>#N/A</v>
      </c>
      <c r="HI21" s="21" t="e">
        <f>EXP(-LN(2)/2)*HI20+(1-EXP(-LN(2)/2))/(LN(2)/2)*HC21*HF21*VLOOKUP('Données projet'!$B$18,Paramètres!$A$1:$I$88,3,0)*0.475*44/12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13.25</v>
      </c>
      <c r="N22" s="13">
        <f>IF('Données projet'!$A$36&gt;35,N21+M22-V21,IF(A22&lt;'Données projet'!$A$36,$K$205^A22,IF(A22='Données projet'!$A$36,'Données projet'!$B$36,N21+M22-V21)))</f>
        <v>105.75</v>
      </c>
      <c r="O22" s="13">
        <f>N22*VLOOKUP('Données projet'!$B$9,Paramètres!$A$1:$I$88,3,0)*VLOOKUP('Données projet'!$B$9,Paramètres!$A$1:$I$88,5,0)</f>
        <v>63.238500000000009</v>
      </c>
      <c r="P22" s="13">
        <f t="shared" si="33"/>
        <v>17.984541540394584</v>
      </c>
      <c r="Q22" s="20">
        <f t="shared" si="2"/>
        <v>141.46346401618726</v>
      </c>
      <c r="R22" s="59">
        <f t="shared" si="0"/>
        <v>421.35235290507615</v>
      </c>
      <c r="S22" s="59">
        <f ca="1">AVERAGE(OFFSET($R$3,0,0,'Données projet'!$E$9+1,1))-AVERAGE(OFFSET($H$3,0,0,'Données projet'!$E$9+1,1))</f>
        <v>195.73441209602686</v>
      </c>
      <c r="T22" s="59">
        <f t="shared" si="34"/>
        <v>219.19129224309006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projet'!$B$9,Paramètres!$A$1:$I$88,7,0))</f>
        <v>0</v>
      </c>
      <c r="X22" s="16">
        <f>IF(ISNA(VLOOKUP(A22,'Données projet'!$A$35:$I$55,6,0)),0%,VLOOKUP(A22,'Données projet'!$A$35:$I$55,6,0)*VLOOKUP('Données projet'!$B$9,Paramètres!$A$1:$I$88,7,0))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projet'!$B$9,Paramètres!$A$1:$I$88,3,0)*0.475*44/12</f>
        <v>0</v>
      </c>
      <c r="AA22" s="21">
        <f>EXP(-LN(2)/25)*AA21+(1-EXP(-LN(2)/25))/(LN(2)/25)*Calculateur!V22*Calculateur!X22*VLOOKUP('Données projet'!$B$9,Paramètres!$A$1:$I$88,3,0)*0.475*44/12</f>
        <v>2.4539536748973894</v>
      </c>
      <c r="AB22" s="21">
        <f>EXP(-LN(2)/2)*AB21+(1-EXP(-LN(2)/2))/(LN(2)/2)*V22*Y22*VLOOKUP('Données projet'!$B$9,Paramètres!$A$1:$I$88,3,0)*0.475*44/12</f>
        <v>1.7953659862676796</v>
      </c>
      <c r="AC22" s="22">
        <f t="shared" si="3"/>
        <v>4.2493196611650692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4.55</v>
      </c>
      <c r="AI22" s="13">
        <f>IF('Données projet'!$A$62&gt;35,AI21+AH22-AQ21,IF(A22&lt;'Données projet'!$A$62,$AF$205^A22,IF(A22='Données projet'!$A$62,'Données projet'!$B$62,AI21+AH22-AQ21)))</f>
        <v>72.625531327818578</v>
      </c>
      <c r="AJ22" s="13">
        <f>AI22*VLOOKUP('Données projet'!$B$10,Paramètres!$A$1:$I$88,3,0)*VLOOKUP('Données projet'!$B$10,Paramètres!$A$1:$I$88,5,0)</f>
        <v>43.430067734035511</v>
      </c>
      <c r="AK22" s="13">
        <f t="shared" si="35"/>
        <v>12.903388001273598</v>
      </c>
      <c r="AL22" s="20">
        <f t="shared" si="4"/>
        <v>98.114102072330027</v>
      </c>
      <c r="AM22" s="59">
        <f t="shared" si="5"/>
        <v>378.00299096121887</v>
      </c>
      <c r="AN22" s="59">
        <f ca="1">AVERAGE(OFFSET($AM$3,0,0,'Données projet'!$E$10+1,1))-AVERAGE(OFFSET($H$3,0,0,'Données projet'!$E$10+1,1))</f>
        <v>246.59447135626942</v>
      </c>
      <c r="AO22" s="59">
        <f t="shared" si="36"/>
        <v>262.00382544285367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projet'!$B$10,Paramètres!$A$1:$I$88,7,0))</f>
        <v>0</v>
      </c>
      <c r="AS22" s="16">
        <f>IF(ISNA(VLOOKUP(A22,'Données projet'!$A$61:$I$81,6,0)),0%,VLOOKUP(A22,'Données projet'!$A$61:$I$81,6,0)*VLOOKUP('Données projet'!$B$10,Paramètres!$A$1:$I$88,7,0))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projet'!$B$10,Paramètres!$A$1:$I$88,3,0)*0.475*44/12</f>
        <v>0</v>
      </c>
      <c r="AV22" s="21">
        <f>EXP(-LN(2)/25)*AV21+(1-EXP(-LN(2)/25))/(LN(2)/25)*Calculateur!AQ22*Calculateur!AS22*VLOOKUP('Données projet'!$B$10,Paramètres!$A$1:$I$88,3,0)*0.475*44/12</f>
        <v>0</v>
      </c>
      <c r="AW22" s="21">
        <f>EXP(-LN(2)/2)*AW21+(1-EXP(-LN(2)/2))/(LN(2)/2)*AQ22*AT22*VLOOKUP('Données projet'!$B$10,Paramètres!$A$1:$I$88,3,0)*0.475*44/12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15</v>
      </c>
      <c r="BD22" s="12">
        <f>IF('Données projet'!$A$88&gt;35,BD21+BC22-BL21,IF(A22&lt;'Données projet'!$A$88,$BA$205^A22,IF(A22='Données projet'!$A$88,'Données projet'!$B$88,BD21+BC22-BL21)))</f>
        <v>147</v>
      </c>
      <c r="BE22" s="13">
        <f>BD22*VLOOKUP('Données projet'!$B$11,Paramètres!$A$1:$I$88,3,0)*VLOOKUP('Données projet'!$B$11,Paramètres!$A$1:$I$88,5,0)</f>
        <v>82.173000000000002</v>
      </c>
      <c r="BF22" s="13">
        <f t="shared" si="37"/>
        <v>22.667662370396656</v>
      </c>
      <c r="BG22" s="20">
        <f t="shared" si="7"/>
        <v>182.59748696177417</v>
      </c>
      <c r="BH22" s="59">
        <f t="shared" si="8"/>
        <v>462.48637585066302</v>
      </c>
      <c r="BI22" s="59">
        <f ca="1">AVERAGE(OFFSET($BH$3,0,0,'Données projet'!$E$11+1,1))-AVERAGE(OFFSET($H$3,0,0,'Données projet'!$E$11+1,1))</f>
        <v>355.96253323046608</v>
      </c>
      <c r="BJ22" s="59">
        <f t="shared" si="38"/>
        <v>366.8380442809696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projet'!$B$11,Paramètres!$A$1:$I$88,7,0))</f>
        <v>0</v>
      </c>
      <c r="BN22" s="16">
        <f>IF(ISNA(VLOOKUP(A22,'Données projet'!$A$87:$I$107,6,0)),0%,VLOOKUP(A22,'Données projet'!$A$87:$I$107,6,0)*VLOOKUP('Données projet'!$B$11,Paramètres!$A$1:$I$88,7,0))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projet'!$B$11,Paramètres!$A$1:$I$88,3,0)*0.475*44/12</f>
        <v>0</v>
      </c>
      <c r="BQ22" s="21">
        <f>EXP(-LN(2)/25)*BQ21+(1-EXP(-LN(2)/25))/(LN(2)/25)*Calculateur!BL22*Calculateur!BN22*VLOOKUP('Données projet'!$B$11,Paramètres!$A$1:$I$88,3,0)*0.475*44/12</f>
        <v>0</v>
      </c>
      <c r="BR22" s="21">
        <f>EXP(-LN(2)/2)*BR21+(1-EXP(-LN(2)/2))/(LN(2)/2)*BL22*BO22*VLOOKUP('Données projet'!$B$11,Paramètres!$A$1:$I$88,3,0)*0.475*44/12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4.75</v>
      </c>
      <c r="BY22" s="12">
        <f>IF('Données projet'!$A$114&gt;35,BY21+BX22-CG21,IF(A22&lt;'Données projet'!$A$114,$BV$205^A22,IF(A22='Données projet'!$A$114,'Données projet'!$B$114,BY21+BX22-CG21)))</f>
        <v>75.65496331618381</v>
      </c>
      <c r="BZ22" s="13">
        <f>BY22*VLOOKUP('Données projet'!$B$12,Paramètres!$A$1:$I$88,3,0)*VLOOKUP('Données projet'!$B$12,Paramètres!$A$1:$I$88,5,0)</f>
        <v>49.569131964763635</v>
      </c>
      <c r="CA22" s="13">
        <f t="shared" si="39"/>
        <v>14.502430127586846</v>
      </c>
      <c r="CB22" s="20">
        <f t="shared" si="10"/>
        <v>111.59130397751041</v>
      </c>
      <c r="CC22" s="59">
        <f t="shared" si="11"/>
        <v>391.48019286639925</v>
      </c>
      <c r="CD22" s="59">
        <f ca="1">AVERAGE(OFFSET($CC$3,0,0,'Données projet'!$E$12+1,1))-AVERAGE(OFFSET($H$3,0,0,'Données projet'!$E$12+1,1))</f>
        <v>180.90147430936133</v>
      </c>
      <c r="CE22" s="59">
        <f t="shared" si="40"/>
        <v>226.87949199830018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projet'!$B$12,Paramètres!$A$1:$I$88,7,0))</f>
        <v>0</v>
      </c>
      <c r="CI22" s="16">
        <f>IF(ISNA(VLOOKUP(A22,'Données projet'!$A$113:$I$133,6,0)),0%,VLOOKUP(A22,'Données projet'!$A$113:$I$133,6,0)*VLOOKUP('Données projet'!$B$12,Paramètres!$A$1:$I$88,7,0))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projet'!$B$12,Paramètres!$A$1:$I$88,3,0)*0.475*44/12</f>
        <v>0</v>
      </c>
      <c r="CL22" s="21">
        <f>EXP(-LN(2)/25)*CL21+(1-EXP(-LN(2)/25))/(LN(2)/25)*Calculateur!CG22*Calculateur!CI22*VLOOKUP('Données projet'!$B$12,Paramètres!$A$1:$I$88,3,0)*0.475*44/12</f>
        <v>0</v>
      </c>
      <c r="CM22" s="21">
        <f>EXP(-LN(2)/2)*CM21+(1-EXP(-LN(2)/2))/(LN(2)/2)*CG22*CJ22*VLOOKUP('Données projet'!$B$12,Paramètres!$A$1:$I$88,3,0)*0.475*44/12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17.399999999999999</v>
      </c>
      <c r="CT22" s="12">
        <f>IF('Données projet'!$A$140&gt;35,CT21+CS22-DB21,IF(A22&lt;'Données projet'!$A$140,$CQ$205^A22,IF(A22='Données projet'!$A$140,'Données projet'!$B$140,CT21+CS22-DB21)))</f>
        <v>241.60000000000002</v>
      </c>
      <c r="CU22" s="17">
        <f>CT22*VLOOKUP('Données projet'!$B$13,Paramètres!$A$1:$I$88,3,0)*VLOOKUP('Données projet'!$B$13,Paramètres!$A$1:$I$88,5,0)</f>
        <v>122.86809600000002</v>
      </c>
      <c r="CV22" s="13">
        <f t="shared" si="41"/>
        <v>32.343013251567896</v>
      </c>
      <c r="CW22" s="20">
        <f t="shared" si="13"/>
        <v>270.3260152798141</v>
      </c>
      <c r="CX22" s="59">
        <f t="shared" si="14"/>
        <v>550.21490416870301</v>
      </c>
      <c r="CY22" s="59">
        <f ca="1">AVERAGE(OFFSET($CX$3,0,0,'Données projet'!$E$13+1,1))-AVERAGE(OFFSET($H$3,0,0,'Données projet'!$E$13+1,1))</f>
        <v>133.08385802816008</v>
      </c>
      <c r="CZ22" s="59">
        <f t="shared" si="42"/>
        <v>316.59112511251385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projet'!$B$13,Paramètres!$A$1:$I$88,7,0))</f>
        <v>0</v>
      </c>
      <c r="DD22" s="16">
        <f>IF(ISNA(VLOOKUP(A22,'Données projet'!$A$139:$I$159,6,0)),0%,VLOOKUP(A22,'Données projet'!$A$139:$I$159,6,0)*VLOOKUP('Données projet'!$B$13,Paramètres!$A$1:$I$88,7,0))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projet'!$B$13,Paramètres!$A$1:$I$88,3,0)*0.475*44/12</f>
        <v>0</v>
      </c>
      <c r="DG22" s="21">
        <f>EXP(-LN(2)/25)*DG21+(1-EXP(-LN(2)/25))/(LN(2)/25)*Calculateur!DB22*Calculateur!DD22*VLOOKUP('Données projet'!$B$13,Paramètres!$A$1:$I$88,3,0)*0.475*44/12</f>
        <v>0</v>
      </c>
      <c r="DH22" s="21">
        <f>EXP(-LN(2)/2)*DH21+(1-EXP(-LN(2)/2))/(LN(2)/2)*DB22*DE22*VLOOKUP('Données projet'!$B$13,Paramètres!$A$1:$I$88,3,0)*0.475*44/12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projet'!$B$14,Paramètres!$A$1:$I$88,3,0)*VLOOKUP('Données projet'!$B$14,Paramètres!$A$1:$I$88,5,0)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projet'!$B$14,Paramètres!$A$1:$I$88,7,0))</f>
        <v>0</v>
      </c>
      <c r="DY22" s="16">
        <f>IF(ISNA(VLOOKUP(A22,'Données projet'!$A$165:$I$185,6,0)),0%,VLOOKUP(A22,'Données projet'!$A$165:$I$185,6,0)*VLOOKUP('Données projet'!$B$14,Paramètres!$A$1:$I$88,7,0))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projet'!$B$14,Paramètres!$A$1:$I$88,3,0)*0.475*44/12</f>
        <v>#N/A</v>
      </c>
      <c r="EB22" s="21" t="e">
        <f>EXP(-LN(2)/25)*EB21+(1-EXP(-LN(2)/25))/(LN(2)/25)*Calculateur!DW22*Calculateur!DY22*VLOOKUP('Données projet'!$B$14,Paramètres!$A$1:$I$88,3,0)*0.475*44/12</f>
        <v>#N/A</v>
      </c>
      <c r="EC22" s="21" t="e">
        <f>EXP(-LN(2)/2)*EC21+(1-EXP(-LN(2)/2))/(LN(2)/2)*DW22*DZ22*VLOOKUP('Données projet'!$B$14,Paramètres!$A$1:$I$88,3,0)*0.475*44/12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projet'!$B$15,Paramètres!$A$1:$I$88,3,0)*VLOOKUP('Données projet'!$B$15,Paramètres!$A$1:$I$88,5,0)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projet'!$B$15,Paramètres!$A$1:$I$88,7,0))</f>
        <v>0</v>
      </c>
      <c r="ET22" s="16">
        <f>IF(ISNA(VLOOKUP(A22,'Données projet'!$A$191:$I$211,6,0)),0%,VLOOKUP(A22,'Données projet'!$A$191:$I$211,6,0)*VLOOKUP('Données projet'!$B$15,Paramètres!$A$1:$I$88,7,0))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projet'!$B$15,Paramètres!$A$1:$I$88,3,0)*0.475*44/12</f>
        <v>#N/A</v>
      </c>
      <c r="EW22" s="21" t="e">
        <f>EXP(-LN(2)/25)*EW21+(1-EXP(-LN(2)/25))/(LN(2)/25)*Calculateur!ER22*Calculateur!ET22*VLOOKUP('Données projet'!$B$15,Paramètres!$A$1:$I$88,3,0)*0.475*44/12</f>
        <v>#N/A</v>
      </c>
      <c r="EX22" s="21" t="e">
        <f>EXP(-LN(2)/2)*EX21+(1-EXP(-LN(2)/2))/(LN(2)/2)*ER22*EU22*VLOOKUP('Données projet'!$B$15,Paramètres!$A$1:$I$88,3,0)*0.475*44/12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projet'!$B$16,Paramètres!$A$1:$I$88,3,0)*VLOOKUP('Données projet'!$B$16,Paramètres!$A$1:$I$88,5,0)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projet'!$B$16,Paramètres!$A$1:$I$88,7,0))</f>
        <v>0</v>
      </c>
      <c r="FO22" s="16">
        <f>IF(ISNA(VLOOKUP(A22,'Données projet'!$A$217:$I$237,6,0)),0%,VLOOKUP(A22,'Données projet'!$A$217:$I$237,6,0)*VLOOKUP('Données projet'!$B$16,Paramètres!$A$1:$I$88,7,0))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projet'!$B$16,Paramètres!$A$1:$I$88,3,0)*0.475*44/12</f>
        <v>#N/A</v>
      </c>
      <c r="FR22" s="21" t="e">
        <f>EXP(-LN(2)/25)*FR21+(1-EXP(-LN(2)/25))/(LN(2)/25)*Calculateur!FM22*Calculateur!FO22*VLOOKUP('Données projet'!$B$16,Paramètres!$A$1:$I$88,3,0)*0.475*44/12</f>
        <v>#N/A</v>
      </c>
      <c r="FS22" s="21" t="e">
        <f>EXP(-LN(2)/2)*FS21+(1-EXP(-LN(2)/2))/(LN(2)/2)*FM22*FP22*VLOOKUP('Données projet'!$B$16,Paramètres!$A$1:$I$88,3,0)*0.475*44/12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projet'!$B$17,Paramètres!$A$1:$I$88,3,0)*VLOOKUP('Données projet'!$B$17,Paramètres!$A$1:$I$88,5,0)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projet'!$B$17,Paramètres!$A$1:$I$88,7,0))</f>
        <v>0</v>
      </c>
      <c r="GJ22" s="16">
        <f>IF(ISNA(VLOOKUP(A22,'Données projet'!$A$243:$I$263,6,0)),0%,VLOOKUP(A22,'Données projet'!$A$243:$I$263,6,0)*VLOOKUP('Données projet'!$B$17,Paramètres!$A$1:$I$88,7,0))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projet'!$B$17,Paramètres!$A$1:$I$88,3,0)*0.475*44/12</f>
        <v>#N/A</v>
      </c>
      <c r="GM22" s="21" t="e">
        <f>EXP(-LN(2)/25)*GM21+(1-EXP(-LN(2)/25))/(LN(2)/25)*Calculateur!GH22*Calculateur!GJ22*VLOOKUP('Données projet'!$B$17,Paramètres!$A$1:$I$88,3,0)*0.475*44/12</f>
        <v>#N/A</v>
      </c>
      <c r="GN22" s="21" t="e">
        <f>EXP(-LN(2)/2)*GN21+(1-EXP(-LN(2)/2))/(LN(2)/2)*GH22*GK22*VLOOKUP('Données projet'!$B$17,Paramètres!$A$1:$I$88,3,0)*0.475*44/12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projet'!$B$18,Paramètres!$A$1:$I$88,3,0)*VLOOKUP('Données projet'!$B$18,Paramètres!$A$1:$I$88,5,0)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projet'!$B$18,Paramètres!$A$1:$I$88,7,0))</f>
        <v>0</v>
      </c>
      <c r="HE22" s="16">
        <f>IF(ISNA(VLOOKUP(A22,'Données projet'!$A$269:$I$289,6,0)),0%,VLOOKUP(A22,'Données projet'!$A$269:$I$289,6,0)*VLOOKUP('Données projet'!$B$18,Paramètres!$A$1:$I$88,7,0))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projet'!$B$18,Paramètres!$A$1:$I$88,3,0)*0.475*44/12</f>
        <v>#N/A</v>
      </c>
      <c r="HH22" s="21" t="e">
        <f>EXP(-LN(2)/25)*HH21+(1-EXP(-LN(2)/25))/(LN(2)/25)*Calculateur!HC22*Calculateur!HE22*VLOOKUP('Données projet'!$B$18,Paramètres!$A$1:$I$88,3,0)*0.475*44/12</f>
        <v>#N/A</v>
      </c>
      <c r="HI22" s="21" t="e">
        <f>EXP(-LN(2)/2)*HI21+(1-EXP(-LN(2)/2))/(LN(2)/2)*HC22*HF22*VLOOKUP('Données projet'!$B$18,Paramètres!$A$1:$I$88,3,0)*0.475*44/12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119</v>
      </c>
      <c r="L23" s="12">
        <f>VLOOKUP(A23,'Données projet'!$A$35:$I$55,9,0)</f>
        <v>13.25</v>
      </c>
      <c r="M23" s="12">
        <f t="array" ref="M23">INDEX(L:L,MIN(IF(ISNUMBER(L23:L219),ROW(L23:L219),"")))</f>
        <v>13.25</v>
      </c>
      <c r="N23" s="13">
        <f>IF('Données projet'!$A$36&gt;35,N22+M23-V22,IF(A23&lt;'Données projet'!$A$36,$K$205^A23,IF(A23='Données projet'!$A$36,'Données projet'!$B$36,N22+M23-V22)))</f>
        <v>119</v>
      </c>
      <c r="O23" s="13">
        <f>N23*VLOOKUP('Données projet'!$B$9,Paramètres!$A$1:$I$88,3,0)*VLOOKUP('Données projet'!$B$9,Paramètres!$A$1:$I$88,5,0)</f>
        <v>71.162000000000006</v>
      </c>
      <c r="P23" s="13">
        <f t="shared" si="33"/>
        <v>19.961746043676346</v>
      </c>
      <c r="Q23" s="20">
        <f t="shared" si="2"/>
        <v>158.70719102606964</v>
      </c>
      <c r="R23" s="59">
        <f t="shared" si="0"/>
        <v>439.81830213718081</v>
      </c>
      <c r="S23" s="59">
        <f ca="1">AVERAGE(OFFSET($R$3,0,0,'Données projet'!$E$9+1,1))-AVERAGE(OFFSET($H$3,0,0,'Données projet'!$E$9+1,1))</f>
        <v>195.73441209602686</v>
      </c>
      <c r="T23" s="59">
        <f t="shared" si="34"/>
        <v>219.19129224309006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22</v>
      </c>
      <c r="W23" s="16">
        <f>IF(ISNA(VLOOKUP(A23,'Données projet'!$A$35:$I$55,5,0)),0%,VLOOKUP(A23,'Données projet'!$A$35:$I$55,5,0)*VLOOKUP('Données projet'!$B$9,Paramètres!$A$1:$I$88,7,0))</f>
        <v>0.13500000000000001</v>
      </c>
      <c r="X23" s="16">
        <f>IF(ISNA(VLOOKUP(A23,'Données projet'!$A$35:$I$55,6,0)),0%,VLOOKUP(A23,'Données projet'!$A$35:$I$55,6,0)*VLOOKUP('Données projet'!$B$9,Paramètres!$A$1:$I$88,7,0))</f>
        <v>0.315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projet'!$B$9,Paramètres!$A$1:$I$88,3,0)*0.475*44/12</f>
        <v>2.3560580667279498</v>
      </c>
      <c r="AA23" s="21">
        <f>EXP(-LN(2)/25)*AA22+(1-EXP(-LN(2)/25))/(LN(2)/25)*Calculateur!V23*Calculateur!X23*VLOOKUP('Données projet'!$B$9,Paramètres!$A$1:$I$88,3,0)*0.475*44/12</f>
        <v>7.8626733755212266</v>
      </c>
      <c r="AB23" s="21">
        <f>EXP(-LN(2)/2)*AB22+(1-EXP(-LN(2)/2))/(LN(2)/2)*V23*Y23*VLOOKUP('Données projet'!$B$9,Paramètres!$A$1:$I$88,3,0)*0.475*44/12</f>
        <v>1.2695154636015502</v>
      </c>
      <c r="AC23" s="22">
        <f t="shared" si="3"/>
        <v>11.488246905850726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91</v>
      </c>
      <c r="AG23" s="12">
        <f>VLOOKUP(A23,'Données projet'!$A$61:$I$81,9,0)</f>
        <v>4.55</v>
      </c>
      <c r="AH23" s="12">
        <f t="array" ref="AH23">INDEX(AG:AG,MIN(IF(ISNUMBER(AG23:AG219),ROW(AG23:AG219),"")))</f>
        <v>4.55</v>
      </c>
      <c r="AI23" s="13">
        <f>IF('Données projet'!$A$62&gt;35,AI22+AH23-AQ22,IF(A23&lt;'Données projet'!$A$62,$AF$205^A23,IF(A23='Données projet'!$A$62,'Données projet'!$B$62,AI22+AH23-AQ22)))</f>
        <v>91</v>
      </c>
      <c r="AJ23" s="13">
        <f>AI23*VLOOKUP('Données projet'!$B$10,Paramètres!$A$1:$I$88,3,0)*VLOOKUP('Données projet'!$B$10,Paramètres!$A$1:$I$88,5,0)</f>
        <v>54.417999999999999</v>
      </c>
      <c r="AK23" s="13">
        <f t="shared" si="35"/>
        <v>15.749044324804036</v>
      </c>
      <c r="AL23" s="20">
        <f t="shared" si="4"/>
        <v>122.20760219903367</v>
      </c>
      <c r="AM23" s="59">
        <f t="shared" si="5"/>
        <v>403.3187133101448</v>
      </c>
      <c r="AN23" s="59">
        <f ca="1">AVERAGE(OFFSET($AM$3,0,0,'Données projet'!$E$10+1,1))-AVERAGE(OFFSET($H$3,0,0,'Données projet'!$E$10+1,1))</f>
        <v>246.59447135626942</v>
      </c>
      <c r="AO23" s="59">
        <f t="shared" si="36"/>
        <v>262.00382544285367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</v>
      </c>
      <c r="AR23" s="16">
        <f>IF(ISNA(VLOOKUP(A23,'Données projet'!$A$61:$I$81,5,0)),0%,VLOOKUP(A23,'Données projet'!$A$61:$I$81,5,0)*VLOOKUP('Données projet'!$B$10,Paramètres!$A$1:$I$88,7,0))</f>
        <v>0</v>
      </c>
      <c r="AS23" s="16">
        <f>IF(ISNA(VLOOKUP(A23,'Données projet'!$A$61:$I$81,6,0)),0%,VLOOKUP(A23,'Données projet'!$A$61:$I$81,6,0)*VLOOKUP('Données projet'!$B$10,Paramètres!$A$1:$I$88,7,0))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projet'!$B$10,Paramètres!$A$1:$I$88,3,0)*0.475*44/12</f>
        <v>0</v>
      </c>
      <c r="AV23" s="21">
        <f>EXP(-LN(2)/25)*AV22+(1-EXP(-LN(2)/25))/(LN(2)/25)*Calculateur!AQ23*Calculateur!AS23*VLOOKUP('Données projet'!$B$10,Paramètres!$A$1:$I$88,3,0)*0.475*44/12</f>
        <v>0.53335940190698583</v>
      </c>
      <c r="AW23" s="21">
        <f>EXP(-LN(2)/2)*AW22+(1-EXP(-LN(2)/2))/(LN(2)/2)*AQ23*AT23*VLOOKUP('Données projet'!$B$10,Paramètres!$A$1:$I$88,3,0)*0.475*44/12</f>
        <v>1.0156123708812399</v>
      </c>
      <c r="AX23" s="21">
        <f t="shared" si="6"/>
        <v>1.5489717727882257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162</v>
      </c>
      <c r="BB23" s="12">
        <f>VLOOKUP(A23,'Données projet'!$A$87:$I$107,9,0)</f>
        <v>15</v>
      </c>
      <c r="BC23" s="12">
        <f t="array" ref="BC23">INDEX(BB:BB,MIN(IF(ISNUMBER(BB23:BB219),ROW(BB23:BB219),"")))</f>
        <v>15</v>
      </c>
      <c r="BD23" s="12">
        <f>IF('Données projet'!$A$88&gt;35,BD22+BC23-BL22,IF(A23&lt;'Données projet'!$A$88,$BA$205^A23,IF(A23='Données projet'!$A$88,'Données projet'!$B$88,BD22+BC23-BL22)))</f>
        <v>162</v>
      </c>
      <c r="BE23" s="13">
        <f>BD23*VLOOKUP('Données projet'!$B$11,Paramètres!$A$1:$I$88,3,0)*VLOOKUP('Données projet'!$B$11,Paramètres!$A$1:$I$88,5,0)</f>
        <v>90.557999999999993</v>
      </c>
      <c r="BF23" s="13">
        <f t="shared" si="37"/>
        <v>24.699752708509138</v>
      </c>
      <c r="BG23" s="20">
        <f t="shared" si="7"/>
        <v>200.74058596732007</v>
      </c>
      <c r="BH23" s="59">
        <f t="shared" si="8"/>
        <v>481.85169707843124</v>
      </c>
      <c r="BI23" s="59">
        <f ca="1">AVERAGE(OFFSET($BH$3,0,0,'Données projet'!$E$11+1,1))-AVERAGE(OFFSET($H$3,0,0,'Données projet'!$E$11+1,1))</f>
        <v>355.96253323046608</v>
      </c>
      <c r="BJ23" s="59">
        <f t="shared" si="38"/>
        <v>366.8380442809696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63</v>
      </c>
      <c r="BM23" s="16">
        <f>IF(ISNA(VLOOKUP(A23,'Données projet'!$A$87:$I$107,5,0)),0%,VLOOKUP(A23,'Données projet'!$A$87:$I$107,5,0)*VLOOKUP('Données projet'!$B$11,Paramètres!$A$1:$I$88,7,0))</f>
        <v>0</v>
      </c>
      <c r="BN23" s="16">
        <f>IF(ISNA(VLOOKUP(A23,'Données projet'!$A$87:$I$107,6,0)),0%,VLOOKUP(A23,'Données projet'!$A$87:$I$107,6,0)*VLOOKUP('Données projet'!$B$11,Paramètres!$A$1:$I$88,7,0))</f>
        <v>0</v>
      </c>
      <c r="BO23" s="16">
        <f>IF(ISNA(VLOOKUP(A23,'Données projet'!$A$87:$I$107,7,0)),0%,VLOOKUP(A23,'Données projet'!$A$87:$I$107,7,0))</f>
        <v>1</v>
      </c>
      <c r="BP23" s="21">
        <f>EXP(-LN(2)/35)*BP22+(1-EXP(-LN(2)/35))/(LN(2)/35)*BL23*BM23*VLOOKUP('Données projet'!$B$11,Paramètres!$A$1:$I$88,3,0)*0.475*44/12</f>
        <v>0</v>
      </c>
      <c r="BQ23" s="21">
        <f>EXP(-LN(2)/25)*BQ22+(1-EXP(-LN(2)/25))/(LN(2)/25)*Calculateur!BL23*Calculateur!BN23*VLOOKUP('Données projet'!$B$11,Paramètres!$A$1:$I$88,3,0)*0.475*44/12</f>
        <v>0</v>
      </c>
      <c r="BR23" s="21">
        <f>EXP(-LN(2)/2)*BR22+(1-EXP(-LN(2)/2))/(LN(2)/2)*BL23*BO23*VLOOKUP('Données projet'!$B$11,Paramètres!$A$1:$I$88,3,0)*0.475*44/12</f>
        <v>39.873824821989551</v>
      </c>
      <c r="BS23" s="22">
        <f t="shared" si="9"/>
        <v>39.873824821989551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95</v>
      </c>
      <c r="BW23" s="12">
        <f>VLOOKUP(A23,'Données projet'!$A$113:$I$133,9,0)</f>
        <v>4.75</v>
      </c>
      <c r="BX23" s="12">
        <f t="array" ref="BX23">INDEX(BW:BW,MIN(IF(ISNUMBER(BW23:BW219),ROW(BW23:BW219),"")))</f>
        <v>4.75</v>
      </c>
      <c r="BY23" s="12">
        <f>IF('Données projet'!$A$114&gt;35,BY22+BX23-CG22,IF(A23&lt;'Données projet'!$A$114,$BV$205^A23,IF(A23='Données projet'!$A$114,'Données projet'!$B$114,BY22+BX23-CG22)))</f>
        <v>95</v>
      </c>
      <c r="BZ23" s="13">
        <f>BY23*VLOOKUP('Données projet'!$B$12,Paramètres!$A$1:$I$88,3,0)*VLOOKUP('Données projet'!$B$12,Paramètres!$A$1:$I$88,5,0)</f>
        <v>62.244</v>
      </c>
      <c r="CA23" s="13">
        <f t="shared" si="39"/>
        <v>17.734404526076432</v>
      </c>
      <c r="CB23" s="20">
        <f t="shared" si="10"/>
        <v>139.29572121624977</v>
      </c>
      <c r="CC23" s="59">
        <f t="shared" si="11"/>
        <v>420.40683232736092</v>
      </c>
      <c r="CD23" s="59">
        <f ca="1">AVERAGE(OFFSET($CC$3,0,0,'Données projet'!$E$12+1,1))-AVERAGE(OFFSET($H$3,0,0,'Données projet'!$E$12+1,1))</f>
        <v>180.90147430936133</v>
      </c>
      <c r="CE23" s="59">
        <f t="shared" si="40"/>
        <v>226.87949199830018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43</v>
      </c>
      <c r="CH23" s="16">
        <f>IF(ISNA(VLOOKUP(A23,'Données projet'!$A$113:$I$133,5,0)),0%,VLOOKUP(A23,'Données projet'!$A$113:$I$133,5,0)*VLOOKUP('Données projet'!$B$12,Paramètres!$A$1:$I$88,7,0))</f>
        <v>0</v>
      </c>
      <c r="CI23" s="16">
        <f>IF(ISNA(VLOOKUP(A23,'Données projet'!$A$113:$I$133,6,0)),0%,VLOOKUP(A23,'Données projet'!$A$113:$I$133,6,0)*VLOOKUP('Données projet'!$B$12,Paramètres!$A$1:$I$88,7,0))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projet'!$B$12,Paramètres!$A$1:$I$88,3,0)*0.475*44/12</f>
        <v>0</v>
      </c>
      <c r="CL23" s="21">
        <f>EXP(-LN(2)/25)*CL22+(1-EXP(-LN(2)/25))/(LN(2)/25)*Calculateur!CG23*Calculateur!CI23*VLOOKUP('Données projet'!$B$12,Paramètres!$A$1:$I$88,3,0)*0.475*44/12</f>
        <v>3.3349134004261436</v>
      </c>
      <c r="CM23" s="21">
        <f>EXP(-LN(2)/2)*CM22+(1-EXP(-LN(2)/2))/(LN(2)/2)*CG23*CJ23*VLOOKUP('Données projet'!$B$12,Paramètres!$A$1:$I$88,3,0)*0.475*44/12</f>
        <v>6.6456374703315904</v>
      </c>
      <c r="CN23" s="22">
        <f t="shared" si="12"/>
        <v>9.9805508707577335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259</v>
      </c>
      <c r="CR23" s="12">
        <f>VLOOKUP(A23,'Données projet'!$A$139:$I$159,9,0)</f>
        <v>17.399999999999999</v>
      </c>
      <c r="CS23" s="12">
        <f t="array" ref="CS23">INDEX(CR:CR,MIN(IF(ISNUMBER(CR23:CR219),ROW(CR23:CR219),"")))</f>
        <v>17.399999999999999</v>
      </c>
      <c r="CT23" s="12">
        <f>IF('Données projet'!$A$140&gt;35,CT22+CS23-DB22,IF(A23&lt;'Données projet'!$A$140,$CQ$205^A23,IF(A23='Données projet'!$A$140,'Données projet'!$B$140,CT22+CS23-DB22)))</f>
        <v>259</v>
      </c>
      <c r="CU23" s="17">
        <f>CT23*VLOOKUP('Données projet'!$B$13,Paramètres!$A$1:$I$88,3,0)*VLOOKUP('Données projet'!$B$13,Paramètres!$A$1:$I$88,5,0)</f>
        <v>131.71704</v>
      </c>
      <c r="CV23" s="13">
        <f t="shared" si="41"/>
        <v>34.392813361754953</v>
      </c>
      <c r="CW23" s="20">
        <f t="shared" si="13"/>
        <v>289.30799460505648</v>
      </c>
      <c r="CX23" s="59">
        <f t="shared" si="14"/>
        <v>570.41910571616768</v>
      </c>
      <c r="CY23" s="59">
        <f ca="1">AVERAGE(OFFSET($CX$3,0,0,'Données projet'!$E$13+1,1))-AVERAGE(OFFSET($H$3,0,0,'Données projet'!$E$13+1,1))</f>
        <v>133.08385802816008</v>
      </c>
      <c r="CZ23" s="59">
        <f t="shared" si="42"/>
        <v>316.59112511251385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projet'!$B$13,Paramètres!$A$1:$I$88,7,0))</f>
        <v>0</v>
      </c>
      <c r="DD23" s="16">
        <f>IF(ISNA(VLOOKUP(A23,'Données projet'!$A$139:$I$159,6,0)),0%,VLOOKUP(A23,'Données projet'!$A$139:$I$159,6,0)*VLOOKUP('Données projet'!$B$13,Paramètres!$A$1:$I$88,7,0))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projet'!$B$13,Paramètres!$A$1:$I$88,3,0)*0.475*44/12</f>
        <v>0</v>
      </c>
      <c r="DG23" s="21">
        <f>EXP(-LN(2)/25)*DG22+(1-EXP(-LN(2)/25))/(LN(2)/25)*Calculateur!DB23*Calculateur!DD23*VLOOKUP('Données projet'!$B$13,Paramètres!$A$1:$I$88,3,0)*0.475*44/12</f>
        <v>0</v>
      </c>
      <c r="DH23" s="21">
        <f>EXP(-LN(2)/2)*DH22+(1-EXP(-LN(2)/2))/(LN(2)/2)*DB23*DE23*VLOOKUP('Données projet'!$B$13,Paramètres!$A$1:$I$88,3,0)*0.475*44/12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projet'!$B$14,Paramètres!$A$1:$I$88,3,0)*VLOOKUP('Données projet'!$B$14,Paramètres!$A$1:$I$88,5,0)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projet'!$B$14,Paramètres!$A$1:$I$88,7,0))</f>
        <v>0</v>
      </c>
      <c r="DY23" s="16">
        <f>IF(ISNA(VLOOKUP(A23,'Données projet'!$A$165:$I$185,6,0)),0%,VLOOKUP(A23,'Données projet'!$A$165:$I$185,6,0)*VLOOKUP('Données projet'!$B$14,Paramètres!$A$1:$I$88,7,0))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projet'!$B$14,Paramètres!$A$1:$I$88,3,0)*0.475*44/12</f>
        <v>#N/A</v>
      </c>
      <c r="EB23" s="21" t="e">
        <f>EXP(-LN(2)/25)*EB22+(1-EXP(-LN(2)/25))/(LN(2)/25)*Calculateur!DW23*Calculateur!DY23*VLOOKUP('Données projet'!$B$14,Paramètres!$A$1:$I$88,3,0)*0.475*44/12</f>
        <v>#N/A</v>
      </c>
      <c r="EC23" s="21" t="e">
        <f>EXP(-LN(2)/2)*EC22+(1-EXP(-LN(2)/2))/(LN(2)/2)*DW23*DZ23*VLOOKUP('Données projet'!$B$14,Paramètres!$A$1:$I$88,3,0)*0.475*44/12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projet'!$B$15,Paramètres!$A$1:$I$88,3,0)*VLOOKUP('Données projet'!$B$15,Paramètres!$A$1:$I$88,5,0)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projet'!$B$15,Paramètres!$A$1:$I$88,7,0))</f>
        <v>0</v>
      </c>
      <c r="ET23" s="16">
        <f>IF(ISNA(VLOOKUP(A23,'Données projet'!$A$191:$I$211,6,0)),0%,VLOOKUP(A23,'Données projet'!$A$191:$I$211,6,0)*VLOOKUP('Données projet'!$B$15,Paramètres!$A$1:$I$88,7,0))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projet'!$B$15,Paramètres!$A$1:$I$88,3,0)*0.475*44/12</f>
        <v>#N/A</v>
      </c>
      <c r="EW23" s="21" t="e">
        <f>EXP(-LN(2)/25)*EW22+(1-EXP(-LN(2)/25))/(LN(2)/25)*Calculateur!ER23*Calculateur!ET23*VLOOKUP('Données projet'!$B$15,Paramètres!$A$1:$I$88,3,0)*0.475*44/12</f>
        <v>#N/A</v>
      </c>
      <c r="EX23" s="21" t="e">
        <f>EXP(-LN(2)/2)*EX22+(1-EXP(-LN(2)/2))/(LN(2)/2)*ER23*EU23*VLOOKUP('Données projet'!$B$15,Paramètres!$A$1:$I$88,3,0)*0.475*44/12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projet'!$B$16,Paramètres!$A$1:$I$88,3,0)*VLOOKUP('Données projet'!$B$16,Paramètres!$A$1:$I$88,5,0)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projet'!$B$16,Paramètres!$A$1:$I$88,7,0))</f>
        <v>0</v>
      </c>
      <c r="FO23" s="16">
        <f>IF(ISNA(VLOOKUP(A23,'Données projet'!$A$217:$I$237,6,0)),0%,VLOOKUP(A23,'Données projet'!$A$217:$I$237,6,0)*VLOOKUP('Données projet'!$B$16,Paramètres!$A$1:$I$88,7,0))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projet'!$B$16,Paramètres!$A$1:$I$88,3,0)*0.475*44/12</f>
        <v>#N/A</v>
      </c>
      <c r="FR23" s="21" t="e">
        <f>EXP(-LN(2)/25)*FR22+(1-EXP(-LN(2)/25))/(LN(2)/25)*Calculateur!FM23*Calculateur!FO23*VLOOKUP('Données projet'!$B$16,Paramètres!$A$1:$I$88,3,0)*0.475*44/12</f>
        <v>#N/A</v>
      </c>
      <c r="FS23" s="21" t="e">
        <f>EXP(-LN(2)/2)*FS22+(1-EXP(-LN(2)/2))/(LN(2)/2)*FM23*FP23*VLOOKUP('Données projet'!$B$16,Paramètres!$A$1:$I$88,3,0)*0.475*44/12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projet'!$B$17,Paramètres!$A$1:$I$88,3,0)*VLOOKUP('Données projet'!$B$17,Paramètres!$A$1:$I$88,5,0)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projet'!$B$17,Paramètres!$A$1:$I$88,7,0))</f>
        <v>0</v>
      </c>
      <c r="GJ23" s="16">
        <f>IF(ISNA(VLOOKUP(A23,'Données projet'!$A$243:$I$263,6,0)),0%,VLOOKUP(A23,'Données projet'!$A$243:$I$263,6,0)*VLOOKUP('Données projet'!$B$17,Paramètres!$A$1:$I$88,7,0))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projet'!$B$17,Paramètres!$A$1:$I$88,3,0)*0.475*44/12</f>
        <v>#N/A</v>
      </c>
      <c r="GM23" s="21" t="e">
        <f>EXP(-LN(2)/25)*GM22+(1-EXP(-LN(2)/25))/(LN(2)/25)*Calculateur!GH23*Calculateur!GJ23*VLOOKUP('Données projet'!$B$17,Paramètres!$A$1:$I$88,3,0)*0.475*44/12</f>
        <v>#N/A</v>
      </c>
      <c r="GN23" s="21" t="e">
        <f>EXP(-LN(2)/2)*GN22+(1-EXP(-LN(2)/2))/(LN(2)/2)*GH23*GK23*VLOOKUP('Données projet'!$B$17,Paramètres!$A$1:$I$88,3,0)*0.475*44/12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projet'!$B$18,Paramètres!$A$1:$I$88,3,0)*VLOOKUP('Données projet'!$B$18,Paramètres!$A$1:$I$88,5,0)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projet'!$B$18,Paramètres!$A$1:$I$88,7,0))</f>
        <v>0</v>
      </c>
      <c r="HE23" s="16">
        <f>IF(ISNA(VLOOKUP(A23,'Données projet'!$A$269:$I$289,6,0)),0%,VLOOKUP(A23,'Données projet'!$A$269:$I$289,6,0)*VLOOKUP('Données projet'!$B$18,Paramètres!$A$1:$I$88,7,0))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projet'!$B$18,Paramètres!$A$1:$I$88,3,0)*0.475*44/12</f>
        <v>#N/A</v>
      </c>
      <c r="HH23" s="21" t="e">
        <f>EXP(-LN(2)/25)*HH22+(1-EXP(-LN(2)/25))/(LN(2)/25)*Calculateur!HC23*Calculateur!HE23*VLOOKUP('Données projet'!$B$18,Paramètres!$A$1:$I$88,3,0)*0.475*44/12</f>
        <v>#N/A</v>
      </c>
      <c r="HI23" s="21" t="e">
        <f>EXP(-LN(2)/2)*HI22+(1-EXP(-LN(2)/2))/(LN(2)/2)*HC23*HF23*VLOOKUP('Données projet'!$B$18,Paramètres!$A$1:$I$88,3,0)*0.475*44/12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</v>
      </c>
      <c r="N24" s="13">
        <f>IF('Données projet'!$A$36&gt;35,N23+M24-V23,IF(A24&lt;'Données projet'!$A$36,$K$205^A24,IF(A24='Données projet'!$A$36,'Données projet'!$B$36,N23+M24-V23)))</f>
        <v>112</v>
      </c>
      <c r="O24" s="13">
        <f>N24*VLOOKUP('Données projet'!$B$9,Paramètres!$A$1:$I$88,3,0)*VLOOKUP('Données projet'!$B$9,Paramètres!$A$1:$I$88,5,0)</f>
        <v>66.976000000000013</v>
      </c>
      <c r="P24" s="13">
        <f t="shared" si="33"/>
        <v>18.920572617446965</v>
      </c>
      <c r="Q24" s="20">
        <f t="shared" si="2"/>
        <v>149.60319730872013</v>
      </c>
      <c r="R24" s="59">
        <f t="shared" si="0"/>
        <v>431.93653064205341</v>
      </c>
      <c r="S24" s="59">
        <f ca="1">AVERAGE(OFFSET($R$3,0,0,'Données projet'!$E$9+1,1))-AVERAGE(OFFSET($H$3,0,0,'Données projet'!$E$9+1,1))</f>
        <v>195.73441209602686</v>
      </c>
      <c r="T24" s="59">
        <f t="shared" si="34"/>
        <v>219.19129224309006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projet'!$B$9,Paramètres!$A$1:$I$88,7,0))</f>
        <v>0</v>
      </c>
      <c r="X24" s="16">
        <f>IF(ISNA(VLOOKUP(A24,'Données projet'!$A$35:$I$55,6,0)),0%,VLOOKUP(A24,'Données projet'!$A$35:$I$55,6,0)*VLOOKUP('Données projet'!$B$9,Paramètres!$A$1:$I$88,7,0))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projet'!$B$9,Paramètres!$A$1:$I$88,3,0)*0.475*44/12</f>
        <v>2.3098572050929382</v>
      </c>
      <c r="AA24" s="21">
        <f>EXP(-LN(2)/25)*AA23+(1-EXP(-LN(2)/25))/(LN(2)/25)*Calculateur!V24*Calculateur!X24*VLOOKUP('Données projet'!$B$9,Paramètres!$A$1:$I$88,3,0)*0.475*44/12</f>
        <v>7.6476681585875763</v>
      </c>
      <c r="AB24" s="21">
        <f>EXP(-LN(2)/2)*AB23+(1-EXP(-LN(2)/2))/(LN(2)/2)*V24*Y24*VLOOKUP('Données projet'!$B$9,Paramètres!$A$1:$I$88,3,0)*0.475*44/12</f>
        <v>0.89768299313383981</v>
      </c>
      <c r="AC24" s="22">
        <f t="shared" si="3"/>
        <v>10.855208356814353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</v>
      </c>
      <c r="AI24" s="13">
        <f>IF('Données projet'!$A$62&gt;35,AI23+AH24-AQ23,IF(A24&lt;'Données projet'!$A$62,$AF$205^A24,IF(A24='Données projet'!$A$62,'Données projet'!$B$62,AI23+AH24-AQ23)))</f>
        <v>101</v>
      </c>
      <c r="AJ24" s="13">
        <f>AI24*VLOOKUP('Données projet'!$B$10,Paramètres!$A$1:$I$88,3,0)*VLOOKUP('Données projet'!$B$10,Paramètres!$A$1:$I$88,5,0)</f>
        <v>60.398000000000003</v>
      </c>
      <c r="AK24" s="13">
        <f t="shared" si="35"/>
        <v>17.26885714728807</v>
      </c>
      <c r="AL24" s="20">
        <f t="shared" si="4"/>
        <v>135.26977619819337</v>
      </c>
      <c r="AM24" s="59">
        <f t="shared" si="5"/>
        <v>417.60310953152668</v>
      </c>
      <c r="AN24" s="59">
        <f ca="1">AVERAGE(OFFSET($AM$3,0,0,'Données projet'!$E$10+1,1))-AVERAGE(OFFSET($H$3,0,0,'Données projet'!$E$10+1,1))</f>
        <v>246.59447135626942</v>
      </c>
      <c r="AO24" s="59">
        <f t="shared" si="36"/>
        <v>262.00382544285367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projet'!$B$10,Paramètres!$A$1:$I$88,7,0))</f>
        <v>0</v>
      </c>
      <c r="AS24" s="16">
        <f>IF(ISNA(VLOOKUP(A24,'Données projet'!$A$61:$I$81,6,0)),0%,VLOOKUP(A24,'Données projet'!$A$61:$I$81,6,0)*VLOOKUP('Données projet'!$B$10,Paramètres!$A$1:$I$88,7,0))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projet'!$B$10,Paramètres!$A$1:$I$88,3,0)*0.475*44/12</f>
        <v>0</v>
      </c>
      <c r="AV24" s="21">
        <f>EXP(-LN(2)/25)*AV23+(1-EXP(-LN(2)/25))/(LN(2)/25)*Calculateur!AQ24*Calculateur!AS24*VLOOKUP('Données projet'!$B$10,Paramètres!$A$1:$I$88,3,0)*0.475*44/12</f>
        <v>0.51877466101368741</v>
      </c>
      <c r="AW24" s="21">
        <f>EXP(-LN(2)/2)*AW23+(1-EXP(-LN(2)/2))/(LN(2)/2)*AQ24*AT24*VLOOKUP('Données projet'!$B$10,Paramètres!$A$1:$I$88,3,0)*0.475*44/12</f>
        <v>0.71814639450707174</v>
      </c>
      <c r="AX24" s="21">
        <f t="shared" si="6"/>
        <v>1.2369210555207593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22.2</v>
      </c>
      <c r="BD24" s="12">
        <f>IF('Données projet'!$A$88&gt;35,BD23+BC24-BL23,IF(A24&lt;'Données projet'!$A$88,$BA$205^A24,IF(A24='Données projet'!$A$88,'Données projet'!$B$88,BD23+BC24-BL23)))</f>
        <v>121.19999999999999</v>
      </c>
      <c r="BE24" s="13">
        <f>BD24*VLOOKUP('Données projet'!$B$11,Paramètres!$A$1:$I$88,3,0)*VLOOKUP('Données projet'!$B$11,Paramètres!$A$1:$I$88,5,0)</f>
        <v>67.750799999999998</v>
      </c>
      <c r="BF24" s="13">
        <f t="shared" si="37"/>
        <v>19.113844706860473</v>
      </c>
      <c r="BG24" s="20">
        <f t="shared" si="7"/>
        <v>151.28925619778201</v>
      </c>
      <c r="BH24" s="59">
        <f t="shared" si="8"/>
        <v>433.6225895311153</v>
      </c>
      <c r="BI24" s="59">
        <f ca="1">AVERAGE(OFFSET($BH$3,0,0,'Données projet'!$E$11+1,1))-AVERAGE(OFFSET($H$3,0,0,'Données projet'!$E$11+1,1))</f>
        <v>355.96253323046608</v>
      </c>
      <c r="BJ24" s="59">
        <f t="shared" si="38"/>
        <v>366.8380442809696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projet'!$B$11,Paramètres!$A$1:$I$88,7,0))</f>
        <v>0</v>
      </c>
      <c r="BN24" s="16">
        <f>IF(ISNA(VLOOKUP(A24,'Données projet'!$A$87:$I$107,6,0)),0%,VLOOKUP(A24,'Données projet'!$A$87:$I$107,6,0)*VLOOKUP('Données projet'!$B$11,Paramètres!$A$1:$I$88,7,0))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projet'!$B$11,Paramètres!$A$1:$I$88,3,0)*0.475*44/12</f>
        <v>0</v>
      </c>
      <c r="BQ24" s="21">
        <f>EXP(-LN(2)/25)*BQ23+(1-EXP(-LN(2)/25))/(LN(2)/25)*Calculateur!BL24*Calculateur!BN24*VLOOKUP('Données projet'!$B$11,Paramètres!$A$1:$I$88,3,0)*0.475*44/12</f>
        <v>0</v>
      </c>
      <c r="BR24" s="21">
        <f>EXP(-LN(2)/2)*BR23+(1-EXP(-LN(2)/2))/(LN(2)/2)*BL24*BO24*VLOOKUP('Données projet'!$B$11,Paramètres!$A$1:$I$88,3,0)*0.475*44/12</f>
        <v>28.195051923473294</v>
      </c>
      <c r="BS24" s="22">
        <f t="shared" si="9"/>
        <v>28.195051923473294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12.2</v>
      </c>
      <c r="BY24" s="12">
        <f>IF('Données projet'!$A$114&gt;35,BY23+BX24-CG23,IF(A24&lt;'Données projet'!$A$114,$BV$205^A24,IF(A24='Données projet'!$A$114,'Données projet'!$B$114,BY23+BX24-CG23)))</f>
        <v>64.2</v>
      </c>
      <c r="BZ24" s="13">
        <f>BY24*VLOOKUP('Données projet'!$B$12,Paramètres!$A$1:$I$88,3,0)*VLOOKUP('Données projet'!$B$12,Paramètres!$A$1:$I$88,5,0)</f>
        <v>42.063839999999999</v>
      </c>
      <c r="CA24" s="13">
        <f t="shared" si="39"/>
        <v>12.544055989084532</v>
      </c>
      <c r="CB24" s="20">
        <f t="shared" si="10"/>
        <v>95.108752180988873</v>
      </c>
      <c r="CC24" s="59">
        <f t="shared" si="11"/>
        <v>377.44208551432217</v>
      </c>
      <c r="CD24" s="59">
        <f ca="1">AVERAGE(OFFSET($CC$3,0,0,'Données projet'!$E$12+1,1))-AVERAGE(OFFSET($H$3,0,0,'Données projet'!$E$12+1,1))</f>
        <v>180.90147430936133</v>
      </c>
      <c r="CE24" s="59">
        <f t="shared" si="40"/>
        <v>226.87949199830018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projet'!$B$12,Paramètres!$A$1:$I$88,7,0))</f>
        <v>0</v>
      </c>
      <c r="CI24" s="16">
        <f>IF(ISNA(VLOOKUP(A24,'Données projet'!$A$113:$I$133,6,0)),0%,VLOOKUP(A24,'Données projet'!$A$113:$I$133,6,0)*VLOOKUP('Données projet'!$B$12,Paramètres!$A$1:$I$88,7,0))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projet'!$B$12,Paramètres!$A$1:$I$88,3,0)*0.475*44/12</f>
        <v>0</v>
      </c>
      <c r="CL24" s="21">
        <f>EXP(-LN(2)/25)*CL23+(1-EXP(-LN(2)/25))/(LN(2)/25)*Calculateur!CG24*Calculateur!CI24*VLOOKUP('Données projet'!$B$12,Paramètres!$A$1:$I$88,3,0)*0.475*44/12</f>
        <v>3.2437200181160168</v>
      </c>
      <c r="CM24" s="21">
        <f>EXP(-LN(2)/2)*CM23+(1-EXP(-LN(2)/2))/(LN(2)/2)*CG24*CJ24*VLOOKUP('Données projet'!$B$12,Paramètres!$A$1:$I$88,3,0)*0.475*44/12</f>
        <v>4.6991753205788811</v>
      </c>
      <c r="CN24" s="22">
        <f t="shared" si="12"/>
        <v>7.9428953386948979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8.8000000000000007</v>
      </c>
      <c r="CT24" s="12">
        <f>IF('Données projet'!$A$140&gt;35,CT23+CS24-DB23,IF(A24&lt;'Données projet'!$A$140,$CQ$205^A24,IF(A24='Données projet'!$A$140,'Données projet'!$B$140,CT23+CS24-DB23)))</f>
        <v>267.8</v>
      </c>
      <c r="CU24" s="17">
        <f>CT24*VLOOKUP('Données projet'!$B$13,Paramètres!$A$1:$I$88,3,0)*VLOOKUP('Données projet'!$B$13,Paramètres!$A$1:$I$88,5,0)</f>
        <v>136.19236800000002</v>
      </c>
      <c r="CV24" s="13">
        <f t="shared" si="41"/>
        <v>35.423335580698598</v>
      </c>
      <c r="CW24" s="20">
        <f t="shared" si="13"/>
        <v>298.8973504030501</v>
      </c>
      <c r="CX24" s="59">
        <f t="shared" si="14"/>
        <v>581.23068373638341</v>
      </c>
      <c r="CY24" s="59">
        <f ca="1">AVERAGE(OFFSET($CX$3,0,0,'Données projet'!$E$13+1,1))-AVERAGE(OFFSET($H$3,0,0,'Données projet'!$E$13+1,1))</f>
        <v>133.08385802816008</v>
      </c>
      <c r="CZ24" s="59">
        <f t="shared" si="42"/>
        <v>316.59112511251385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projet'!$B$13,Paramètres!$A$1:$I$88,7,0))</f>
        <v>0</v>
      </c>
      <c r="DD24" s="16">
        <f>IF(ISNA(VLOOKUP(A24,'Données projet'!$A$139:$I$159,6,0)),0%,VLOOKUP(A24,'Données projet'!$A$139:$I$159,6,0)*VLOOKUP('Données projet'!$B$13,Paramètres!$A$1:$I$88,7,0))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projet'!$B$13,Paramètres!$A$1:$I$88,3,0)*0.475*44/12</f>
        <v>0</v>
      </c>
      <c r="DG24" s="21">
        <f>EXP(-LN(2)/25)*DG23+(1-EXP(-LN(2)/25))/(LN(2)/25)*Calculateur!DB24*Calculateur!DD24*VLOOKUP('Données projet'!$B$13,Paramètres!$A$1:$I$88,3,0)*0.475*44/12</f>
        <v>0</v>
      </c>
      <c r="DH24" s="21">
        <f>EXP(-LN(2)/2)*DH23+(1-EXP(-LN(2)/2))/(LN(2)/2)*DB24*DE24*VLOOKUP('Données projet'!$B$13,Paramètres!$A$1:$I$88,3,0)*0.475*44/12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projet'!$B$14,Paramètres!$A$1:$I$88,3,0)*VLOOKUP('Données projet'!$B$14,Paramètres!$A$1:$I$88,5,0)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projet'!$B$14,Paramètres!$A$1:$I$88,7,0))</f>
        <v>0</v>
      </c>
      <c r="DY24" s="16">
        <f>IF(ISNA(VLOOKUP(A24,'Données projet'!$A$165:$I$185,6,0)),0%,VLOOKUP(A24,'Données projet'!$A$165:$I$185,6,0)*VLOOKUP('Données projet'!$B$14,Paramètres!$A$1:$I$88,7,0))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projet'!$B$14,Paramètres!$A$1:$I$88,3,0)*0.475*44/12</f>
        <v>#N/A</v>
      </c>
      <c r="EB24" s="21" t="e">
        <f>EXP(-LN(2)/25)*EB23+(1-EXP(-LN(2)/25))/(LN(2)/25)*Calculateur!DW24*Calculateur!DY24*VLOOKUP('Données projet'!$B$14,Paramètres!$A$1:$I$88,3,0)*0.475*44/12</f>
        <v>#N/A</v>
      </c>
      <c r="EC24" s="21" t="e">
        <f>EXP(-LN(2)/2)*EC23+(1-EXP(-LN(2)/2))/(LN(2)/2)*DW24*DZ24*VLOOKUP('Données projet'!$B$14,Paramètres!$A$1:$I$88,3,0)*0.475*44/12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projet'!$B$15,Paramètres!$A$1:$I$88,3,0)*VLOOKUP('Données projet'!$B$15,Paramètres!$A$1:$I$88,5,0)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projet'!$B$15,Paramètres!$A$1:$I$88,7,0))</f>
        <v>0</v>
      </c>
      <c r="ET24" s="16">
        <f>IF(ISNA(VLOOKUP(A24,'Données projet'!$A$191:$I$211,6,0)),0%,VLOOKUP(A24,'Données projet'!$A$191:$I$211,6,0)*VLOOKUP('Données projet'!$B$15,Paramètres!$A$1:$I$88,7,0))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projet'!$B$15,Paramètres!$A$1:$I$88,3,0)*0.475*44/12</f>
        <v>#N/A</v>
      </c>
      <c r="EW24" s="21" t="e">
        <f>EXP(-LN(2)/25)*EW23+(1-EXP(-LN(2)/25))/(LN(2)/25)*Calculateur!ER24*Calculateur!ET24*VLOOKUP('Données projet'!$B$15,Paramètres!$A$1:$I$88,3,0)*0.475*44/12</f>
        <v>#N/A</v>
      </c>
      <c r="EX24" s="21" t="e">
        <f>EXP(-LN(2)/2)*EX23+(1-EXP(-LN(2)/2))/(LN(2)/2)*ER24*EU24*VLOOKUP('Données projet'!$B$15,Paramètres!$A$1:$I$88,3,0)*0.475*44/12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projet'!$B$16,Paramètres!$A$1:$I$88,3,0)*VLOOKUP('Données projet'!$B$16,Paramètres!$A$1:$I$88,5,0)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projet'!$B$16,Paramètres!$A$1:$I$88,7,0))</f>
        <v>0</v>
      </c>
      <c r="FO24" s="16">
        <f>IF(ISNA(VLOOKUP(A24,'Données projet'!$A$217:$I$237,6,0)),0%,VLOOKUP(A24,'Données projet'!$A$217:$I$237,6,0)*VLOOKUP('Données projet'!$B$16,Paramètres!$A$1:$I$88,7,0))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projet'!$B$16,Paramètres!$A$1:$I$88,3,0)*0.475*44/12</f>
        <v>#N/A</v>
      </c>
      <c r="FR24" s="21" t="e">
        <f>EXP(-LN(2)/25)*FR23+(1-EXP(-LN(2)/25))/(LN(2)/25)*Calculateur!FM24*Calculateur!FO24*VLOOKUP('Données projet'!$B$16,Paramètres!$A$1:$I$88,3,0)*0.475*44/12</f>
        <v>#N/A</v>
      </c>
      <c r="FS24" s="21" t="e">
        <f>EXP(-LN(2)/2)*FS23+(1-EXP(-LN(2)/2))/(LN(2)/2)*FM24*FP24*VLOOKUP('Données projet'!$B$16,Paramètres!$A$1:$I$88,3,0)*0.475*44/12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projet'!$B$17,Paramètres!$A$1:$I$88,3,0)*VLOOKUP('Données projet'!$B$17,Paramètres!$A$1:$I$88,5,0)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projet'!$B$17,Paramètres!$A$1:$I$88,7,0))</f>
        <v>0</v>
      </c>
      <c r="GJ24" s="16">
        <f>IF(ISNA(VLOOKUP(A24,'Données projet'!$A$243:$I$263,6,0)),0%,VLOOKUP(A24,'Données projet'!$A$243:$I$263,6,0)*VLOOKUP('Données projet'!$B$17,Paramètres!$A$1:$I$88,7,0))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projet'!$B$17,Paramètres!$A$1:$I$88,3,0)*0.475*44/12</f>
        <v>#N/A</v>
      </c>
      <c r="GM24" s="21" t="e">
        <f>EXP(-LN(2)/25)*GM23+(1-EXP(-LN(2)/25))/(LN(2)/25)*Calculateur!GH24*Calculateur!GJ24*VLOOKUP('Données projet'!$B$17,Paramètres!$A$1:$I$88,3,0)*0.475*44/12</f>
        <v>#N/A</v>
      </c>
      <c r="GN24" s="21" t="e">
        <f>EXP(-LN(2)/2)*GN23+(1-EXP(-LN(2)/2))/(LN(2)/2)*GH24*GK24*VLOOKUP('Données projet'!$B$17,Paramètres!$A$1:$I$88,3,0)*0.475*44/12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projet'!$B$18,Paramètres!$A$1:$I$88,3,0)*VLOOKUP('Données projet'!$B$18,Paramètres!$A$1:$I$88,5,0)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projet'!$B$18,Paramètres!$A$1:$I$88,7,0))</f>
        <v>0</v>
      </c>
      <c r="HE24" s="16">
        <f>IF(ISNA(VLOOKUP(A24,'Données projet'!$A$269:$I$289,6,0)),0%,VLOOKUP(A24,'Données projet'!$A$269:$I$289,6,0)*VLOOKUP('Données projet'!$B$18,Paramètres!$A$1:$I$88,7,0))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projet'!$B$18,Paramètres!$A$1:$I$88,3,0)*0.475*44/12</f>
        <v>#N/A</v>
      </c>
      <c r="HH24" s="21" t="e">
        <f>EXP(-LN(2)/25)*HH23+(1-EXP(-LN(2)/25))/(LN(2)/25)*Calculateur!HC24*Calculateur!HE24*VLOOKUP('Données projet'!$B$18,Paramètres!$A$1:$I$88,3,0)*0.475*44/12</f>
        <v>#N/A</v>
      </c>
      <c r="HI24" s="21" t="e">
        <f>EXP(-LN(2)/2)*HI23+(1-EXP(-LN(2)/2))/(LN(2)/2)*HC24*HF24*VLOOKUP('Données projet'!$B$18,Paramètres!$A$1:$I$88,3,0)*0.475*44/12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</v>
      </c>
      <c r="N25" s="13">
        <f>IF('Données projet'!$A$36&gt;35,N24+M25-V24,IF(A25&lt;'Données projet'!$A$36,$K$205^A25,IF(A25='Données projet'!$A$36,'Données projet'!$B$36,N24+M25-V24)))</f>
        <v>127</v>
      </c>
      <c r="O25" s="13">
        <f>N25*VLOOKUP('Données projet'!$B$9,Paramètres!$A$1:$I$88,3,0)*VLOOKUP('Données projet'!$B$9,Paramètres!$A$1:$I$88,5,0)</f>
        <v>75.945999999999998</v>
      </c>
      <c r="P25" s="13">
        <f t="shared" si="33"/>
        <v>21.142979995226831</v>
      </c>
      <c r="Q25" s="20">
        <f t="shared" si="2"/>
        <v>169.09664015835338</v>
      </c>
      <c r="R25" s="59">
        <f t="shared" si="0"/>
        <v>452.6521957139089</v>
      </c>
      <c r="S25" s="59">
        <f ca="1">AVERAGE(OFFSET($R$3,0,0,'Données projet'!$E$9+1,1))-AVERAGE(OFFSET($H$3,0,0,'Données projet'!$E$9+1,1))</f>
        <v>195.73441209602686</v>
      </c>
      <c r="T25" s="59">
        <f t="shared" si="34"/>
        <v>219.19129224309006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projet'!$B$9,Paramètres!$A$1:$I$88,7,0))</f>
        <v>0</v>
      </c>
      <c r="X25" s="16">
        <f>IF(ISNA(VLOOKUP(A25,'Données projet'!$A$35:$I$55,6,0)),0%,VLOOKUP(A25,'Données projet'!$A$35:$I$55,6,0)*VLOOKUP('Données projet'!$B$9,Paramètres!$A$1:$I$88,7,0))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projet'!$B$9,Paramètres!$A$1:$I$88,3,0)*0.475*44/12</f>
        <v>2.2645623141748459</v>
      </c>
      <c r="AA25" s="21">
        <f>EXP(-LN(2)/25)*AA24+(1-EXP(-LN(2)/25))/(LN(2)/25)*Calculateur!V25*Calculateur!X25*VLOOKUP('Données projet'!$B$9,Paramètres!$A$1:$I$88,3,0)*0.475*44/12</f>
        <v>7.4385422706176092</v>
      </c>
      <c r="AB25" s="21">
        <f>EXP(-LN(2)/2)*AB24+(1-EXP(-LN(2)/2))/(LN(2)/2)*V25*Y25*VLOOKUP('Données projet'!$B$9,Paramètres!$A$1:$I$88,3,0)*0.475*44/12</f>
        <v>0.6347577318007751</v>
      </c>
      <c r="AC25" s="22">
        <f t="shared" si="3"/>
        <v>10.337862316593231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</v>
      </c>
      <c r="AI25" s="13">
        <f>IF('Données projet'!$A$62&gt;35,AI24+AH25-AQ24,IF(A25&lt;'Données projet'!$A$62,$AF$205^A25,IF(A25='Données projet'!$A$62,'Données projet'!$B$62,AI24+AH25-AQ24)))</f>
        <v>114</v>
      </c>
      <c r="AJ25" s="13">
        <f>AI25*VLOOKUP('Données projet'!$B$10,Paramètres!$A$1:$I$88,3,0)*VLOOKUP('Données projet'!$B$10,Paramètres!$A$1:$I$88,5,0)</f>
        <v>68.172000000000011</v>
      </c>
      <c r="AK25" s="13">
        <f t="shared" si="35"/>
        <v>19.21880399855084</v>
      </c>
      <c r="AL25" s="20">
        <f t="shared" si="4"/>
        <v>152.20565029747607</v>
      </c>
      <c r="AM25" s="59">
        <f t="shared" si="5"/>
        <v>435.76120585303158</v>
      </c>
      <c r="AN25" s="59">
        <f ca="1">AVERAGE(OFFSET($AM$3,0,0,'Données projet'!$E$10+1,1))-AVERAGE(OFFSET($H$3,0,0,'Données projet'!$E$10+1,1))</f>
        <v>246.59447135626942</v>
      </c>
      <c r="AO25" s="59">
        <f t="shared" si="36"/>
        <v>262.00382544285367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projet'!$B$10,Paramètres!$A$1:$I$88,7,0))</f>
        <v>0</v>
      </c>
      <c r="AS25" s="16">
        <f>IF(ISNA(VLOOKUP(A25,'Données projet'!$A$61:$I$81,6,0)),0%,VLOOKUP(A25,'Données projet'!$A$61:$I$81,6,0)*VLOOKUP('Données projet'!$B$10,Paramètres!$A$1:$I$88,7,0))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projet'!$B$10,Paramètres!$A$1:$I$88,3,0)*0.475*44/12</f>
        <v>0</v>
      </c>
      <c r="AV25" s="21">
        <f>EXP(-LN(2)/25)*AV24+(1-EXP(-LN(2)/25))/(LN(2)/25)*Calculateur!AQ25*Calculateur!AS25*VLOOKUP('Données projet'!$B$10,Paramètres!$A$1:$I$88,3,0)*0.475*44/12</f>
        <v>0.50458874062709436</v>
      </c>
      <c r="AW25" s="21">
        <f>EXP(-LN(2)/2)*AW24+(1-EXP(-LN(2)/2))/(LN(2)/2)*AQ25*AT25*VLOOKUP('Données projet'!$B$10,Paramètres!$A$1:$I$88,3,0)*0.475*44/12</f>
        <v>0.50780618544062006</v>
      </c>
      <c r="AX25" s="21">
        <f t="shared" si="6"/>
        <v>1.0123949260677145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22.2</v>
      </c>
      <c r="BD25" s="12">
        <f>IF('Données projet'!$A$88&gt;35,BD24+BC25-BL24,IF(A25&lt;'Données projet'!$A$88,$BA$205^A25,IF(A25='Données projet'!$A$88,'Données projet'!$B$88,BD24+BC25-BL24)))</f>
        <v>143.39999999999998</v>
      </c>
      <c r="BE25" s="13">
        <f>BD25*VLOOKUP('Données projet'!$B$11,Paramètres!$A$1:$I$88,3,0)*VLOOKUP('Données projet'!$B$11,Paramètres!$A$1:$I$88,5,0)</f>
        <v>80.160599999999988</v>
      </c>
      <c r="BF25" s="13">
        <f t="shared" si="37"/>
        <v>22.176447079115164</v>
      </c>
      <c r="BG25" s="20">
        <f t="shared" si="7"/>
        <v>178.23702366279221</v>
      </c>
      <c r="BH25" s="59">
        <f t="shared" si="8"/>
        <v>461.79257921834778</v>
      </c>
      <c r="BI25" s="59">
        <f ca="1">AVERAGE(OFFSET($BH$3,0,0,'Données projet'!$E$11+1,1))-AVERAGE(OFFSET($H$3,0,0,'Données projet'!$E$11+1,1))</f>
        <v>355.96253323046608</v>
      </c>
      <c r="BJ25" s="59">
        <f t="shared" si="38"/>
        <v>366.8380442809696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projet'!$B$11,Paramètres!$A$1:$I$88,7,0))</f>
        <v>0</v>
      </c>
      <c r="BN25" s="16">
        <f>IF(ISNA(VLOOKUP(A25,'Données projet'!$A$87:$I$107,6,0)),0%,VLOOKUP(A25,'Données projet'!$A$87:$I$107,6,0)*VLOOKUP('Données projet'!$B$11,Paramètres!$A$1:$I$88,7,0))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projet'!$B$11,Paramètres!$A$1:$I$88,3,0)*0.475*44/12</f>
        <v>0</v>
      </c>
      <c r="BQ25" s="21">
        <f>EXP(-LN(2)/25)*BQ24+(1-EXP(-LN(2)/25))/(LN(2)/25)*Calculateur!BL25*Calculateur!BN25*VLOOKUP('Données projet'!$B$11,Paramètres!$A$1:$I$88,3,0)*0.475*44/12</f>
        <v>0</v>
      </c>
      <c r="BR25" s="21">
        <f>EXP(-LN(2)/2)*BR24+(1-EXP(-LN(2)/2))/(LN(2)/2)*BL25*BO25*VLOOKUP('Données projet'!$B$11,Paramètres!$A$1:$I$88,3,0)*0.475*44/12</f>
        <v>19.936912410994779</v>
      </c>
      <c r="BS25" s="22">
        <f t="shared" si="9"/>
        <v>19.936912410994779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12.2</v>
      </c>
      <c r="BY25" s="12">
        <f>IF('Données projet'!$A$114&gt;35,BY24+BX25-CG24,IF(A25&lt;'Données projet'!$A$114,$BV$205^A25,IF(A25='Données projet'!$A$114,'Données projet'!$B$114,BY24+BX25-CG24)))</f>
        <v>76.400000000000006</v>
      </c>
      <c r="BZ25" s="13">
        <f>BY25*VLOOKUP('Données projet'!$B$12,Paramètres!$A$1:$I$88,3,0)*VLOOKUP('Données projet'!$B$12,Paramètres!$A$1:$I$88,5,0)</f>
        <v>50.057280000000006</v>
      </c>
      <c r="CA25" s="13">
        <f t="shared" si="39"/>
        <v>14.628551487364447</v>
      </c>
      <c r="CB25" s="20">
        <f t="shared" si="10"/>
        <v>112.66115650715976</v>
      </c>
      <c r="CC25" s="59">
        <f t="shared" si="11"/>
        <v>396.21671206271532</v>
      </c>
      <c r="CD25" s="59">
        <f ca="1">AVERAGE(OFFSET($CC$3,0,0,'Données projet'!$E$12+1,1))-AVERAGE(OFFSET($H$3,0,0,'Données projet'!$E$12+1,1))</f>
        <v>180.90147430936133</v>
      </c>
      <c r="CE25" s="59">
        <f t="shared" si="40"/>
        <v>226.87949199830018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projet'!$B$12,Paramètres!$A$1:$I$88,7,0))</f>
        <v>0</v>
      </c>
      <c r="CI25" s="16">
        <f>IF(ISNA(VLOOKUP(A25,'Données projet'!$A$113:$I$133,6,0)),0%,VLOOKUP(A25,'Données projet'!$A$113:$I$133,6,0)*VLOOKUP('Données projet'!$B$12,Paramètres!$A$1:$I$88,7,0))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projet'!$B$12,Paramètres!$A$1:$I$88,3,0)*0.475*44/12</f>
        <v>0</v>
      </c>
      <c r="CL25" s="21">
        <f>EXP(-LN(2)/25)*CL24+(1-EXP(-LN(2)/25))/(LN(2)/25)*Calculateur!CG25*Calculateur!CI25*VLOOKUP('Données projet'!$B$12,Paramètres!$A$1:$I$88,3,0)*0.475*44/12</f>
        <v>3.1550203236408123</v>
      </c>
      <c r="CM25" s="21">
        <f>EXP(-LN(2)/2)*CM24+(1-EXP(-LN(2)/2))/(LN(2)/2)*CG25*CJ25*VLOOKUP('Données projet'!$B$12,Paramètres!$A$1:$I$88,3,0)*0.475*44/12</f>
        <v>3.3228187351657956</v>
      </c>
      <c r="CN25" s="22">
        <f t="shared" si="12"/>
        <v>6.4778390588066079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8.8000000000000007</v>
      </c>
      <c r="CT25" s="12">
        <f>IF('Données projet'!$A$140&gt;35,CT24+CS25-DB24,IF(A25&lt;'Données projet'!$A$140,$CQ$205^A25,IF(A25='Données projet'!$A$140,'Données projet'!$B$140,CT24+CS25-DB24)))</f>
        <v>276.60000000000002</v>
      </c>
      <c r="CU25" s="17">
        <f>CT25*VLOOKUP('Données projet'!$B$13,Paramètres!$A$1:$I$88,3,0)*VLOOKUP('Données projet'!$B$13,Paramètres!$A$1:$I$88,5,0)</f>
        <v>140.66769600000003</v>
      </c>
      <c r="CV25" s="13">
        <f t="shared" si="41"/>
        <v>36.449922890513427</v>
      </c>
      <c r="CW25" s="20">
        <f t="shared" si="13"/>
        <v>308.47985290097756</v>
      </c>
      <c r="CX25" s="59">
        <f t="shared" si="14"/>
        <v>592.0354084565331</v>
      </c>
      <c r="CY25" s="59">
        <f ca="1">AVERAGE(OFFSET($CX$3,0,0,'Données projet'!$E$13+1,1))-AVERAGE(OFFSET($H$3,0,0,'Données projet'!$E$13+1,1))</f>
        <v>133.08385802816008</v>
      </c>
      <c r="CZ25" s="59">
        <f t="shared" si="42"/>
        <v>316.59112511251385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projet'!$B$13,Paramètres!$A$1:$I$88,7,0))</f>
        <v>0</v>
      </c>
      <c r="DD25" s="16">
        <f>IF(ISNA(VLOOKUP(A25,'Données projet'!$A$139:$I$159,6,0)),0%,VLOOKUP(A25,'Données projet'!$A$139:$I$159,6,0)*VLOOKUP('Données projet'!$B$13,Paramètres!$A$1:$I$88,7,0))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projet'!$B$13,Paramètres!$A$1:$I$88,3,0)*0.475*44/12</f>
        <v>0</v>
      </c>
      <c r="DG25" s="21">
        <f>EXP(-LN(2)/25)*DG24+(1-EXP(-LN(2)/25))/(LN(2)/25)*Calculateur!DB25*Calculateur!DD25*VLOOKUP('Données projet'!$B$13,Paramètres!$A$1:$I$88,3,0)*0.475*44/12</f>
        <v>0</v>
      </c>
      <c r="DH25" s="21">
        <f>EXP(-LN(2)/2)*DH24+(1-EXP(-LN(2)/2))/(LN(2)/2)*DB25*DE25*VLOOKUP('Données projet'!$B$13,Paramètres!$A$1:$I$88,3,0)*0.475*44/12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projet'!$B$14,Paramètres!$A$1:$I$88,3,0)*VLOOKUP('Données projet'!$B$14,Paramètres!$A$1:$I$88,5,0)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projet'!$B$14,Paramètres!$A$1:$I$88,7,0))</f>
        <v>0</v>
      </c>
      <c r="DY25" s="16">
        <f>IF(ISNA(VLOOKUP(A25,'Données projet'!$A$165:$I$185,6,0)),0%,VLOOKUP(A25,'Données projet'!$A$165:$I$185,6,0)*VLOOKUP('Données projet'!$B$14,Paramètres!$A$1:$I$88,7,0))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projet'!$B$14,Paramètres!$A$1:$I$88,3,0)*0.475*44/12</f>
        <v>#N/A</v>
      </c>
      <c r="EB25" s="21" t="e">
        <f>EXP(-LN(2)/25)*EB24+(1-EXP(-LN(2)/25))/(LN(2)/25)*Calculateur!DW25*Calculateur!DY25*VLOOKUP('Données projet'!$B$14,Paramètres!$A$1:$I$88,3,0)*0.475*44/12</f>
        <v>#N/A</v>
      </c>
      <c r="EC25" s="21" t="e">
        <f>EXP(-LN(2)/2)*EC24+(1-EXP(-LN(2)/2))/(LN(2)/2)*DW25*DZ25*VLOOKUP('Données projet'!$B$14,Paramètres!$A$1:$I$88,3,0)*0.475*44/12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projet'!$B$15,Paramètres!$A$1:$I$88,3,0)*VLOOKUP('Données projet'!$B$15,Paramètres!$A$1:$I$88,5,0)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projet'!$B$15,Paramètres!$A$1:$I$88,7,0))</f>
        <v>0</v>
      </c>
      <c r="ET25" s="16">
        <f>IF(ISNA(VLOOKUP(A25,'Données projet'!$A$191:$I$211,6,0)),0%,VLOOKUP(A25,'Données projet'!$A$191:$I$211,6,0)*VLOOKUP('Données projet'!$B$15,Paramètres!$A$1:$I$88,7,0))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projet'!$B$15,Paramètres!$A$1:$I$88,3,0)*0.475*44/12</f>
        <v>#N/A</v>
      </c>
      <c r="EW25" s="21" t="e">
        <f>EXP(-LN(2)/25)*EW24+(1-EXP(-LN(2)/25))/(LN(2)/25)*Calculateur!ER25*Calculateur!ET25*VLOOKUP('Données projet'!$B$15,Paramètres!$A$1:$I$88,3,0)*0.475*44/12</f>
        <v>#N/A</v>
      </c>
      <c r="EX25" s="21" t="e">
        <f>EXP(-LN(2)/2)*EX24+(1-EXP(-LN(2)/2))/(LN(2)/2)*ER25*EU25*VLOOKUP('Données projet'!$B$15,Paramètres!$A$1:$I$88,3,0)*0.475*44/12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projet'!$B$16,Paramètres!$A$1:$I$88,3,0)*VLOOKUP('Données projet'!$B$16,Paramètres!$A$1:$I$88,5,0)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projet'!$B$16,Paramètres!$A$1:$I$88,7,0))</f>
        <v>0</v>
      </c>
      <c r="FO25" s="16">
        <f>IF(ISNA(VLOOKUP(A25,'Données projet'!$A$217:$I$237,6,0)),0%,VLOOKUP(A25,'Données projet'!$A$217:$I$237,6,0)*VLOOKUP('Données projet'!$B$16,Paramètres!$A$1:$I$88,7,0))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projet'!$B$16,Paramètres!$A$1:$I$88,3,0)*0.475*44/12</f>
        <v>#N/A</v>
      </c>
      <c r="FR25" s="21" t="e">
        <f>EXP(-LN(2)/25)*FR24+(1-EXP(-LN(2)/25))/(LN(2)/25)*Calculateur!FM25*Calculateur!FO25*VLOOKUP('Données projet'!$B$16,Paramètres!$A$1:$I$88,3,0)*0.475*44/12</f>
        <v>#N/A</v>
      </c>
      <c r="FS25" s="21" t="e">
        <f>EXP(-LN(2)/2)*FS24+(1-EXP(-LN(2)/2))/(LN(2)/2)*FM25*FP25*VLOOKUP('Données projet'!$B$16,Paramètres!$A$1:$I$88,3,0)*0.475*44/12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projet'!$B$17,Paramètres!$A$1:$I$88,3,0)*VLOOKUP('Données projet'!$B$17,Paramètres!$A$1:$I$88,5,0)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projet'!$B$17,Paramètres!$A$1:$I$88,7,0))</f>
        <v>0</v>
      </c>
      <c r="GJ25" s="16">
        <f>IF(ISNA(VLOOKUP(A25,'Données projet'!$A$243:$I$263,6,0)),0%,VLOOKUP(A25,'Données projet'!$A$243:$I$263,6,0)*VLOOKUP('Données projet'!$B$17,Paramètres!$A$1:$I$88,7,0))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projet'!$B$17,Paramètres!$A$1:$I$88,3,0)*0.475*44/12</f>
        <v>#N/A</v>
      </c>
      <c r="GM25" s="21" t="e">
        <f>EXP(-LN(2)/25)*GM24+(1-EXP(-LN(2)/25))/(LN(2)/25)*Calculateur!GH25*Calculateur!GJ25*VLOOKUP('Données projet'!$B$17,Paramètres!$A$1:$I$88,3,0)*0.475*44/12</f>
        <v>#N/A</v>
      </c>
      <c r="GN25" s="21" t="e">
        <f>EXP(-LN(2)/2)*GN24+(1-EXP(-LN(2)/2))/(LN(2)/2)*GH25*GK25*VLOOKUP('Données projet'!$B$17,Paramètres!$A$1:$I$88,3,0)*0.475*44/12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projet'!$B$18,Paramètres!$A$1:$I$88,3,0)*VLOOKUP('Données projet'!$B$18,Paramètres!$A$1:$I$88,5,0)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projet'!$B$18,Paramètres!$A$1:$I$88,7,0))</f>
        <v>0</v>
      </c>
      <c r="HE25" s="16">
        <f>IF(ISNA(VLOOKUP(A25,'Données projet'!$A$269:$I$289,6,0)),0%,VLOOKUP(A25,'Données projet'!$A$269:$I$289,6,0)*VLOOKUP('Données projet'!$B$18,Paramètres!$A$1:$I$88,7,0))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projet'!$B$18,Paramètres!$A$1:$I$88,3,0)*0.475*44/12</f>
        <v>#N/A</v>
      </c>
      <c r="HH25" s="21" t="e">
        <f>EXP(-LN(2)/25)*HH24+(1-EXP(-LN(2)/25))/(LN(2)/25)*Calculateur!HC25*Calculateur!HE25*VLOOKUP('Données projet'!$B$18,Paramètres!$A$1:$I$88,3,0)*0.475*44/12</f>
        <v>#N/A</v>
      </c>
      <c r="HI25" s="21" t="e">
        <f>EXP(-LN(2)/2)*HI24+(1-EXP(-LN(2)/2))/(LN(2)/2)*HC25*HF25*VLOOKUP('Données projet'!$B$18,Paramètres!$A$1:$I$88,3,0)*0.475*44/12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</v>
      </c>
      <c r="N26" s="13">
        <f>IF('Données projet'!$A$36&gt;35,N25+M26-V25,IF(A26&lt;'Données projet'!$A$36,$K$205^A26,IF(A26='Données projet'!$A$36,'Données projet'!$B$36,N25+M26-V25)))</f>
        <v>142</v>
      </c>
      <c r="O26" s="13">
        <f>N26*VLOOKUP('Données projet'!$B$9,Paramètres!$A$1:$I$88,3,0)*VLOOKUP('Données projet'!$B$9,Paramètres!$A$1:$I$88,5,0)</f>
        <v>84.916000000000011</v>
      </c>
      <c r="P26" s="13">
        <f t="shared" si="33"/>
        <v>23.33496813320572</v>
      </c>
      <c r="Q26" s="20">
        <f t="shared" si="2"/>
        <v>188.53710283199996</v>
      </c>
      <c r="R26" s="59">
        <f t="shared" si="0"/>
        <v>473.31488060977773</v>
      </c>
      <c r="S26" s="59">
        <f ca="1">AVERAGE(OFFSET($R$3,0,0,'Données projet'!$E$9+1,1))-AVERAGE(OFFSET($H$3,0,0,'Données projet'!$E$9+1,1))</f>
        <v>195.73441209602686</v>
      </c>
      <c r="T26" s="59">
        <f t="shared" si="34"/>
        <v>219.19129224309006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projet'!$B$9,Paramètres!$A$1:$I$88,7,0))</f>
        <v>0</v>
      </c>
      <c r="X26" s="16">
        <f>IF(ISNA(VLOOKUP(A26,'Données projet'!$A$35:$I$55,6,0)),0%,VLOOKUP(A26,'Données projet'!$A$35:$I$55,6,0)*VLOOKUP('Données projet'!$B$9,Paramètres!$A$1:$I$88,7,0))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projet'!$B$9,Paramètres!$A$1:$I$88,3,0)*0.475*44/12</f>
        <v>2.220155628440502</v>
      </c>
      <c r="AA26" s="21">
        <f>EXP(-LN(2)/25)*AA25+(1-EXP(-LN(2)/25))/(LN(2)/25)*Calculateur!V26*Calculateur!X26*VLOOKUP('Données projet'!$B$9,Paramètres!$A$1:$I$88,3,0)*0.475*44/12</f>
        <v>7.2351349410516335</v>
      </c>
      <c r="AB26" s="21">
        <f>EXP(-LN(2)/2)*AB25+(1-EXP(-LN(2)/2))/(LN(2)/2)*V26*Y26*VLOOKUP('Données projet'!$B$9,Paramètres!$A$1:$I$88,3,0)*0.475*44/12</f>
        <v>0.44884149656691991</v>
      </c>
      <c r="AC26" s="22">
        <f t="shared" si="3"/>
        <v>9.9041320660590557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</v>
      </c>
      <c r="AI26" s="13">
        <f>IF('Données projet'!$A$62&gt;35,AI25+AH26-AQ25,IF(A26&lt;'Données projet'!$A$62,$AF$205^A26,IF(A26='Données projet'!$A$62,'Données projet'!$B$62,AI25+AH26-AQ25)))</f>
        <v>127</v>
      </c>
      <c r="AJ26" s="13">
        <f>AI26*VLOOKUP('Données projet'!$B$10,Paramètres!$A$1:$I$88,3,0)*VLOOKUP('Données projet'!$B$10,Paramètres!$A$1:$I$88,5,0)</f>
        <v>75.945999999999998</v>
      </c>
      <c r="AK26" s="13">
        <f t="shared" si="35"/>
        <v>21.142979995226831</v>
      </c>
      <c r="AL26" s="20">
        <f t="shared" si="4"/>
        <v>169.09664015835338</v>
      </c>
      <c r="AM26" s="59">
        <f t="shared" si="5"/>
        <v>453.87441793613118</v>
      </c>
      <c r="AN26" s="59">
        <f ca="1">AVERAGE(OFFSET($AM$3,0,0,'Données projet'!$E$10+1,1))-AVERAGE(OFFSET($H$3,0,0,'Données projet'!$E$10+1,1))</f>
        <v>246.59447135626942</v>
      </c>
      <c r="AO26" s="59">
        <f t="shared" si="36"/>
        <v>262.00382544285367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projet'!$B$10,Paramètres!$A$1:$I$88,7,0))</f>
        <v>0</v>
      </c>
      <c r="AS26" s="16">
        <f>IF(ISNA(VLOOKUP(A26,'Données projet'!$A$61:$I$81,6,0)),0%,VLOOKUP(A26,'Données projet'!$A$61:$I$81,6,0)*VLOOKUP('Données projet'!$B$10,Paramètres!$A$1:$I$88,7,0))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projet'!$B$10,Paramètres!$A$1:$I$88,3,0)*0.475*44/12</f>
        <v>0</v>
      </c>
      <c r="AV26" s="21">
        <f>EXP(-LN(2)/25)*AV25+(1-EXP(-LN(2)/25))/(LN(2)/25)*Calculateur!AQ26*Calculateur!AS26*VLOOKUP('Données projet'!$B$10,Paramètres!$A$1:$I$88,3,0)*0.475*44/12</f>
        <v>0.49079073497947784</v>
      </c>
      <c r="AW26" s="21">
        <f>EXP(-LN(2)/2)*AW25+(1-EXP(-LN(2)/2))/(LN(2)/2)*AQ26*AT26*VLOOKUP('Données projet'!$B$10,Paramètres!$A$1:$I$88,3,0)*0.475*44/12</f>
        <v>0.35907319725353593</v>
      </c>
      <c r="AX26" s="21">
        <f t="shared" si="6"/>
        <v>0.84986393223301371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22.2</v>
      </c>
      <c r="BD26" s="12">
        <f>IF('Données projet'!$A$88&gt;35,BD25+BC26-BL25,IF(A26&lt;'Données projet'!$A$88,$BA$205^A26,IF(A26='Données projet'!$A$88,'Données projet'!$B$88,BD25+BC26-BL25)))</f>
        <v>165.59999999999997</v>
      </c>
      <c r="BE26" s="13">
        <f>BD26*VLOOKUP('Données projet'!$B$11,Paramètres!$A$1:$I$88,3,0)*VLOOKUP('Données projet'!$B$11,Paramètres!$A$1:$I$88,5,0)</f>
        <v>92.570399999999978</v>
      </c>
      <c r="BF26" s="13">
        <f t="shared" si="37"/>
        <v>25.184123943972491</v>
      </c>
      <c r="BG26" s="20">
        <f t="shared" si="7"/>
        <v>205.08912920241869</v>
      </c>
      <c r="BH26" s="59">
        <f t="shared" si="8"/>
        <v>489.86690698019646</v>
      </c>
      <c r="BI26" s="59">
        <f ca="1">AVERAGE(OFFSET($BH$3,0,0,'Données projet'!$E$11+1,1))-AVERAGE(OFFSET($H$3,0,0,'Données projet'!$E$11+1,1))</f>
        <v>355.96253323046608</v>
      </c>
      <c r="BJ26" s="59">
        <f t="shared" si="38"/>
        <v>366.8380442809696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projet'!$B$11,Paramètres!$A$1:$I$88,7,0))</f>
        <v>0</v>
      </c>
      <c r="BN26" s="16">
        <f>IF(ISNA(VLOOKUP(A26,'Données projet'!$A$87:$I$107,6,0)),0%,VLOOKUP(A26,'Données projet'!$A$87:$I$107,6,0)*VLOOKUP('Données projet'!$B$11,Paramètres!$A$1:$I$88,7,0))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projet'!$B$11,Paramètres!$A$1:$I$88,3,0)*0.475*44/12</f>
        <v>0</v>
      </c>
      <c r="BQ26" s="21">
        <f>EXP(-LN(2)/25)*BQ25+(1-EXP(-LN(2)/25))/(LN(2)/25)*Calculateur!BL26*Calculateur!BN26*VLOOKUP('Données projet'!$B$11,Paramètres!$A$1:$I$88,3,0)*0.475*44/12</f>
        <v>0</v>
      </c>
      <c r="BR26" s="21">
        <f>EXP(-LN(2)/2)*BR25+(1-EXP(-LN(2)/2))/(LN(2)/2)*BL26*BO26*VLOOKUP('Données projet'!$B$11,Paramètres!$A$1:$I$88,3,0)*0.475*44/12</f>
        <v>14.09752596173665</v>
      </c>
      <c r="BS26" s="22">
        <f t="shared" si="9"/>
        <v>14.09752596173665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12.2</v>
      </c>
      <c r="BY26" s="12">
        <f>IF('Données projet'!$A$114&gt;35,BY25+BX26-CG25,IF(A26&lt;'Données projet'!$A$114,$BV$205^A26,IF(A26='Données projet'!$A$114,'Données projet'!$B$114,BY25+BX26-CG25)))</f>
        <v>88.600000000000009</v>
      </c>
      <c r="BZ26" s="13">
        <f>BY26*VLOOKUP('Données projet'!$B$12,Paramètres!$A$1:$I$88,3,0)*VLOOKUP('Données projet'!$B$12,Paramètres!$A$1:$I$88,5,0)</f>
        <v>58.050720000000005</v>
      </c>
      <c r="CA26" s="13">
        <f t="shared" si="39"/>
        <v>16.67448654507124</v>
      </c>
      <c r="CB26" s="20">
        <f t="shared" si="10"/>
        <v>130.1464013993324</v>
      </c>
      <c r="CC26" s="59">
        <f t="shared" si="11"/>
        <v>414.9241791771102</v>
      </c>
      <c r="CD26" s="59">
        <f ca="1">AVERAGE(OFFSET($CC$3,0,0,'Données projet'!$E$12+1,1))-AVERAGE(OFFSET($H$3,0,0,'Données projet'!$E$12+1,1))</f>
        <v>180.90147430936133</v>
      </c>
      <c r="CE26" s="59">
        <f t="shared" si="40"/>
        <v>226.87949199830018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projet'!$B$12,Paramètres!$A$1:$I$88,7,0))</f>
        <v>0</v>
      </c>
      <c r="CI26" s="16">
        <f>IF(ISNA(VLOOKUP(A26,'Données projet'!$A$113:$I$133,6,0)),0%,VLOOKUP(A26,'Données projet'!$A$113:$I$133,6,0)*VLOOKUP('Données projet'!$B$12,Paramètres!$A$1:$I$88,7,0))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projet'!$B$12,Paramètres!$A$1:$I$88,3,0)*0.475*44/12</f>
        <v>0</v>
      </c>
      <c r="CL26" s="21">
        <f>EXP(-LN(2)/25)*CL25+(1-EXP(-LN(2)/25))/(LN(2)/25)*Calculateur!CG26*Calculateur!CI26*VLOOKUP('Données projet'!$B$12,Paramètres!$A$1:$I$88,3,0)*0.475*44/12</f>
        <v>3.0687461269755465</v>
      </c>
      <c r="CM26" s="21">
        <f>EXP(-LN(2)/2)*CM25+(1-EXP(-LN(2)/2))/(LN(2)/2)*CG26*CJ26*VLOOKUP('Données projet'!$B$12,Paramètres!$A$1:$I$88,3,0)*0.475*44/12</f>
        <v>2.349587660289441</v>
      </c>
      <c r="CN26" s="22">
        <f t="shared" si="12"/>
        <v>5.4183337872649879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8.8000000000000007</v>
      </c>
      <c r="CT26" s="12">
        <f>IF('Données projet'!$A$140&gt;35,CT25+CS26-DB25,IF(A26&lt;'Données projet'!$A$140,$CQ$205^A26,IF(A26='Données projet'!$A$140,'Données projet'!$B$140,CT25+CS26-DB25)))</f>
        <v>285.40000000000003</v>
      </c>
      <c r="CU26" s="17">
        <f>CT26*VLOOKUP('Données projet'!$B$13,Paramètres!$A$1:$I$88,3,0)*VLOOKUP('Données projet'!$B$13,Paramètres!$A$1:$I$88,5,0)</f>
        <v>145.14302400000003</v>
      </c>
      <c r="CV26" s="13">
        <f t="shared" si="41"/>
        <v>37.472714841204279</v>
      </c>
      <c r="CW26" s="20">
        <f t="shared" si="13"/>
        <v>318.05574514843084</v>
      </c>
      <c r="CX26" s="59">
        <f t="shared" si="14"/>
        <v>602.83352292620862</v>
      </c>
      <c r="CY26" s="59">
        <f ca="1">AVERAGE(OFFSET($CX$3,0,0,'Données projet'!$E$13+1,1))-AVERAGE(OFFSET($H$3,0,0,'Données projet'!$E$13+1,1))</f>
        <v>133.08385802816008</v>
      </c>
      <c r="CZ26" s="59">
        <f t="shared" si="42"/>
        <v>316.59112511251385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projet'!$B$13,Paramètres!$A$1:$I$88,7,0))</f>
        <v>0</v>
      </c>
      <c r="DD26" s="16">
        <f>IF(ISNA(VLOOKUP(A26,'Données projet'!$A$139:$I$159,6,0)),0%,VLOOKUP(A26,'Données projet'!$A$139:$I$159,6,0)*VLOOKUP('Données projet'!$B$13,Paramètres!$A$1:$I$88,7,0))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projet'!$B$13,Paramètres!$A$1:$I$88,3,0)*0.475*44/12</f>
        <v>0</v>
      </c>
      <c r="DG26" s="21">
        <f>EXP(-LN(2)/25)*DG25+(1-EXP(-LN(2)/25))/(LN(2)/25)*Calculateur!DB26*Calculateur!DD26*VLOOKUP('Données projet'!$B$13,Paramètres!$A$1:$I$88,3,0)*0.475*44/12</f>
        <v>0</v>
      </c>
      <c r="DH26" s="21">
        <f>EXP(-LN(2)/2)*DH25+(1-EXP(-LN(2)/2))/(LN(2)/2)*DB26*DE26*VLOOKUP('Données projet'!$B$13,Paramètres!$A$1:$I$88,3,0)*0.475*44/12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projet'!$B$14,Paramètres!$A$1:$I$88,3,0)*VLOOKUP('Données projet'!$B$14,Paramètres!$A$1:$I$88,5,0)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projet'!$B$14,Paramètres!$A$1:$I$88,7,0))</f>
        <v>0</v>
      </c>
      <c r="DY26" s="16">
        <f>IF(ISNA(VLOOKUP(A26,'Données projet'!$A$165:$I$185,6,0)),0%,VLOOKUP(A26,'Données projet'!$A$165:$I$185,6,0)*VLOOKUP('Données projet'!$B$14,Paramètres!$A$1:$I$88,7,0))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projet'!$B$14,Paramètres!$A$1:$I$88,3,0)*0.475*44/12</f>
        <v>#N/A</v>
      </c>
      <c r="EB26" s="21" t="e">
        <f>EXP(-LN(2)/25)*EB25+(1-EXP(-LN(2)/25))/(LN(2)/25)*Calculateur!DW26*Calculateur!DY26*VLOOKUP('Données projet'!$B$14,Paramètres!$A$1:$I$88,3,0)*0.475*44/12</f>
        <v>#N/A</v>
      </c>
      <c r="EC26" s="21" t="e">
        <f>EXP(-LN(2)/2)*EC25+(1-EXP(-LN(2)/2))/(LN(2)/2)*DW26*DZ26*VLOOKUP('Données projet'!$B$14,Paramètres!$A$1:$I$88,3,0)*0.475*44/12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projet'!$B$15,Paramètres!$A$1:$I$88,3,0)*VLOOKUP('Données projet'!$B$15,Paramètres!$A$1:$I$88,5,0)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projet'!$B$15,Paramètres!$A$1:$I$88,7,0))</f>
        <v>0</v>
      </c>
      <c r="ET26" s="16">
        <f>IF(ISNA(VLOOKUP(A26,'Données projet'!$A$191:$I$211,6,0)),0%,VLOOKUP(A26,'Données projet'!$A$191:$I$211,6,0)*VLOOKUP('Données projet'!$B$15,Paramètres!$A$1:$I$88,7,0))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projet'!$B$15,Paramètres!$A$1:$I$88,3,0)*0.475*44/12</f>
        <v>#N/A</v>
      </c>
      <c r="EW26" s="21" t="e">
        <f>EXP(-LN(2)/25)*EW25+(1-EXP(-LN(2)/25))/(LN(2)/25)*Calculateur!ER26*Calculateur!ET26*VLOOKUP('Données projet'!$B$15,Paramètres!$A$1:$I$88,3,0)*0.475*44/12</f>
        <v>#N/A</v>
      </c>
      <c r="EX26" s="21" t="e">
        <f>EXP(-LN(2)/2)*EX25+(1-EXP(-LN(2)/2))/(LN(2)/2)*ER26*EU26*VLOOKUP('Données projet'!$B$15,Paramètres!$A$1:$I$88,3,0)*0.475*44/12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projet'!$B$16,Paramètres!$A$1:$I$88,3,0)*VLOOKUP('Données projet'!$B$16,Paramètres!$A$1:$I$88,5,0)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projet'!$B$16,Paramètres!$A$1:$I$88,7,0))</f>
        <v>0</v>
      </c>
      <c r="FO26" s="16">
        <f>IF(ISNA(VLOOKUP(A26,'Données projet'!$A$217:$I$237,6,0)),0%,VLOOKUP(A26,'Données projet'!$A$217:$I$237,6,0)*VLOOKUP('Données projet'!$B$16,Paramètres!$A$1:$I$88,7,0))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projet'!$B$16,Paramètres!$A$1:$I$88,3,0)*0.475*44/12</f>
        <v>#N/A</v>
      </c>
      <c r="FR26" s="21" t="e">
        <f>EXP(-LN(2)/25)*FR25+(1-EXP(-LN(2)/25))/(LN(2)/25)*Calculateur!FM26*Calculateur!FO26*VLOOKUP('Données projet'!$B$16,Paramètres!$A$1:$I$88,3,0)*0.475*44/12</f>
        <v>#N/A</v>
      </c>
      <c r="FS26" s="21" t="e">
        <f>EXP(-LN(2)/2)*FS25+(1-EXP(-LN(2)/2))/(LN(2)/2)*FM26*FP26*VLOOKUP('Données projet'!$B$16,Paramètres!$A$1:$I$88,3,0)*0.475*44/12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projet'!$B$17,Paramètres!$A$1:$I$88,3,0)*VLOOKUP('Données projet'!$B$17,Paramètres!$A$1:$I$88,5,0)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projet'!$B$17,Paramètres!$A$1:$I$88,7,0))</f>
        <v>0</v>
      </c>
      <c r="GJ26" s="16">
        <f>IF(ISNA(VLOOKUP(A26,'Données projet'!$A$243:$I$263,6,0)),0%,VLOOKUP(A26,'Données projet'!$A$243:$I$263,6,0)*VLOOKUP('Données projet'!$B$17,Paramètres!$A$1:$I$88,7,0))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projet'!$B$17,Paramètres!$A$1:$I$88,3,0)*0.475*44/12</f>
        <v>#N/A</v>
      </c>
      <c r="GM26" s="21" t="e">
        <f>EXP(-LN(2)/25)*GM25+(1-EXP(-LN(2)/25))/(LN(2)/25)*Calculateur!GH26*Calculateur!GJ26*VLOOKUP('Données projet'!$B$17,Paramètres!$A$1:$I$88,3,0)*0.475*44/12</f>
        <v>#N/A</v>
      </c>
      <c r="GN26" s="21" t="e">
        <f>EXP(-LN(2)/2)*GN25+(1-EXP(-LN(2)/2))/(LN(2)/2)*GH26*GK26*VLOOKUP('Données projet'!$B$17,Paramètres!$A$1:$I$88,3,0)*0.475*44/12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projet'!$B$18,Paramètres!$A$1:$I$88,3,0)*VLOOKUP('Données projet'!$B$18,Paramètres!$A$1:$I$88,5,0)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projet'!$B$18,Paramètres!$A$1:$I$88,7,0))</f>
        <v>0</v>
      </c>
      <c r="HE26" s="16">
        <f>IF(ISNA(VLOOKUP(A26,'Données projet'!$A$269:$I$289,6,0)),0%,VLOOKUP(A26,'Données projet'!$A$269:$I$289,6,0)*VLOOKUP('Données projet'!$B$18,Paramètres!$A$1:$I$88,7,0))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projet'!$B$18,Paramètres!$A$1:$I$88,3,0)*0.475*44/12</f>
        <v>#N/A</v>
      </c>
      <c r="HH26" s="21" t="e">
        <f>EXP(-LN(2)/25)*HH25+(1-EXP(-LN(2)/25))/(LN(2)/25)*Calculateur!HC26*Calculateur!HE26*VLOOKUP('Données projet'!$B$18,Paramètres!$A$1:$I$88,3,0)*0.475*44/12</f>
        <v>#N/A</v>
      </c>
      <c r="HI26" s="21" t="e">
        <f>EXP(-LN(2)/2)*HI25+(1-EXP(-LN(2)/2))/(LN(2)/2)*HC26*HF26*VLOOKUP('Données projet'!$B$18,Paramètres!$A$1:$I$88,3,0)*0.475*44/12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157</v>
      </c>
      <c r="L27" s="12">
        <f>VLOOKUP(A27,'Données projet'!$A$35:$I$55,9,0)</f>
        <v>15</v>
      </c>
      <c r="M27" s="12">
        <f t="array" ref="M27">INDEX(L:L,MIN(IF(ISNUMBER(L27:L223),ROW(L27:L223),"")))</f>
        <v>15</v>
      </c>
      <c r="N27" s="13">
        <f>IF('Données projet'!$A$36&gt;35,N26+M27-V26,IF(A27&lt;'Données projet'!$A$36,$K$205^A27,IF(A27='Données projet'!$A$36,'Données projet'!$B$36,N26+M27-V26)))</f>
        <v>157</v>
      </c>
      <c r="O27" s="13">
        <f>N27*VLOOKUP('Données projet'!$B$9,Paramètres!$A$1:$I$88,3,0)*VLOOKUP('Données projet'!$B$9,Paramètres!$A$1:$I$88,5,0)</f>
        <v>93.885999999999996</v>
      </c>
      <c r="P27" s="13">
        <f t="shared" si="33"/>
        <v>25.500116461916402</v>
      </c>
      <c r="Q27" s="20">
        <f t="shared" si="2"/>
        <v>207.9308195045044</v>
      </c>
      <c r="R27" s="59">
        <f t="shared" si="0"/>
        <v>493.93081950450437</v>
      </c>
      <c r="S27" s="59">
        <f ca="1">AVERAGE(OFFSET($R$3,0,0,'Données projet'!$E$9+1,1))-AVERAGE(OFFSET($H$3,0,0,'Données projet'!$E$9+1,1))</f>
        <v>195.73441209602686</v>
      </c>
      <c r="T27" s="59">
        <f t="shared" si="34"/>
        <v>219.19129224309006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31</v>
      </c>
      <c r="W27" s="16">
        <f>IF(ISNA(VLOOKUP(A27,'Données projet'!$A$35:$I$55,5,0)),0%,VLOOKUP(A27,'Données projet'!$A$35:$I$55,5,0)*VLOOKUP('Données projet'!$B$9,Paramètres!$A$1:$I$88,7,0))</f>
        <v>0.22500000000000001</v>
      </c>
      <c r="X27" s="16">
        <f>IF(ISNA(VLOOKUP(A27,'Données projet'!$A$35:$I$55,6,0)),0%,VLOOKUP(A27,'Données projet'!$A$35:$I$55,6,0)*VLOOKUP('Données projet'!$B$9,Paramètres!$A$1:$I$88,7,0))</f>
        <v>0.22500000000000001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projet'!$B$9,Paramètres!$A$1:$I$88,3,0)*0.475*44/12</f>
        <v>7.7097864025891001</v>
      </c>
      <c r="AA27" s="21">
        <f>EXP(-LN(2)/25)*AA26+(1-EXP(-LN(2)/25))/(LN(2)/25)*Calculateur!V27*Calculateur!X27*VLOOKUP('Données projet'!$B$9,Paramètres!$A$1:$I$88,3,0)*0.475*44/12</f>
        <v>12.548670281981554</v>
      </c>
      <c r="AB27" s="21">
        <f>EXP(-LN(2)/2)*AB26+(1-EXP(-LN(2)/2))/(LN(2)/2)*V27*Y27*VLOOKUP('Données projet'!$B$9,Paramètres!$A$1:$I$88,3,0)*0.475*44/12</f>
        <v>0.31737886590038755</v>
      </c>
      <c r="AC27" s="22">
        <f t="shared" si="3"/>
        <v>20.575835550471041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</v>
      </c>
      <c r="AI27" s="13">
        <f>IF('Données projet'!$A$62&gt;35,AI26+AH27-AQ26,IF(A27&lt;'Données projet'!$A$62,$AF$205^A27,IF(A27='Données projet'!$A$62,'Données projet'!$B$62,AI26+AH27-AQ26)))</f>
        <v>140</v>
      </c>
      <c r="AJ27" s="13">
        <f>AI27*VLOOKUP('Données projet'!$B$10,Paramètres!$A$1:$I$88,3,0)*VLOOKUP('Données projet'!$B$10,Paramètres!$A$1:$I$88,5,0)</f>
        <v>83.720000000000013</v>
      </c>
      <c r="AK27" s="13">
        <f t="shared" si="35"/>
        <v>23.044323503842598</v>
      </c>
      <c r="AL27" s="20">
        <f t="shared" si="4"/>
        <v>185.9478634358592</v>
      </c>
      <c r="AM27" s="59">
        <f t="shared" si="5"/>
        <v>471.94786343585918</v>
      </c>
      <c r="AN27" s="59">
        <f ca="1">AVERAGE(OFFSET($AM$3,0,0,'Données projet'!$E$10+1,1))-AVERAGE(OFFSET($H$3,0,0,'Données projet'!$E$10+1,1))</f>
        <v>246.59447135626942</v>
      </c>
      <c r="AO27" s="59">
        <f t="shared" si="36"/>
        <v>262.00382544285367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projet'!$B$10,Paramètres!$A$1:$I$88,7,0))</f>
        <v>0</v>
      </c>
      <c r="AS27" s="16">
        <f>IF(ISNA(VLOOKUP(A27,'Données projet'!$A$61:$I$81,6,0)),0%,VLOOKUP(A27,'Données projet'!$A$61:$I$81,6,0)*VLOOKUP('Données projet'!$B$10,Paramètres!$A$1:$I$88,7,0))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projet'!$B$10,Paramètres!$A$1:$I$88,3,0)*0.475*44/12</f>
        <v>0</v>
      </c>
      <c r="AV27" s="21">
        <f>EXP(-LN(2)/25)*AV26+(1-EXP(-LN(2)/25))/(LN(2)/25)*Calculateur!AQ27*Calculateur!AS27*VLOOKUP('Données projet'!$B$10,Paramètres!$A$1:$I$88,3,0)*0.475*44/12</f>
        <v>0.47737003652190096</v>
      </c>
      <c r="AW27" s="21">
        <f>EXP(-LN(2)/2)*AW26+(1-EXP(-LN(2)/2))/(LN(2)/2)*AQ27*AT27*VLOOKUP('Données projet'!$B$10,Paramètres!$A$1:$I$88,3,0)*0.475*44/12</f>
        <v>0.25390309272031009</v>
      </c>
      <c r="AX27" s="21">
        <f t="shared" si="6"/>
        <v>0.731273129242211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22.2</v>
      </c>
      <c r="BD27" s="12">
        <f>IF('Données projet'!$A$88&gt;35,BD26+BC27-BL26,IF(A27&lt;'Données projet'!$A$88,$BA$205^A27,IF(A27='Données projet'!$A$88,'Données projet'!$B$88,BD26+BC27-BL26)))</f>
        <v>187.79999999999995</v>
      </c>
      <c r="BE27" s="13">
        <f>BD27*VLOOKUP('Données projet'!$B$11,Paramètres!$A$1:$I$88,3,0)*VLOOKUP('Données projet'!$B$11,Paramètres!$A$1:$I$88,5,0)</f>
        <v>104.98019999999997</v>
      </c>
      <c r="BF27" s="13">
        <f t="shared" si="37"/>
        <v>28.145084690033578</v>
      </c>
      <c r="BG27" s="20">
        <f t="shared" si="7"/>
        <v>231.85987083514172</v>
      </c>
      <c r="BH27" s="59">
        <f t="shared" si="8"/>
        <v>517.85987083514169</v>
      </c>
      <c r="BI27" s="59">
        <f ca="1">AVERAGE(OFFSET($BH$3,0,0,'Données projet'!$E$11+1,1))-AVERAGE(OFFSET($H$3,0,0,'Données projet'!$E$11+1,1))</f>
        <v>355.96253323046608</v>
      </c>
      <c r="BJ27" s="59">
        <f t="shared" si="38"/>
        <v>366.8380442809696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projet'!$B$11,Paramètres!$A$1:$I$88,7,0))</f>
        <v>0</v>
      </c>
      <c r="BN27" s="16">
        <f>IF(ISNA(VLOOKUP(A27,'Données projet'!$A$87:$I$107,6,0)),0%,VLOOKUP(A27,'Données projet'!$A$87:$I$107,6,0)*VLOOKUP('Données projet'!$B$11,Paramètres!$A$1:$I$88,7,0))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projet'!$B$11,Paramètres!$A$1:$I$88,3,0)*0.475*44/12</f>
        <v>0</v>
      </c>
      <c r="BQ27" s="21">
        <f>EXP(-LN(2)/25)*BQ26+(1-EXP(-LN(2)/25))/(LN(2)/25)*Calculateur!BL27*Calculateur!BN27*VLOOKUP('Données projet'!$B$11,Paramètres!$A$1:$I$88,3,0)*0.475*44/12</f>
        <v>0</v>
      </c>
      <c r="BR27" s="21">
        <f>EXP(-LN(2)/2)*BR26+(1-EXP(-LN(2)/2))/(LN(2)/2)*BL27*BO27*VLOOKUP('Données projet'!$B$11,Paramètres!$A$1:$I$88,3,0)*0.475*44/12</f>
        <v>9.9684562054973913</v>
      </c>
      <c r="BS27" s="22">
        <f t="shared" si="9"/>
        <v>9.9684562054973913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12.2</v>
      </c>
      <c r="BY27" s="12">
        <f>IF('Données projet'!$A$114&gt;35,BY26+BX27-CG26,IF(A27&lt;'Données projet'!$A$114,$BV$205^A27,IF(A27='Données projet'!$A$114,'Données projet'!$B$114,BY26+BX27-CG26)))</f>
        <v>100.80000000000001</v>
      </c>
      <c r="BZ27" s="13">
        <f>BY27*VLOOKUP('Données projet'!$B$12,Paramètres!$A$1:$I$88,3,0)*VLOOKUP('Données projet'!$B$12,Paramètres!$A$1:$I$88,5,0)</f>
        <v>66.044160000000005</v>
      </c>
      <c r="CA27" s="13">
        <f t="shared" si="39"/>
        <v>18.687781995248802</v>
      </c>
      <c r="CB27" s="20">
        <f t="shared" si="10"/>
        <v>147.57479897505831</v>
      </c>
      <c r="CC27" s="59">
        <f t="shared" si="11"/>
        <v>433.57479897505834</v>
      </c>
      <c r="CD27" s="59">
        <f ca="1">AVERAGE(OFFSET($CC$3,0,0,'Données projet'!$E$12+1,1))-AVERAGE(OFFSET($H$3,0,0,'Données projet'!$E$12+1,1))</f>
        <v>180.90147430936133</v>
      </c>
      <c r="CE27" s="59">
        <f t="shared" si="40"/>
        <v>226.87949199830018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projet'!$B$12,Paramètres!$A$1:$I$88,7,0))</f>
        <v>0</v>
      </c>
      <c r="CI27" s="16">
        <f>IF(ISNA(VLOOKUP(A27,'Données projet'!$A$113:$I$133,6,0)),0%,VLOOKUP(A27,'Données projet'!$A$113:$I$133,6,0)*VLOOKUP('Données projet'!$B$12,Paramètres!$A$1:$I$88,7,0))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projet'!$B$12,Paramètres!$A$1:$I$88,3,0)*0.475*44/12</f>
        <v>0</v>
      </c>
      <c r="CL27" s="21">
        <f>EXP(-LN(2)/25)*CL26+(1-EXP(-LN(2)/25))/(LN(2)/25)*Calculateur!CG27*Calculateur!CI27*VLOOKUP('Données projet'!$B$12,Paramètres!$A$1:$I$88,3,0)*0.475*44/12</f>
        <v>2.9848311027550549</v>
      </c>
      <c r="CM27" s="21">
        <f>EXP(-LN(2)/2)*CM26+(1-EXP(-LN(2)/2))/(LN(2)/2)*CG27*CJ27*VLOOKUP('Données projet'!$B$12,Paramètres!$A$1:$I$88,3,0)*0.475*44/12</f>
        <v>1.661409367582898</v>
      </c>
      <c r="CN27" s="22">
        <f t="shared" si="12"/>
        <v>4.6462404703379532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8.8000000000000007</v>
      </c>
      <c r="CT27" s="12">
        <f>IF('Données projet'!$A$140&gt;35,CT26+CS27-DB26,IF(A27&lt;'Données projet'!$A$140,$CQ$205^A27,IF(A27='Données projet'!$A$140,'Données projet'!$B$140,CT26+CS27-DB26)))</f>
        <v>294.20000000000005</v>
      </c>
      <c r="CU27" s="17">
        <f>CT27*VLOOKUP('Données projet'!$B$13,Paramètres!$A$1:$I$88,3,0)*VLOOKUP('Données projet'!$B$13,Paramètres!$A$1:$I$88,5,0)</f>
        <v>149.61835200000002</v>
      </c>
      <c r="CV27" s="13">
        <f t="shared" si="41"/>
        <v>38.491841888126849</v>
      </c>
      <c r="CW27" s="20">
        <f t="shared" si="13"/>
        <v>327.62525435515425</v>
      </c>
      <c r="CX27" s="59">
        <f t="shared" si="14"/>
        <v>613.62525435515431</v>
      </c>
      <c r="CY27" s="59">
        <f ca="1">AVERAGE(OFFSET($CX$3,0,0,'Données projet'!$E$13+1,1))-AVERAGE(OFFSET($H$3,0,0,'Données projet'!$E$13+1,1))</f>
        <v>133.08385802816008</v>
      </c>
      <c r="CZ27" s="59">
        <f t="shared" si="42"/>
        <v>316.59112511251385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projet'!$B$13,Paramètres!$A$1:$I$88,7,0))</f>
        <v>0</v>
      </c>
      <c r="DD27" s="16">
        <f>IF(ISNA(VLOOKUP(A27,'Données projet'!$A$139:$I$159,6,0)),0%,VLOOKUP(A27,'Données projet'!$A$139:$I$159,6,0)*VLOOKUP('Données projet'!$B$13,Paramètres!$A$1:$I$88,7,0))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projet'!$B$13,Paramètres!$A$1:$I$88,3,0)*0.475*44/12</f>
        <v>0</v>
      </c>
      <c r="DG27" s="21">
        <f>EXP(-LN(2)/25)*DG26+(1-EXP(-LN(2)/25))/(LN(2)/25)*Calculateur!DB27*Calculateur!DD27*VLOOKUP('Données projet'!$B$13,Paramètres!$A$1:$I$88,3,0)*0.475*44/12</f>
        <v>0</v>
      </c>
      <c r="DH27" s="21">
        <f>EXP(-LN(2)/2)*DH26+(1-EXP(-LN(2)/2))/(LN(2)/2)*DB27*DE27*VLOOKUP('Données projet'!$B$13,Paramètres!$A$1:$I$88,3,0)*0.475*44/12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projet'!$B$14,Paramètres!$A$1:$I$88,3,0)*VLOOKUP('Données projet'!$B$14,Paramètres!$A$1:$I$88,5,0)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projet'!$B$14,Paramètres!$A$1:$I$88,7,0))</f>
        <v>0</v>
      </c>
      <c r="DY27" s="16">
        <f>IF(ISNA(VLOOKUP(A27,'Données projet'!$A$165:$I$185,6,0)),0%,VLOOKUP(A27,'Données projet'!$A$165:$I$185,6,0)*VLOOKUP('Données projet'!$B$14,Paramètres!$A$1:$I$88,7,0))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projet'!$B$14,Paramètres!$A$1:$I$88,3,0)*0.475*44/12</f>
        <v>#N/A</v>
      </c>
      <c r="EB27" s="21" t="e">
        <f>EXP(-LN(2)/25)*EB26+(1-EXP(-LN(2)/25))/(LN(2)/25)*Calculateur!DW27*Calculateur!DY27*VLOOKUP('Données projet'!$B$14,Paramètres!$A$1:$I$88,3,0)*0.475*44/12</f>
        <v>#N/A</v>
      </c>
      <c r="EC27" s="21" t="e">
        <f>EXP(-LN(2)/2)*EC26+(1-EXP(-LN(2)/2))/(LN(2)/2)*DW27*DZ27*VLOOKUP('Données projet'!$B$14,Paramètres!$A$1:$I$88,3,0)*0.475*44/12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projet'!$B$15,Paramètres!$A$1:$I$88,3,0)*VLOOKUP('Données projet'!$B$15,Paramètres!$A$1:$I$88,5,0)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projet'!$B$15,Paramètres!$A$1:$I$88,7,0))</f>
        <v>0</v>
      </c>
      <c r="ET27" s="16">
        <f>IF(ISNA(VLOOKUP(A27,'Données projet'!$A$191:$I$211,6,0)),0%,VLOOKUP(A27,'Données projet'!$A$191:$I$211,6,0)*VLOOKUP('Données projet'!$B$15,Paramètres!$A$1:$I$88,7,0))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projet'!$B$15,Paramètres!$A$1:$I$88,3,0)*0.475*44/12</f>
        <v>#N/A</v>
      </c>
      <c r="EW27" s="21" t="e">
        <f>EXP(-LN(2)/25)*EW26+(1-EXP(-LN(2)/25))/(LN(2)/25)*Calculateur!ER27*Calculateur!ET27*VLOOKUP('Données projet'!$B$15,Paramètres!$A$1:$I$88,3,0)*0.475*44/12</f>
        <v>#N/A</v>
      </c>
      <c r="EX27" s="21" t="e">
        <f>EXP(-LN(2)/2)*EX26+(1-EXP(-LN(2)/2))/(LN(2)/2)*ER27*EU27*VLOOKUP('Données projet'!$B$15,Paramètres!$A$1:$I$88,3,0)*0.475*44/12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projet'!$B$16,Paramètres!$A$1:$I$88,3,0)*VLOOKUP('Données projet'!$B$16,Paramètres!$A$1:$I$88,5,0)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projet'!$B$16,Paramètres!$A$1:$I$88,7,0))</f>
        <v>0</v>
      </c>
      <c r="FO27" s="16">
        <f>IF(ISNA(VLOOKUP(A27,'Données projet'!$A$217:$I$237,6,0)),0%,VLOOKUP(A27,'Données projet'!$A$217:$I$237,6,0)*VLOOKUP('Données projet'!$B$16,Paramètres!$A$1:$I$88,7,0))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projet'!$B$16,Paramètres!$A$1:$I$88,3,0)*0.475*44/12</f>
        <v>#N/A</v>
      </c>
      <c r="FR27" s="21" t="e">
        <f>EXP(-LN(2)/25)*FR26+(1-EXP(-LN(2)/25))/(LN(2)/25)*Calculateur!FM27*Calculateur!FO27*VLOOKUP('Données projet'!$B$16,Paramètres!$A$1:$I$88,3,0)*0.475*44/12</f>
        <v>#N/A</v>
      </c>
      <c r="FS27" s="21" t="e">
        <f>EXP(-LN(2)/2)*FS26+(1-EXP(-LN(2)/2))/(LN(2)/2)*FM27*FP27*VLOOKUP('Données projet'!$B$16,Paramètres!$A$1:$I$88,3,0)*0.475*44/12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projet'!$B$17,Paramètres!$A$1:$I$88,3,0)*VLOOKUP('Données projet'!$B$17,Paramètres!$A$1:$I$88,5,0)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projet'!$B$17,Paramètres!$A$1:$I$88,7,0))</f>
        <v>0</v>
      </c>
      <c r="GJ27" s="16">
        <f>IF(ISNA(VLOOKUP(A27,'Données projet'!$A$243:$I$263,6,0)),0%,VLOOKUP(A27,'Données projet'!$A$243:$I$263,6,0)*VLOOKUP('Données projet'!$B$17,Paramètres!$A$1:$I$88,7,0))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projet'!$B$17,Paramètres!$A$1:$I$88,3,0)*0.475*44/12</f>
        <v>#N/A</v>
      </c>
      <c r="GM27" s="21" t="e">
        <f>EXP(-LN(2)/25)*GM26+(1-EXP(-LN(2)/25))/(LN(2)/25)*Calculateur!GH27*Calculateur!GJ27*VLOOKUP('Données projet'!$B$17,Paramètres!$A$1:$I$88,3,0)*0.475*44/12</f>
        <v>#N/A</v>
      </c>
      <c r="GN27" s="21" t="e">
        <f>EXP(-LN(2)/2)*GN26+(1-EXP(-LN(2)/2))/(LN(2)/2)*GH27*GK27*VLOOKUP('Données projet'!$B$17,Paramètres!$A$1:$I$88,3,0)*0.475*44/12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projet'!$B$18,Paramètres!$A$1:$I$88,3,0)*VLOOKUP('Données projet'!$B$18,Paramètres!$A$1:$I$88,5,0)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projet'!$B$18,Paramètres!$A$1:$I$88,7,0))</f>
        <v>0</v>
      </c>
      <c r="HE27" s="16">
        <f>IF(ISNA(VLOOKUP(A27,'Données projet'!$A$269:$I$289,6,0)),0%,VLOOKUP(A27,'Données projet'!$A$269:$I$289,6,0)*VLOOKUP('Données projet'!$B$18,Paramètres!$A$1:$I$88,7,0))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projet'!$B$18,Paramètres!$A$1:$I$88,3,0)*0.475*44/12</f>
        <v>#N/A</v>
      </c>
      <c r="HH27" s="21" t="e">
        <f>EXP(-LN(2)/25)*HH26+(1-EXP(-LN(2)/25))/(LN(2)/25)*Calculateur!HC27*Calculateur!HE27*VLOOKUP('Données projet'!$B$18,Paramètres!$A$1:$I$88,3,0)*0.475*44/12</f>
        <v>#N/A</v>
      </c>
      <c r="HI27" s="21" t="e">
        <f>EXP(-LN(2)/2)*HI26+(1-EXP(-LN(2)/2))/(LN(2)/2)*HC27*HF27*VLOOKUP('Données projet'!$B$18,Paramètres!$A$1:$I$88,3,0)*0.475*44/12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</v>
      </c>
      <c r="N28" s="13">
        <f>IF('Données projet'!$A$36&gt;35,N27+M28-V27,IF(A28&lt;'Données projet'!$A$36,$K$205^A28,IF(A28='Données projet'!$A$36,'Données projet'!$B$36,N27+M28-V27)))</f>
        <v>142</v>
      </c>
      <c r="O28" s="13">
        <f>N28*VLOOKUP('Données projet'!$B$9,Paramètres!$A$1:$I$88,3,0)*VLOOKUP('Données projet'!$B$9,Paramètres!$A$1:$I$88,5,0)</f>
        <v>84.916000000000011</v>
      </c>
      <c r="P28" s="13">
        <f t="shared" si="33"/>
        <v>23.33496813320572</v>
      </c>
      <c r="Q28" s="20">
        <f t="shared" si="2"/>
        <v>188.53710283199996</v>
      </c>
      <c r="R28" s="59">
        <f t="shared" si="0"/>
        <v>475.75932505422219</v>
      </c>
      <c r="S28" s="59">
        <f ca="1">AVERAGE(OFFSET($R$3,0,0,'Données projet'!$E$9+1,1))-AVERAGE(OFFSET($H$3,0,0,'Données projet'!$E$9+1,1))</f>
        <v>195.73441209602686</v>
      </c>
      <c r="T28" s="59">
        <f t="shared" si="34"/>
        <v>219.19129224309006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projet'!$B$9,Paramètres!$A$1:$I$88,7,0))</f>
        <v>0</v>
      </c>
      <c r="X28" s="16">
        <f>IF(ISNA(VLOOKUP(A28,'Données projet'!$A$35:$I$55,6,0)),0%,VLOOKUP(A28,'Données projet'!$A$35:$I$55,6,0)*VLOOKUP('Données projet'!$B$9,Paramètres!$A$1:$I$88,7,0))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projet'!$B$9,Paramètres!$A$1:$I$88,3,0)*0.475*44/12</f>
        <v>7.5586021937396994</v>
      </c>
      <c r="AA28" s="21">
        <f>EXP(-LN(2)/25)*AA27+(1-EXP(-LN(2)/25))/(LN(2)/25)*Calculateur!V28*Calculateur!X28*VLOOKUP('Données projet'!$B$9,Paramètres!$A$1:$I$88,3,0)*0.475*44/12</f>
        <v>12.205526233214879</v>
      </c>
      <c r="AB28" s="21">
        <f>EXP(-LN(2)/2)*AB27+(1-EXP(-LN(2)/2))/(LN(2)/2)*V28*Y28*VLOOKUP('Données projet'!$B$9,Paramètres!$A$1:$I$88,3,0)*0.475*44/12</f>
        <v>0.22442074828345995</v>
      </c>
      <c r="AC28" s="22">
        <f t="shared" si="3"/>
        <v>19.988549175238038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13</v>
      </c>
      <c r="AI28" s="13">
        <f>IF('Données projet'!$A$62&gt;35,AI27+AH28-AQ27,IF(A28&lt;'Données projet'!$A$62,$AF$205^A28,IF(A28='Données projet'!$A$62,'Données projet'!$B$62,AI27+AH28-AQ27)))</f>
        <v>153</v>
      </c>
      <c r="AJ28" s="13">
        <f>AI28*VLOOKUP('Données projet'!$B$10,Paramètres!$A$1:$I$88,3,0)*VLOOKUP('Données projet'!$B$10,Paramètres!$A$1:$I$88,5,0)</f>
        <v>91.494000000000014</v>
      </c>
      <c r="AK28" s="13">
        <f t="shared" si="35"/>
        <v>24.925195840896542</v>
      </c>
      <c r="AL28" s="20">
        <f t="shared" si="4"/>
        <v>202.76343275622813</v>
      </c>
      <c r="AM28" s="59">
        <f t="shared" si="5"/>
        <v>489.98565497845038</v>
      </c>
      <c r="AN28" s="59">
        <f ca="1">AVERAGE(OFFSET($AM$3,0,0,'Données projet'!$E$10+1,1))-AVERAGE(OFFSET($H$3,0,0,'Données projet'!$E$10+1,1))</f>
        <v>246.59447135626942</v>
      </c>
      <c r="AO28" s="59">
        <f t="shared" si="36"/>
        <v>262.00382544285367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projet'!$B$10,Paramètres!$A$1:$I$88,7,0))</f>
        <v>0</v>
      </c>
      <c r="AS28" s="16">
        <f>IF(ISNA(VLOOKUP(A28,'Données projet'!$A$61:$I$81,6,0)),0%,VLOOKUP(A28,'Données projet'!$A$61:$I$81,6,0)*VLOOKUP('Données projet'!$B$10,Paramètres!$A$1:$I$88,7,0))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projet'!$B$10,Paramètres!$A$1:$I$88,3,0)*0.475*44/12</f>
        <v>0</v>
      </c>
      <c r="AV28" s="21">
        <f>EXP(-LN(2)/25)*AV27+(1-EXP(-LN(2)/25))/(LN(2)/25)*Calculateur!AQ28*Calculateur!AS28*VLOOKUP('Données projet'!$B$10,Paramètres!$A$1:$I$88,3,0)*0.475*44/12</f>
        <v>0.4643163277694104</v>
      </c>
      <c r="AW28" s="21">
        <f>EXP(-LN(2)/2)*AW27+(1-EXP(-LN(2)/2))/(LN(2)/2)*AQ28*AT28*VLOOKUP('Données projet'!$B$10,Paramètres!$A$1:$I$88,3,0)*0.475*44/12</f>
        <v>0.17953659862676799</v>
      </c>
      <c r="AX28" s="21">
        <f t="shared" si="6"/>
        <v>0.64385292639617842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22.2</v>
      </c>
      <c r="BD28" s="12">
        <f>IF('Données projet'!$A$88&gt;35,BD27+BC28-BL27,IF(A28&lt;'Données projet'!$A$88,$BA$205^A28,IF(A28='Données projet'!$A$88,'Données projet'!$B$88,BD27+BC28-BL27)))</f>
        <v>209.99999999999994</v>
      </c>
      <c r="BE28" s="13">
        <f>BD28*VLOOKUP('Données projet'!$B$11,Paramètres!$A$1:$I$88,3,0)*VLOOKUP('Données projet'!$B$11,Paramètres!$A$1:$I$88,5,0)</f>
        <v>117.38999999999996</v>
      </c>
      <c r="BF28" s="13">
        <f t="shared" si="37"/>
        <v>31.065482772413461</v>
      </c>
      <c r="BG28" s="20">
        <f t="shared" si="7"/>
        <v>258.55996582862002</v>
      </c>
      <c r="BH28" s="59">
        <f t="shared" si="8"/>
        <v>545.78218805084225</v>
      </c>
      <c r="BI28" s="59">
        <f ca="1">AVERAGE(OFFSET($BH$3,0,0,'Données projet'!$E$11+1,1))-AVERAGE(OFFSET($H$3,0,0,'Données projet'!$E$11+1,1))</f>
        <v>355.96253323046608</v>
      </c>
      <c r="BJ28" s="59">
        <f t="shared" si="38"/>
        <v>366.8380442809696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projet'!$B$11,Paramètres!$A$1:$I$88,7,0))</f>
        <v>0</v>
      </c>
      <c r="BN28" s="16">
        <f>IF(ISNA(VLOOKUP(A28,'Données projet'!$A$87:$I$107,6,0)),0%,VLOOKUP(A28,'Données projet'!$A$87:$I$107,6,0)*VLOOKUP('Données projet'!$B$11,Paramètres!$A$1:$I$88,7,0))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projet'!$B$11,Paramètres!$A$1:$I$88,3,0)*0.475*44/12</f>
        <v>0</v>
      </c>
      <c r="BQ28" s="21">
        <f>EXP(-LN(2)/25)*BQ27+(1-EXP(-LN(2)/25))/(LN(2)/25)*Calculateur!BL28*Calculateur!BN28*VLOOKUP('Données projet'!$B$11,Paramètres!$A$1:$I$88,3,0)*0.475*44/12</f>
        <v>0</v>
      </c>
      <c r="BR28" s="21">
        <f>EXP(-LN(2)/2)*BR27+(1-EXP(-LN(2)/2))/(LN(2)/2)*BL28*BO28*VLOOKUP('Données projet'!$B$11,Paramètres!$A$1:$I$88,3,0)*0.475*44/12</f>
        <v>7.0487629808683261</v>
      </c>
      <c r="BS28" s="22">
        <f t="shared" si="9"/>
        <v>7.0487629808683261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12.2</v>
      </c>
      <c r="BY28" s="12">
        <f>IF('Données projet'!$A$114&gt;35,BY27+BX28-CG27,IF(A28&lt;'Données projet'!$A$114,$BV$205^A28,IF(A28='Données projet'!$A$114,'Données projet'!$B$114,BY27+BX28-CG27)))</f>
        <v>113.00000000000001</v>
      </c>
      <c r="BZ28" s="13">
        <f>BY28*VLOOKUP('Données projet'!$B$12,Paramètres!$A$1:$I$88,3,0)*VLOOKUP('Données projet'!$B$12,Paramètres!$A$1:$I$88,5,0)</f>
        <v>74.037599999999998</v>
      </c>
      <c r="CA28" s="13">
        <f t="shared" si="39"/>
        <v>20.67284010765167</v>
      </c>
      <c r="CB28" s="20">
        <f t="shared" si="10"/>
        <v>164.95401652082663</v>
      </c>
      <c r="CC28" s="59">
        <f t="shared" si="11"/>
        <v>452.17623874304888</v>
      </c>
      <c r="CD28" s="59">
        <f ca="1">AVERAGE(OFFSET($CC$3,0,0,'Données projet'!$E$12+1,1))-AVERAGE(OFFSET($H$3,0,0,'Données projet'!$E$12+1,1))</f>
        <v>180.90147430936133</v>
      </c>
      <c r="CE28" s="59">
        <f t="shared" si="40"/>
        <v>226.87949199830018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projet'!$B$12,Paramètres!$A$1:$I$88,7,0))</f>
        <v>0</v>
      </c>
      <c r="CI28" s="16">
        <f>IF(ISNA(VLOOKUP(A28,'Données projet'!$A$113:$I$133,6,0)),0%,VLOOKUP(A28,'Données projet'!$A$113:$I$133,6,0)*VLOOKUP('Données projet'!$B$12,Paramètres!$A$1:$I$88,7,0))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projet'!$B$12,Paramètres!$A$1:$I$88,3,0)*0.475*44/12</f>
        <v>0</v>
      </c>
      <c r="CL28" s="21">
        <f>EXP(-LN(2)/25)*CL27+(1-EXP(-LN(2)/25))/(LN(2)/25)*Calculateur!CG28*Calculateur!CI28*VLOOKUP('Données projet'!$B$12,Paramètres!$A$1:$I$88,3,0)*0.475*44/12</f>
        <v>2.9032107392847721</v>
      </c>
      <c r="CM28" s="21">
        <f>EXP(-LN(2)/2)*CM27+(1-EXP(-LN(2)/2))/(LN(2)/2)*CG28*CJ28*VLOOKUP('Données projet'!$B$12,Paramètres!$A$1:$I$88,3,0)*0.475*44/12</f>
        <v>1.1747938301447207</v>
      </c>
      <c r="CN28" s="22">
        <f t="shared" si="12"/>
        <v>4.0780045694294929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303</v>
      </c>
      <c r="CR28" s="12">
        <f>VLOOKUP(A28,'Données projet'!$A$139:$I$159,9,0)</f>
        <v>8.8000000000000007</v>
      </c>
      <c r="CS28" s="12">
        <f t="array" ref="CS28">INDEX(CR:CR,MIN(IF(ISNUMBER(CR28:CR224),ROW(CR28:CR224),"")))</f>
        <v>8.8000000000000007</v>
      </c>
      <c r="CT28" s="12">
        <f>IF('Données projet'!$A$140&gt;35,CT27+CS28-DB27,IF(A28&lt;'Données projet'!$A$140,$CQ$205^A28,IF(A28='Données projet'!$A$140,'Données projet'!$B$140,CT27+CS28-DB27)))</f>
        <v>303.00000000000006</v>
      </c>
      <c r="CU28" s="17">
        <f>CT28*VLOOKUP('Données projet'!$B$13,Paramètres!$A$1:$I$88,3,0)*VLOOKUP('Données projet'!$B$13,Paramètres!$A$1:$I$88,5,0)</f>
        <v>154.09368000000003</v>
      </c>
      <c r="CV28" s="13">
        <f t="shared" si="41"/>
        <v>39.507426238798999</v>
      </c>
      <c r="CW28" s="20">
        <f t="shared" si="13"/>
        <v>337.18859336590833</v>
      </c>
      <c r="CX28" s="59">
        <f t="shared" si="14"/>
        <v>624.41081558813062</v>
      </c>
      <c r="CY28" s="59">
        <f ca="1">AVERAGE(OFFSET($CX$3,0,0,'Données projet'!$E$13+1,1))-AVERAGE(OFFSET($H$3,0,0,'Données projet'!$E$13+1,1))</f>
        <v>133.08385802816008</v>
      </c>
      <c r="CZ28" s="59">
        <f t="shared" si="42"/>
        <v>316.59112511251385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303</v>
      </c>
      <c r="DC28" s="16">
        <f>IF(ISNA(VLOOKUP(A28,'Données projet'!$A$139:$I$159,5,0)),0%,VLOOKUP(A28,'Données projet'!$A$139:$I$159,5,0)*VLOOKUP('Données projet'!$B$13,Paramètres!$A$1:$I$88,7,0))</f>
        <v>0.46799999999999997</v>
      </c>
      <c r="DD28" s="16">
        <f>IF(ISNA(VLOOKUP(A28,'Données projet'!$A$139:$I$159,6,0)),0%,VLOOKUP(A28,'Données projet'!$A$139:$I$159,6,0)*VLOOKUP('Données projet'!$B$13,Paramètres!$A$1:$I$88,7,0))</f>
        <v>0</v>
      </c>
      <c r="DE28" s="16">
        <f>IF(ISNA(VLOOKUP(A28,'Données projet'!$A$139:$I$159,7,0)),0%,VLOOKUP(A28,'Données projet'!$A$139:$I$159,7,0))</f>
        <v>0.22</v>
      </c>
      <c r="DF28" s="21">
        <f>EXP(-LN(2)/35)*DF27+(1-EXP(-LN(2)/35))/(LN(2)/35)*DB28*DC28*VLOOKUP('Données projet'!$B$13,Paramètres!$A$1:$I$88,3,0)*0.475*44/12</f>
        <v>79.72192749139117</v>
      </c>
      <c r="DG28" s="21">
        <f>EXP(-LN(2)/25)*DG27+(1-EXP(-LN(2)/25))/(LN(2)/25)*Calculateur!DB28*Calculateur!DD28*VLOOKUP('Données projet'!$B$13,Paramètres!$A$1:$I$88,3,0)*0.475*44/12</f>
        <v>0</v>
      </c>
      <c r="DH28" s="21">
        <f>EXP(-LN(2)/2)*DH27+(1-EXP(-LN(2)/2))/(LN(2)/2)*DB28*DE28*VLOOKUP('Données projet'!$B$13,Paramètres!$A$1:$I$88,3,0)*0.475*44/12</f>
        <v>31.986137579129799</v>
      </c>
      <c r="DI28" s="22">
        <f t="shared" si="15"/>
        <v>111.70806507052097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projet'!$B$14,Paramètres!$A$1:$I$88,3,0)*VLOOKUP('Données projet'!$B$14,Paramètres!$A$1:$I$88,5,0)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projet'!$B$14,Paramètres!$A$1:$I$88,7,0))</f>
        <v>0</v>
      </c>
      <c r="DY28" s="16">
        <f>IF(ISNA(VLOOKUP(A28,'Données projet'!$A$165:$I$185,6,0)),0%,VLOOKUP(A28,'Données projet'!$A$165:$I$185,6,0)*VLOOKUP('Données projet'!$B$14,Paramètres!$A$1:$I$88,7,0))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projet'!$B$14,Paramètres!$A$1:$I$88,3,0)*0.475*44/12</f>
        <v>#N/A</v>
      </c>
      <c r="EB28" s="21" t="e">
        <f>EXP(-LN(2)/25)*EB27+(1-EXP(-LN(2)/25))/(LN(2)/25)*Calculateur!DW28*Calculateur!DY28*VLOOKUP('Données projet'!$B$14,Paramètres!$A$1:$I$88,3,0)*0.475*44/12</f>
        <v>#N/A</v>
      </c>
      <c r="EC28" s="21" t="e">
        <f>EXP(-LN(2)/2)*EC27+(1-EXP(-LN(2)/2))/(LN(2)/2)*DW28*DZ28*VLOOKUP('Données projet'!$B$14,Paramètres!$A$1:$I$88,3,0)*0.475*44/12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projet'!$B$15,Paramètres!$A$1:$I$88,3,0)*VLOOKUP('Données projet'!$B$15,Paramètres!$A$1:$I$88,5,0)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projet'!$B$15,Paramètres!$A$1:$I$88,7,0))</f>
        <v>0</v>
      </c>
      <c r="ET28" s="16">
        <f>IF(ISNA(VLOOKUP(A28,'Données projet'!$A$191:$I$211,6,0)),0%,VLOOKUP(A28,'Données projet'!$A$191:$I$211,6,0)*VLOOKUP('Données projet'!$B$15,Paramètres!$A$1:$I$88,7,0))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projet'!$B$15,Paramètres!$A$1:$I$88,3,0)*0.475*44/12</f>
        <v>#N/A</v>
      </c>
      <c r="EW28" s="21" t="e">
        <f>EXP(-LN(2)/25)*EW27+(1-EXP(-LN(2)/25))/(LN(2)/25)*Calculateur!ER28*Calculateur!ET28*VLOOKUP('Données projet'!$B$15,Paramètres!$A$1:$I$88,3,0)*0.475*44/12</f>
        <v>#N/A</v>
      </c>
      <c r="EX28" s="21" t="e">
        <f>EXP(-LN(2)/2)*EX27+(1-EXP(-LN(2)/2))/(LN(2)/2)*ER28*EU28*VLOOKUP('Données projet'!$B$15,Paramètres!$A$1:$I$88,3,0)*0.475*44/12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projet'!$B$16,Paramètres!$A$1:$I$88,3,0)*VLOOKUP('Données projet'!$B$16,Paramètres!$A$1:$I$88,5,0)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projet'!$B$16,Paramètres!$A$1:$I$88,7,0))</f>
        <v>0</v>
      </c>
      <c r="FO28" s="16">
        <f>IF(ISNA(VLOOKUP(A28,'Données projet'!$A$217:$I$237,6,0)),0%,VLOOKUP(A28,'Données projet'!$A$217:$I$237,6,0)*VLOOKUP('Données projet'!$B$16,Paramètres!$A$1:$I$88,7,0))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projet'!$B$16,Paramètres!$A$1:$I$88,3,0)*0.475*44/12</f>
        <v>#N/A</v>
      </c>
      <c r="FR28" s="21" t="e">
        <f>EXP(-LN(2)/25)*FR27+(1-EXP(-LN(2)/25))/(LN(2)/25)*Calculateur!FM28*Calculateur!FO28*VLOOKUP('Données projet'!$B$16,Paramètres!$A$1:$I$88,3,0)*0.475*44/12</f>
        <v>#N/A</v>
      </c>
      <c r="FS28" s="21" t="e">
        <f>EXP(-LN(2)/2)*FS27+(1-EXP(-LN(2)/2))/(LN(2)/2)*FM28*FP28*VLOOKUP('Données projet'!$B$16,Paramètres!$A$1:$I$88,3,0)*0.475*44/12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projet'!$B$17,Paramètres!$A$1:$I$88,3,0)*VLOOKUP('Données projet'!$B$17,Paramètres!$A$1:$I$88,5,0)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projet'!$B$17,Paramètres!$A$1:$I$88,7,0))</f>
        <v>0</v>
      </c>
      <c r="GJ28" s="16">
        <f>IF(ISNA(VLOOKUP(A28,'Données projet'!$A$243:$I$263,6,0)),0%,VLOOKUP(A28,'Données projet'!$A$243:$I$263,6,0)*VLOOKUP('Données projet'!$B$17,Paramètres!$A$1:$I$88,7,0))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projet'!$B$17,Paramètres!$A$1:$I$88,3,0)*0.475*44/12</f>
        <v>#N/A</v>
      </c>
      <c r="GM28" s="21" t="e">
        <f>EXP(-LN(2)/25)*GM27+(1-EXP(-LN(2)/25))/(LN(2)/25)*Calculateur!GH28*Calculateur!GJ28*VLOOKUP('Données projet'!$B$17,Paramètres!$A$1:$I$88,3,0)*0.475*44/12</f>
        <v>#N/A</v>
      </c>
      <c r="GN28" s="21" t="e">
        <f>EXP(-LN(2)/2)*GN27+(1-EXP(-LN(2)/2))/(LN(2)/2)*GH28*GK28*VLOOKUP('Données projet'!$B$17,Paramètres!$A$1:$I$88,3,0)*0.475*44/12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projet'!$B$18,Paramètres!$A$1:$I$88,3,0)*VLOOKUP('Données projet'!$B$18,Paramètres!$A$1:$I$88,5,0)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projet'!$B$18,Paramètres!$A$1:$I$88,7,0))</f>
        <v>0</v>
      </c>
      <c r="HE28" s="16">
        <f>IF(ISNA(VLOOKUP(A28,'Données projet'!$A$269:$I$289,6,0)),0%,VLOOKUP(A28,'Données projet'!$A$269:$I$289,6,0)*VLOOKUP('Données projet'!$B$18,Paramètres!$A$1:$I$88,7,0))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projet'!$B$18,Paramètres!$A$1:$I$88,3,0)*0.475*44/12</f>
        <v>#N/A</v>
      </c>
      <c r="HH28" s="21" t="e">
        <f>EXP(-LN(2)/25)*HH27+(1-EXP(-LN(2)/25))/(LN(2)/25)*Calculateur!HC28*Calculateur!HE28*VLOOKUP('Données projet'!$B$18,Paramètres!$A$1:$I$88,3,0)*0.475*44/12</f>
        <v>#N/A</v>
      </c>
      <c r="HI28" s="21" t="e">
        <f>EXP(-LN(2)/2)*HI27+(1-EXP(-LN(2)/2))/(LN(2)/2)*HC28*HF28*VLOOKUP('Données projet'!$B$18,Paramètres!$A$1:$I$88,3,0)*0.475*44/12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</v>
      </c>
      <c r="N29" s="13">
        <f>IF('Données projet'!$A$36&gt;35,N28+M29-V28,IF(A29&lt;'Données projet'!$A$36,$K$205^A29,IF(A29='Données projet'!$A$36,'Données projet'!$B$36,N28+M29-V28)))</f>
        <v>158</v>
      </c>
      <c r="O29" s="13">
        <f>N29*VLOOKUP('Données projet'!$B$9,Paramètres!$A$1:$I$88,3,0)*VLOOKUP('Données projet'!$B$9,Paramètres!$A$1:$I$88,5,0)</f>
        <v>94.484000000000009</v>
      </c>
      <c r="P29" s="13">
        <f t="shared" si="33"/>
        <v>25.643578691511802</v>
      </c>
      <c r="Q29" s="20">
        <f t="shared" si="2"/>
        <v>209.22219955438308</v>
      </c>
      <c r="R29" s="59">
        <f t="shared" si="0"/>
        <v>497.66664399882757</v>
      </c>
      <c r="S29" s="59">
        <f ca="1">AVERAGE(OFFSET($R$3,0,0,'Données projet'!$E$9+1,1))-AVERAGE(OFFSET($H$3,0,0,'Données projet'!$E$9+1,1))</f>
        <v>195.73441209602686</v>
      </c>
      <c r="T29" s="59">
        <f t="shared" si="34"/>
        <v>219.19129224309006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projet'!$B$9,Paramètres!$A$1:$I$88,7,0))</f>
        <v>0</v>
      </c>
      <c r="X29" s="16">
        <f>IF(ISNA(VLOOKUP(A29,'Données projet'!$A$35:$I$55,6,0)),0%,VLOOKUP(A29,'Données projet'!$A$35:$I$55,6,0)*VLOOKUP('Données projet'!$B$9,Paramètres!$A$1:$I$88,7,0))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projet'!$B$9,Paramètres!$A$1:$I$88,3,0)*0.475*44/12</f>
        <v>7.4103826150125736</v>
      </c>
      <c r="AA29" s="21">
        <f>EXP(-LN(2)/25)*AA28+(1-EXP(-LN(2)/25))/(LN(2)/25)*Calculateur!V29*Calculateur!X29*VLOOKUP('Données projet'!$B$9,Paramètres!$A$1:$I$88,3,0)*0.475*44/12</f>
        <v>11.871765476506891</v>
      </c>
      <c r="AB29" s="21">
        <f>EXP(-LN(2)/2)*AB28+(1-EXP(-LN(2)/2))/(LN(2)/2)*V29*Y29*VLOOKUP('Données projet'!$B$9,Paramètres!$A$1:$I$88,3,0)*0.475*44/12</f>
        <v>0.15868943295019378</v>
      </c>
      <c r="AC29" s="22">
        <f t="shared" si="3"/>
        <v>19.440837524469657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</v>
      </c>
      <c r="AI29" s="13">
        <f>IF('Données projet'!$A$62&gt;35,AI28+AH29-AQ28,IF(A29&lt;'Données projet'!$A$62,$AF$205^A29,IF(A29='Données projet'!$A$62,'Données projet'!$B$62,AI28+AH29-AQ28)))</f>
        <v>166</v>
      </c>
      <c r="AJ29" s="13">
        <f>AI29*VLOOKUP('Données projet'!$B$10,Paramètres!$A$1:$I$88,3,0)*VLOOKUP('Données projet'!$B$10,Paramètres!$A$1:$I$88,5,0)</f>
        <v>99.268000000000001</v>
      </c>
      <c r="AK29" s="13">
        <f t="shared" si="35"/>
        <v>26.78753414535981</v>
      </c>
      <c r="AL29" s="20">
        <f t="shared" si="4"/>
        <v>219.54672196983498</v>
      </c>
      <c r="AM29" s="59">
        <f t="shared" si="5"/>
        <v>507.99116641427941</v>
      </c>
      <c r="AN29" s="59">
        <f ca="1">AVERAGE(OFFSET($AM$3,0,0,'Données projet'!$E$10+1,1))-AVERAGE(OFFSET($H$3,0,0,'Données projet'!$E$10+1,1))</f>
        <v>246.59447135626942</v>
      </c>
      <c r="AO29" s="59">
        <f t="shared" si="36"/>
        <v>262.00382544285367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projet'!$B$10,Paramètres!$A$1:$I$88,7,0))</f>
        <v>0</v>
      </c>
      <c r="AS29" s="16">
        <f>IF(ISNA(VLOOKUP(A29,'Données projet'!$A$61:$I$81,6,0)),0%,VLOOKUP(A29,'Données projet'!$A$61:$I$81,6,0)*VLOOKUP('Données projet'!$B$10,Paramètres!$A$1:$I$88,7,0))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projet'!$B$10,Paramètres!$A$1:$I$88,3,0)*0.475*44/12</f>
        <v>0</v>
      </c>
      <c r="AV29" s="21">
        <f>EXP(-LN(2)/25)*AV28+(1-EXP(-LN(2)/25))/(LN(2)/25)*Calculateur!AQ29*Calculateur!AS29*VLOOKUP('Données projet'!$B$10,Paramètres!$A$1:$I$88,3,0)*0.475*44/12</f>
        <v>0.45161957336922143</v>
      </c>
      <c r="AW29" s="21">
        <f>EXP(-LN(2)/2)*AW28+(1-EXP(-LN(2)/2))/(LN(2)/2)*AQ29*AT29*VLOOKUP('Données projet'!$B$10,Paramètres!$A$1:$I$88,3,0)*0.475*44/12</f>
        <v>0.12695154636015504</v>
      </c>
      <c r="AX29" s="21">
        <f t="shared" si="6"/>
        <v>0.57857111972937647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22.2</v>
      </c>
      <c r="BD29" s="12">
        <f>IF('Données projet'!$A$88&gt;35,BD28+BC29-BL28,IF(A29&lt;'Données projet'!$A$88,$BA$205^A29,IF(A29='Données projet'!$A$88,'Données projet'!$B$88,BD28+BC29-BL28)))</f>
        <v>232.19999999999993</v>
      </c>
      <c r="BE29" s="13">
        <f>BD29*VLOOKUP('Données projet'!$B$11,Paramètres!$A$1:$I$88,3,0)*VLOOKUP('Données projet'!$B$11,Paramètres!$A$1:$I$88,5,0)</f>
        <v>129.79979999999998</v>
      </c>
      <c r="BF29" s="13">
        <f t="shared" si="37"/>
        <v>33.950094841766401</v>
      </c>
      <c r="BG29" s="20">
        <f t="shared" si="7"/>
        <v>285.19773351607643</v>
      </c>
      <c r="BH29" s="59">
        <f t="shared" si="8"/>
        <v>573.64217796052094</v>
      </c>
      <c r="BI29" s="59">
        <f ca="1">AVERAGE(OFFSET($BH$3,0,0,'Données projet'!$E$11+1,1))-AVERAGE(OFFSET($H$3,0,0,'Données projet'!$E$11+1,1))</f>
        <v>355.96253323046608</v>
      </c>
      <c r="BJ29" s="59">
        <f t="shared" si="38"/>
        <v>366.8380442809696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projet'!$B$11,Paramètres!$A$1:$I$88,7,0))</f>
        <v>0</v>
      </c>
      <c r="BN29" s="16">
        <f>IF(ISNA(VLOOKUP(A29,'Données projet'!$A$87:$I$107,6,0)),0%,VLOOKUP(A29,'Données projet'!$A$87:$I$107,6,0)*VLOOKUP('Données projet'!$B$11,Paramètres!$A$1:$I$88,7,0))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projet'!$B$11,Paramètres!$A$1:$I$88,3,0)*0.475*44/12</f>
        <v>0</v>
      </c>
      <c r="BQ29" s="21">
        <f>EXP(-LN(2)/25)*BQ28+(1-EXP(-LN(2)/25))/(LN(2)/25)*Calculateur!BL29*Calculateur!BN29*VLOOKUP('Données projet'!$B$11,Paramètres!$A$1:$I$88,3,0)*0.475*44/12</f>
        <v>0</v>
      </c>
      <c r="BR29" s="21">
        <f>EXP(-LN(2)/2)*BR28+(1-EXP(-LN(2)/2))/(LN(2)/2)*BL29*BO29*VLOOKUP('Données projet'!$B$11,Paramètres!$A$1:$I$88,3,0)*0.475*44/12</f>
        <v>4.9842281027486965</v>
      </c>
      <c r="BS29" s="22">
        <f t="shared" si="9"/>
        <v>4.9842281027486965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12.2</v>
      </c>
      <c r="BY29" s="12">
        <f>IF('Données projet'!$A$114&gt;35,BY28+BX29-CG28,IF(A29&lt;'Données projet'!$A$114,$BV$205^A29,IF(A29='Données projet'!$A$114,'Données projet'!$B$114,BY28+BX29-CG28)))</f>
        <v>125.20000000000002</v>
      </c>
      <c r="BZ29" s="13">
        <f>BY29*VLOOKUP('Données projet'!$B$12,Paramètres!$A$1:$I$88,3,0)*VLOOKUP('Données projet'!$B$12,Paramètres!$A$1:$I$88,5,0)</f>
        <v>82.031040000000004</v>
      </c>
      <c r="CA29" s="13">
        <f t="shared" si="39"/>
        <v>22.633057041397286</v>
      </c>
      <c r="CB29" s="20">
        <f t="shared" si="10"/>
        <v>182.28996901376695</v>
      </c>
      <c r="CC29" s="59">
        <f t="shared" si="11"/>
        <v>470.73441345821141</v>
      </c>
      <c r="CD29" s="59">
        <f ca="1">AVERAGE(OFFSET($CC$3,0,0,'Données projet'!$E$12+1,1))-AVERAGE(OFFSET($H$3,0,0,'Données projet'!$E$12+1,1))</f>
        <v>180.90147430936133</v>
      </c>
      <c r="CE29" s="59">
        <f t="shared" si="40"/>
        <v>226.87949199830018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projet'!$B$12,Paramètres!$A$1:$I$88,7,0))</f>
        <v>0</v>
      </c>
      <c r="CI29" s="16">
        <f>IF(ISNA(VLOOKUP(A29,'Données projet'!$A$113:$I$133,6,0)),0%,VLOOKUP(A29,'Données projet'!$A$113:$I$133,6,0)*VLOOKUP('Données projet'!$B$12,Paramètres!$A$1:$I$88,7,0))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projet'!$B$12,Paramètres!$A$1:$I$88,3,0)*0.475*44/12</f>
        <v>0</v>
      </c>
      <c r="CL29" s="21">
        <f>EXP(-LN(2)/25)*CL28+(1-EXP(-LN(2)/25))/(LN(2)/25)*Calculateur!CG29*Calculateur!CI29*VLOOKUP('Données projet'!$B$12,Paramètres!$A$1:$I$88,3,0)*0.475*44/12</f>
        <v>2.8238222889458124</v>
      </c>
      <c r="CM29" s="21">
        <f>EXP(-LN(2)/2)*CM28+(1-EXP(-LN(2)/2))/(LN(2)/2)*CG29*CJ29*VLOOKUP('Données projet'!$B$12,Paramètres!$A$1:$I$88,3,0)*0.475*44/12</f>
        <v>0.83070468379144913</v>
      </c>
      <c r="CN29" s="22">
        <f t="shared" si="12"/>
        <v>3.6545269727372616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5.6843418860808015E-14</v>
      </c>
      <c r="CU29" s="17">
        <f>CT29*VLOOKUP('Données projet'!$B$13,Paramètres!$A$1:$I$88,3,0)*VLOOKUP('Données projet'!$B$13,Paramètres!$A$1:$I$88,5,0)</f>
        <v>2.8908289095852525E-14</v>
      </c>
      <c r="CV29" s="13">
        <f t="shared" si="41"/>
        <v>5.0177780569126974E-13</v>
      </c>
      <c r="CW29" s="20">
        <f t="shared" si="13"/>
        <v>9.2427828175423786E-13</v>
      </c>
      <c r="CX29" s="59">
        <f t="shared" si="14"/>
        <v>288.44444444444537</v>
      </c>
      <c r="CY29" s="59">
        <f ca="1">AVERAGE(OFFSET($CX$3,0,0,'Données projet'!$E$13+1,1))-AVERAGE(OFFSET($H$3,0,0,'Données projet'!$E$13+1,1))</f>
        <v>133.08385802816008</v>
      </c>
      <c r="CZ29" s="59">
        <f t="shared" si="42"/>
        <v>316.59112511251385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projet'!$B$13,Paramètres!$A$1:$I$88,7,0))</f>
        <v>0</v>
      </c>
      <c r="DD29" s="16">
        <f>IF(ISNA(VLOOKUP(A29,'Données projet'!$A$139:$I$159,6,0)),0%,VLOOKUP(A29,'Données projet'!$A$139:$I$159,6,0)*VLOOKUP('Données projet'!$B$13,Paramètres!$A$1:$I$88,7,0))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projet'!$B$13,Paramètres!$A$1:$I$88,3,0)*0.475*44/12</f>
        <v>78.15862911885938</v>
      </c>
      <c r="DG29" s="21">
        <f>EXP(-LN(2)/25)*DG28+(1-EXP(-LN(2)/25))/(LN(2)/25)*Calculateur!DB29*Calculateur!DD29*VLOOKUP('Données projet'!$B$13,Paramètres!$A$1:$I$88,3,0)*0.475*44/12</f>
        <v>0</v>
      </c>
      <c r="DH29" s="21">
        <f>EXP(-LN(2)/2)*DH28+(1-EXP(-LN(2)/2))/(LN(2)/2)*DB29*DE29*VLOOKUP('Données projet'!$B$13,Paramètres!$A$1:$I$88,3,0)*0.475*44/12</f>
        <v>22.617614786168541</v>
      </c>
      <c r="DI29" s="22">
        <f t="shared" si="15"/>
        <v>100.77624390502793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projet'!$B$14,Paramètres!$A$1:$I$88,3,0)*VLOOKUP('Données projet'!$B$14,Paramètres!$A$1:$I$88,5,0)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projet'!$B$14,Paramètres!$A$1:$I$88,7,0))</f>
        <v>0</v>
      </c>
      <c r="DY29" s="16">
        <f>IF(ISNA(VLOOKUP(A29,'Données projet'!$A$165:$I$185,6,0)),0%,VLOOKUP(A29,'Données projet'!$A$165:$I$185,6,0)*VLOOKUP('Données projet'!$B$14,Paramètres!$A$1:$I$88,7,0))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projet'!$B$14,Paramètres!$A$1:$I$88,3,0)*0.475*44/12</f>
        <v>#N/A</v>
      </c>
      <c r="EB29" s="21" t="e">
        <f>EXP(-LN(2)/25)*EB28+(1-EXP(-LN(2)/25))/(LN(2)/25)*Calculateur!DW29*Calculateur!DY29*VLOOKUP('Données projet'!$B$14,Paramètres!$A$1:$I$88,3,0)*0.475*44/12</f>
        <v>#N/A</v>
      </c>
      <c r="EC29" s="21" t="e">
        <f>EXP(-LN(2)/2)*EC28+(1-EXP(-LN(2)/2))/(LN(2)/2)*DW29*DZ29*VLOOKUP('Données projet'!$B$14,Paramètres!$A$1:$I$88,3,0)*0.475*44/12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projet'!$B$15,Paramètres!$A$1:$I$88,3,0)*VLOOKUP('Données projet'!$B$15,Paramètres!$A$1:$I$88,5,0)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projet'!$B$15,Paramètres!$A$1:$I$88,7,0))</f>
        <v>0</v>
      </c>
      <c r="ET29" s="16">
        <f>IF(ISNA(VLOOKUP(A29,'Données projet'!$A$191:$I$211,6,0)),0%,VLOOKUP(A29,'Données projet'!$A$191:$I$211,6,0)*VLOOKUP('Données projet'!$B$15,Paramètres!$A$1:$I$88,7,0))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projet'!$B$15,Paramètres!$A$1:$I$88,3,0)*0.475*44/12</f>
        <v>#N/A</v>
      </c>
      <c r="EW29" s="21" t="e">
        <f>EXP(-LN(2)/25)*EW28+(1-EXP(-LN(2)/25))/(LN(2)/25)*Calculateur!ER29*Calculateur!ET29*VLOOKUP('Données projet'!$B$15,Paramètres!$A$1:$I$88,3,0)*0.475*44/12</f>
        <v>#N/A</v>
      </c>
      <c r="EX29" s="21" t="e">
        <f>EXP(-LN(2)/2)*EX28+(1-EXP(-LN(2)/2))/(LN(2)/2)*ER29*EU29*VLOOKUP('Données projet'!$B$15,Paramètres!$A$1:$I$88,3,0)*0.475*44/12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projet'!$B$16,Paramètres!$A$1:$I$88,3,0)*VLOOKUP('Données projet'!$B$16,Paramètres!$A$1:$I$88,5,0)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projet'!$B$16,Paramètres!$A$1:$I$88,7,0))</f>
        <v>0</v>
      </c>
      <c r="FO29" s="16">
        <f>IF(ISNA(VLOOKUP(A29,'Données projet'!$A$217:$I$237,6,0)),0%,VLOOKUP(A29,'Données projet'!$A$217:$I$237,6,0)*VLOOKUP('Données projet'!$B$16,Paramètres!$A$1:$I$88,7,0))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projet'!$B$16,Paramètres!$A$1:$I$88,3,0)*0.475*44/12</f>
        <v>#N/A</v>
      </c>
      <c r="FR29" s="21" t="e">
        <f>EXP(-LN(2)/25)*FR28+(1-EXP(-LN(2)/25))/(LN(2)/25)*Calculateur!FM29*Calculateur!FO29*VLOOKUP('Données projet'!$B$16,Paramètres!$A$1:$I$88,3,0)*0.475*44/12</f>
        <v>#N/A</v>
      </c>
      <c r="FS29" s="21" t="e">
        <f>EXP(-LN(2)/2)*FS28+(1-EXP(-LN(2)/2))/(LN(2)/2)*FM29*FP29*VLOOKUP('Données projet'!$B$16,Paramètres!$A$1:$I$88,3,0)*0.475*44/12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projet'!$B$17,Paramètres!$A$1:$I$88,3,0)*VLOOKUP('Données projet'!$B$17,Paramètres!$A$1:$I$88,5,0)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projet'!$B$17,Paramètres!$A$1:$I$88,7,0))</f>
        <v>0</v>
      </c>
      <c r="GJ29" s="16">
        <f>IF(ISNA(VLOOKUP(A29,'Données projet'!$A$243:$I$263,6,0)),0%,VLOOKUP(A29,'Données projet'!$A$243:$I$263,6,0)*VLOOKUP('Données projet'!$B$17,Paramètres!$A$1:$I$88,7,0))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projet'!$B$17,Paramètres!$A$1:$I$88,3,0)*0.475*44/12</f>
        <v>#N/A</v>
      </c>
      <c r="GM29" s="21" t="e">
        <f>EXP(-LN(2)/25)*GM28+(1-EXP(-LN(2)/25))/(LN(2)/25)*Calculateur!GH29*Calculateur!GJ29*VLOOKUP('Données projet'!$B$17,Paramètres!$A$1:$I$88,3,0)*0.475*44/12</f>
        <v>#N/A</v>
      </c>
      <c r="GN29" s="21" t="e">
        <f>EXP(-LN(2)/2)*GN28+(1-EXP(-LN(2)/2))/(LN(2)/2)*GH29*GK29*VLOOKUP('Données projet'!$B$17,Paramètres!$A$1:$I$88,3,0)*0.475*44/12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projet'!$B$18,Paramètres!$A$1:$I$88,3,0)*VLOOKUP('Données projet'!$B$18,Paramètres!$A$1:$I$88,5,0)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projet'!$B$18,Paramètres!$A$1:$I$88,7,0))</f>
        <v>0</v>
      </c>
      <c r="HE29" s="16">
        <f>IF(ISNA(VLOOKUP(A29,'Données projet'!$A$269:$I$289,6,0)),0%,VLOOKUP(A29,'Données projet'!$A$269:$I$289,6,0)*VLOOKUP('Données projet'!$B$18,Paramètres!$A$1:$I$88,7,0))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projet'!$B$18,Paramètres!$A$1:$I$88,3,0)*0.475*44/12</f>
        <v>#N/A</v>
      </c>
      <c r="HH29" s="21" t="e">
        <f>EXP(-LN(2)/25)*HH28+(1-EXP(-LN(2)/25))/(LN(2)/25)*Calculateur!HC29*Calculateur!HE29*VLOOKUP('Données projet'!$B$18,Paramètres!$A$1:$I$88,3,0)*0.475*44/12</f>
        <v>#N/A</v>
      </c>
      <c r="HI29" s="21" t="e">
        <f>EXP(-LN(2)/2)*HI28+(1-EXP(-LN(2)/2))/(LN(2)/2)*HC29*HF29*VLOOKUP('Données projet'!$B$18,Paramètres!$A$1:$I$88,3,0)*0.475*44/12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</v>
      </c>
      <c r="N30" s="13">
        <f>IF('Données projet'!$A$36&gt;35,N29+M30-V29,IF(A30&lt;'Données projet'!$A$36,$K$205^A30,IF(A30='Données projet'!$A$36,'Données projet'!$B$36,N29+M30-V29)))</f>
        <v>174</v>
      </c>
      <c r="O30" s="13">
        <f>N30*VLOOKUP('Données projet'!$B$9,Paramètres!$A$1:$I$88,3,0)*VLOOKUP('Données projet'!$B$9,Paramètres!$A$1:$I$88,5,0)</f>
        <v>104.05200000000001</v>
      </c>
      <c r="P30" s="13">
        <f t="shared" si="33"/>
        <v>27.925087771564417</v>
      </c>
      <c r="Q30" s="20">
        <f t="shared" si="2"/>
        <v>229.86009453547467</v>
      </c>
      <c r="R30" s="59">
        <f t="shared" si="0"/>
        <v>519.52676120214142</v>
      </c>
      <c r="S30" s="59">
        <f ca="1">AVERAGE(OFFSET($R$3,0,0,'Données projet'!$E$9+1,1))-AVERAGE(OFFSET($H$3,0,0,'Données projet'!$E$9+1,1))</f>
        <v>195.73441209602686</v>
      </c>
      <c r="T30" s="59">
        <f t="shared" si="34"/>
        <v>219.19129224309006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projet'!$B$9,Paramètres!$A$1:$I$88,7,0))</f>
        <v>0</v>
      </c>
      <c r="X30" s="16">
        <f>IF(ISNA(VLOOKUP(A30,'Données projet'!$A$35:$I$55,6,0)),0%,VLOOKUP(A30,'Données projet'!$A$35:$I$55,6,0)*VLOOKUP('Données projet'!$B$9,Paramètres!$A$1:$I$88,7,0))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projet'!$B$9,Paramètres!$A$1:$I$88,3,0)*0.475*44/12</f>
        <v>7.26506953181927</v>
      </c>
      <c r="AA30" s="21">
        <f>EXP(-LN(2)/25)*AA29+(1-EXP(-LN(2)/25))/(LN(2)/25)*Calculateur!V30*Calculateur!X30*VLOOKUP('Données projet'!$B$9,Paramètres!$A$1:$I$88,3,0)*0.475*44/12</f>
        <v>11.547131425242796</v>
      </c>
      <c r="AB30" s="21">
        <f>EXP(-LN(2)/2)*AB29+(1-EXP(-LN(2)/2))/(LN(2)/2)*V30*Y30*VLOOKUP('Données projet'!$B$9,Paramètres!$A$1:$I$88,3,0)*0.475*44/12</f>
        <v>0.11221037414172998</v>
      </c>
      <c r="AC30" s="22">
        <f t="shared" si="3"/>
        <v>18.924411331203796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</v>
      </c>
      <c r="AI30" s="13">
        <f>IF('Données projet'!$A$62&gt;35,AI29+AH30-AQ29,IF(A30&lt;'Données projet'!$A$62,$AF$205^A30,IF(A30='Données projet'!$A$62,'Données projet'!$B$62,AI29+AH30-AQ29)))</f>
        <v>179</v>
      </c>
      <c r="AJ30" s="13">
        <f>AI30*VLOOKUP('Données projet'!$B$10,Paramètres!$A$1:$I$88,3,0)*VLOOKUP('Données projet'!$B$10,Paramètres!$A$1:$I$88,5,0)</f>
        <v>107.042</v>
      </c>
      <c r="AK30" s="13">
        <f t="shared" si="35"/>
        <v>28.632954900548082</v>
      </c>
      <c r="AL30" s="20">
        <f t="shared" si="4"/>
        <v>236.30054645178791</v>
      </c>
      <c r="AM30" s="59">
        <f t="shared" si="5"/>
        <v>525.96721311845454</v>
      </c>
      <c r="AN30" s="59">
        <f ca="1">AVERAGE(OFFSET($AM$3,0,0,'Données projet'!$E$10+1,1))-AVERAGE(OFFSET($H$3,0,0,'Données projet'!$E$10+1,1))</f>
        <v>246.59447135626942</v>
      </c>
      <c r="AO30" s="59">
        <f t="shared" si="36"/>
        <v>262.00382544285367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projet'!$B$10,Paramètres!$A$1:$I$88,7,0))</f>
        <v>0</v>
      </c>
      <c r="AS30" s="16">
        <f>IF(ISNA(VLOOKUP(A30,'Données projet'!$A$61:$I$81,6,0)),0%,VLOOKUP(A30,'Données projet'!$A$61:$I$81,6,0)*VLOOKUP('Données projet'!$B$10,Paramètres!$A$1:$I$88,7,0))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projet'!$B$10,Paramètres!$A$1:$I$88,3,0)*0.475*44/12</f>
        <v>0</v>
      </c>
      <c r="AV30" s="21">
        <f>EXP(-LN(2)/25)*AV29+(1-EXP(-LN(2)/25))/(LN(2)/25)*Calculateur!AQ30*Calculateur!AS30*VLOOKUP('Données projet'!$B$10,Paramètres!$A$1:$I$88,3,0)*0.475*44/12</f>
        <v>0.43927001238579888</v>
      </c>
      <c r="AW30" s="21">
        <f>EXP(-LN(2)/2)*AW29+(1-EXP(-LN(2)/2))/(LN(2)/2)*AQ30*AT30*VLOOKUP('Données projet'!$B$10,Paramètres!$A$1:$I$88,3,0)*0.475*44/12</f>
        <v>8.9768299313383995E-2</v>
      </c>
      <c r="AX30" s="21">
        <f t="shared" si="6"/>
        <v>0.52903831169918292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22.2</v>
      </c>
      <c r="BD30" s="12">
        <f>IF('Données projet'!$A$88&gt;35,BD29+BC30-BL29,IF(A30&lt;'Données projet'!$A$88,$BA$205^A30,IF(A30='Données projet'!$A$88,'Données projet'!$B$88,BD29+BC30-BL29)))</f>
        <v>254.39999999999992</v>
      </c>
      <c r="BE30" s="13">
        <f>BD30*VLOOKUP('Données projet'!$B$11,Paramètres!$A$1:$I$88,3,0)*VLOOKUP('Données projet'!$B$11,Paramètres!$A$1:$I$88,5,0)</f>
        <v>142.20959999999997</v>
      </c>
      <c r="BF30" s="13">
        <f t="shared" si="37"/>
        <v>36.802731569585617</v>
      </c>
      <c r="BG30" s="20">
        <f t="shared" si="7"/>
        <v>311.77981081702814</v>
      </c>
      <c r="BH30" s="59">
        <f t="shared" si="8"/>
        <v>601.44647748369482</v>
      </c>
      <c r="BI30" s="59">
        <f ca="1">AVERAGE(OFFSET($BH$3,0,0,'Données projet'!$E$11+1,1))-AVERAGE(OFFSET($H$3,0,0,'Données projet'!$E$11+1,1))</f>
        <v>355.96253323046608</v>
      </c>
      <c r="BJ30" s="59">
        <f t="shared" si="38"/>
        <v>366.8380442809696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projet'!$B$11,Paramètres!$A$1:$I$88,7,0))</f>
        <v>0</v>
      </c>
      <c r="BN30" s="16">
        <f>IF(ISNA(VLOOKUP(A30,'Données projet'!$A$87:$I$107,6,0)),0%,VLOOKUP(A30,'Données projet'!$A$87:$I$107,6,0)*VLOOKUP('Données projet'!$B$11,Paramètres!$A$1:$I$88,7,0))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projet'!$B$11,Paramètres!$A$1:$I$88,3,0)*0.475*44/12</f>
        <v>0</v>
      </c>
      <c r="BQ30" s="21">
        <f>EXP(-LN(2)/25)*BQ29+(1-EXP(-LN(2)/25))/(LN(2)/25)*Calculateur!BL30*Calculateur!BN30*VLOOKUP('Données projet'!$B$11,Paramètres!$A$1:$I$88,3,0)*0.475*44/12</f>
        <v>0</v>
      </c>
      <c r="BR30" s="21">
        <f>EXP(-LN(2)/2)*BR29+(1-EXP(-LN(2)/2))/(LN(2)/2)*BL30*BO30*VLOOKUP('Données projet'!$B$11,Paramètres!$A$1:$I$88,3,0)*0.475*44/12</f>
        <v>3.5243814904341639</v>
      </c>
      <c r="BS30" s="22">
        <f t="shared" si="9"/>
        <v>3.5243814904341639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12.2</v>
      </c>
      <c r="BY30" s="12">
        <f>IF('Données projet'!$A$114&gt;35,BY29+BX30-CG29,IF(A30&lt;'Données projet'!$A$114,$BV$205^A30,IF(A30='Données projet'!$A$114,'Données projet'!$B$114,BY29+BX30-CG29)))</f>
        <v>137.4</v>
      </c>
      <c r="BZ30" s="13">
        <f>BY30*VLOOKUP('Données projet'!$B$12,Paramètres!$A$1:$I$88,3,0)*VLOOKUP('Données projet'!$B$12,Paramètres!$A$1:$I$88,5,0)</f>
        <v>90.024479999999997</v>
      </c>
      <c r="CA30" s="13">
        <f t="shared" si="39"/>
        <v>24.571128886979285</v>
      </c>
      <c r="CB30" s="20">
        <f t="shared" si="10"/>
        <v>199.58735214482223</v>
      </c>
      <c r="CC30" s="59">
        <f t="shared" si="11"/>
        <v>489.25401881148889</v>
      </c>
      <c r="CD30" s="59">
        <f ca="1">AVERAGE(OFFSET($CC$3,0,0,'Données projet'!$E$12+1,1))-AVERAGE(OFFSET($H$3,0,0,'Données projet'!$E$12+1,1))</f>
        <v>180.90147430936133</v>
      </c>
      <c r="CE30" s="59">
        <f t="shared" si="40"/>
        <v>226.87949199830018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projet'!$B$12,Paramètres!$A$1:$I$88,7,0))</f>
        <v>0</v>
      </c>
      <c r="CI30" s="16">
        <f>IF(ISNA(VLOOKUP(A30,'Données projet'!$A$113:$I$133,6,0)),0%,VLOOKUP(A30,'Données projet'!$A$113:$I$133,6,0)*VLOOKUP('Données projet'!$B$12,Paramètres!$A$1:$I$88,7,0))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projet'!$B$12,Paramètres!$A$1:$I$88,3,0)*0.475*44/12</f>
        <v>0</v>
      </c>
      <c r="CL30" s="21">
        <f>EXP(-LN(2)/25)*CL29+(1-EXP(-LN(2)/25))/(LN(2)/25)*Calculateur!CG30*Calculateur!CI30*VLOOKUP('Données projet'!$B$12,Paramètres!$A$1:$I$88,3,0)*0.475*44/12</f>
        <v>2.7466047199562289</v>
      </c>
      <c r="CM30" s="21">
        <f>EXP(-LN(2)/2)*CM29+(1-EXP(-LN(2)/2))/(LN(2)/2)*CG30*CJ30*VLOOKUP('Données projet'!$B$12,Paramètres!$A$1:$I$88,3,0)*0.475*44/12</f>
        <v>0.58739691507236036</v>
      </c>
      <c r="CN30" s="22">
        <f t="shared" si="12"/>
        <v>3.3340016350285895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5.6843418860808015E-14</v>
      </c>
      <c r="CU30" s="17">
        <f>CT30*VLOOKUP('Données projet'!$B$13,Paramètres!$A$1:$I$88,3,0)*VLOOKUP('Données projet'!$B$13,Paramètres!$A$1:$I$88,5,0)</f>
        <v>2.8908289095852525E-14</v>
      </c>
      <c r="CV30" s="13">
        <f t="shared" si="41"/>
        <v>5.0177780569126974E-13</v>
      </c>
      <c r="CW30" s="20">
        <f t="shared" si="13"/>
        <v>9.2427828175423786E-13</v>
      </c>
      <c r="CX30" s="59">
        <f t="shared" si="14"/>
        <v>289.6666666666676</v>
      </c>
      <c r="CY30" s="59">
        <f ca="1">AVERAGE(OFFSET($CX$3,0,0,'Données projet'!$E$13+1,1))-AVERAGE(OFFSET($H$3,0,0,'Données projet'!$E$13+1,1))</f>
        <v>133.08385802816008</v>
      </c>
      <c r="CZ30" s="59">
        <f t="shared" si="42"/>
        <v>316.59112511251385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projet'!$B$13,Paramètres!$A$1:$I$88,7,0))</f>
        <v>0</v>
      </c>
      <c r="DD30" s="16">
        <f>IF(ISNA(VLOOKUP(A30,'Données projet'!$A$139:$I$159,6,0)),0%,VLOOKUP(A30,'Données projet'!$A$139:$I$159,6,0)*VLOOKUP('Données projet'!$B$13,Paramètres!$A$1:$I$88,7,0))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projet'!$B$13,Paramètres!$A$1:$I$88,3,0)*0.475*44/12</f>
        <v>76.625986073895092</v>
      </c>
      <c r="DG30" s="21">
        <f>EXP(-LN(2)/25)*DG29+(1-EXP(-LN(2)/25))/(LN(2)/25)*Calculateur!DB30*Calculateur!DD30*VLOOKUP('Données projet'!$B$13,Paramètres!$A$1:$I$88,3,0)*0.475*44/12</f>
        <v>0</v>
      </c>
      <c r="DH30" s="21">
        <f>EXP(-LN(2)/2)*DH29+(1-EXP(-LN(2)/2))/(LN(2)/2)*DB30*DE30*VLOOKUP('Données projet'!$B$13,Paramètres!$A$1:$I$88,3,0)*0.475*44/12</f>
        <v>15.993068789564902</v>
      </c>
      <c r="DI30" s="22">
        <f t="shared" si="15"/>
        <v>92.619054863459993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projet'!$B$14,Paramètres!$A$1:$I$88,3,0)*VLOOKUP('Données projet'!$B$14,Paramètres!$A$1:$I$88,5,0)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projet'!$B$14,Paramètres!$A$1:$I$88,7,0))</f>
        <v>0</v>
      </c>
      <c r="DY30" s="16">
        <f>IF(ISNA(VLOOKUP(A30,'Données projet'!$A$165:$I$185,6,0)),0%,VLOOKUP(A30,'Données projet'!$A$165:$I$185,6,0)*VLOOKUP('Données projet'!$B$14,Paramètres!$A$1:$I$88,7,0))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projet'!$B$14,Paramètres!$A$1:$I$88,3,0)*0.475*44/12</f>
        <v>#N/A</v>
      </c>
      <c r="EB30" s="21" t="e">
        <f>EXP(-LN(2)/25)*EB29+(1-EXP(-LN(2)/25))/(LN(2)/25)*Calculateur!DW30*Calculateur!DY30*VLOOKUP('Données projet'!$B$14,Paramètres!$A$1:$I$88,3,0)*0.475*44/12</f>
        <v>#N/A</v>
      </c>
      <c r="EC30" s="21" t="e">
        <f>EXP(-LN(2)/2)*EC29+(1-EXP(-LN(2)/2))/(LN(2)/2)*DW30*DZ30*VLOOKUP('Données projet'!$B$14,Paramètres!$A$1:$I$88,3,0)*0.475*44/12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projet'!$B$15,Paramètres!$A$1:$I$88,3,0)*VLOOKUP('Données projet'!$B$15,Paramètres!$A$1:$I$88,5,0)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projet'!$B$15,Paramètres!$A$1:$I$88,7,0))</f>
        <v>0</v>
      </c>
      <c r="ET30" s="16">
        <f>IF(ISNA(VLOOKUP(A30,'Données projet'!$A$191:$I$211,6,0)),0%,VLOOKUP(A30,'Données projet'!$A$191:$I$211,6,0)*VLOOKUP('Données projet'!$B$15,Paramètres!$A$1:$I$88,7,0))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projet'!$B$15,Paramètres!$A$1:$I$88,3,0)*0.475*44/12</f>
        <v>#N/A</v>
      </c>
      <c r="EW30" s="21" t="e">
        <f>EXP(-LN(2)/25)*EW29+(1-EXP(-LN(2)/25))/(LN(2)/25)*Calculateur!ER30*Calculateur!ET30*VLOOKUP('Données projet'!$B$15,Paramètres!$A$1:$I$88,3,0)*0.475*44/12</f>
        <v>#N/A</v>
      </c>
      <c r="EX30" s="21" t="e">
        <f>EXP(-LN(2)/2)*EX29+(1-EXP(-LN(2)/2))/(LN(2)/2)*ER30*EU30*VLOOKUP('Données projet'!$B$15,Paramètres!$A$1:$I$88,3,0)*0.475*44/12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projet'!$B$16,Paramètres!$A$1:$I$88,3,0)*VLOOKUP('Données projet'!$B$16,Paramètres!$A$1:$I$88,5,0)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projet'!$B$16,Paramètres!$A$1:$I$88,7,0))</f>
        <v>0</v>
      </c>
      <c r="FO30" s="16">
        <f>IF(ISNA(VLOOKUP(A30,'Données projet'!$A$217:$I$237,6,0)),0%,VLOOKUP(A30,'Données projet'!$A$217:$I$237,6,0)*VLOOKUP('Données projet'!$B$16,Paramètres!$A$1:$I$88,7,0))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projet'!$B$16,Paramètres!$A$1:$I$88,3,0)*0.475*44/12</f>
        <v>#N/A</v>
      </c>
      <c r="FR30" s="21" t="e">
        <f>EXP(-LN(2)/25)*FR29+(1-EXP(-LN(2)/25))/(LN(2)/25)*Calculateur!FM30*Calculateur!FO30*VLOOKUP('Données projet'!$B$16,Paramètres!$A$1:$I$88,3,0)*0.475*44/12</f>
        <v>#N/A</v>
      </c>
      <c r="FS30" s="21" t="e">
        <f>EXP(-LN(2)/2)*FS29+(1-EXP(-LN(2)/2))/(LN(2)/2)*FM30*FP30*VLOOKUP('Données projet'!$B$16,Paramètres!$A$1:$I$88,3,0)*0.475*44/12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projet'!$B$17,Paramètres!$A$1:$I$88,3,0)*VLOOKUP('Données projet'!$B$17,Paramètres!$A$1:$I$88,5,0)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projet'!$B$17,Paramètres!$A$1:$I$88,7,0))</f>
        <v>0</v>
      </c>
      <c r="GJ30" s="16">
        <f>IF(ISNA(VLOOKUP(A30,'Données projet'!$A$243:$I$263,6,0)),0%,VLOOKUP(A30,'Données projet'!$A$243:$I$263,6,0)*VLOOKUP('Données projet'!$B$17,Paramètres!$A$1:$I$88,7,0))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projet'!$B$17,Paramètres!$A$1:$I$88,3,0)*0.475*44/12</f>
        <v>#N/A</v>
      </c>
      <c r="GM30" s="21" t="e">
        <f>EXP(-LN(2)/25)*GM29+(1-EXP(-LN(2)/25))/(LN(2)/25)*Calculateur!GH30*Calculateur!GJ30*VLOOKUP('Données projet'!$B$17,Paramètres!$A$1:$I$88,3,0)*0.475*44/12</f>
        <v>#N/A</v>
      </c>
      <c r="GN30" s="21" t="e">
        <f>EXP(-LN(2)/2)*GN29+(1-EXP(-LN(2)/2))/(LN(2)/2)*GH30*GK30*VLOOKUP('Données projet'!$B$17,Paramètres!$A$1:$I$88,3,0)*0.475*44/12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projet'!$B$18,Paramètres!$A$1:$I$88,3,0)*VLOOKUP('Données projet'!$B$18,Paramètres!$A$1:$I$88,5,0)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projet'!$B$18,Paramètres!$A$1:$I$88,7,0))</f>
        <v>0</v>
      </c>
      <c r="HE30" s="16">
        <f>IF(ISNA(VLOOKUP(A30,'Données projet'!$A$269:$I$289,6,0)),0%,VLOOKUP(A30,'Données projet'!$A$269:$I$289,6,0)*VLOOKUP('Données projet'!$B$18,Paramètres!$A$1:$I$88,7,0))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projet'!$B$18,Paramètres!$A$1:$I$88,3,0)*0.475*44/12</f>
        <v>#N/A</v>
      </c>
      <c r="HH30" s="21" t="e">
        <f>EXP(-LN(2)/25)*HH29+(1-EXP(-LN(2)/25))/(LN(2)/25)*Calculateur!HC30*Calculateur!HE30*VLOOKUP('Données projet'!$B$18,Paramètres!$A$1:$I$88,3,0)*0.475*44/12</f>
        <v>#N/A</v>
      </c>
      <c r="HI30" s="21" t="e">
        <f>EXP(-LN(2)/2)*HI29+(1-EXP(-LN(2)/2))/(LN(2)/2)*HC30*HF30*VLOOKUP('Données projet'!$B$18,Paramètres!$A$1:$I$88,3,0)*0.475*44/12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190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190</v>
      </c>
      <c r="O31" s="13">
        <f>N31*VLOOKUP('Données projet'!$B$9,Paramètres!$A$1:$I$88,3,0)*VLOOKUP('Données projet'!$B$9,Paramètres!$A$1:$I$88,5,0)</f>
        <v>113.62</v>
      </c>
      <c r="P31" s="13">
        <f t="shared" si="33"/>
        <v>30.182270904187739</v>
      </c>
      <c r="Q31" s="20">
        <f t="shared" si="2"/>
        <v>250.45562182479364</v>
      </c>
      <c r="R31" s="59">
        <f t="shared" si="0"/>
        <v>541.34451071368244</v>
      </c>
      <c r="S31" s="59">
        <f ca="1">AVERAGE(OFFSET($R$3,0,0,'Données projet'!$E$9+1,1))-AVERAGE(OFFSET($H$3,0,0,'Données projet'!$E$9+1,1))</f>
        <v>195.73441209602686</v>
      </c>
      <c r="T31" s="59">
        <f t="shared" si="34"/>
        <v>219.19129224309006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35</v>
      </c>
      <c r="W31" s="16">
        <f>IF(ISNA(VLOOKUP(A31,'Données projet'!$A$35:$I$55,5,0)),0%,VLOOKUP(A31,'Données projet'!$A$35:$I$55,5,0)*VLOOKUP('Données projet'!$B$9,Paramètres!$A$1:$I$88,7,0))</f>
        <v>0.315</v>
      </c>
      <c r="X31" s="16">
        <f>IF(ISNA(VLOOKUP(A31,'Données projet'!$A$35:$I$55,6,0)),0%,VLOOKUP(A31,'Données projet'!$A$35:$I$55,6,0)*VLOOKUP('Données projet'!$B$9,Paramètres!$A$1:$I$88,7,0))</f>
        <v>0.13500000000000001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projet'!$B$9,Paramètres!$A$1:$I$88,3,0)*0.475*44/12</f>
        <v>15.868579076045275</v>
      </c>
      <c r="AA31" s="21">
        <f>EXP(-LN(2)/25)*AA30+(1-EXP(-LN(2)/25))/(LN(2)/25)*Calculateur!V31*Calculateur!X31*VLOOKUP('Données projet'!$B$9,Paramètres!$A$1:$I$88,3,0)*0.475*44/12</f>
        <v>14.964890322531183</v>
      </c>
      <c r="AB31" s="21">
        <f>EXP(-LN(2)/2)*AB30+(1-EXP(-LN(2)/2))/(LN(2)/2)*V31*Y31*VLOOKUP('Données projet'!$B$9,Paramètres!$A$1:$I$88,3,0)*0.475*44/12</f>
        <v>7.9344716475096888E-2</v>
      </c>
      <c r="AC31" s="22">
        <f t="shared" si="3"/>
        <v>30.912814115051553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</v>
      </c>
      <c r="AI31" s="13">
        <f>IF('Données projet'!$A$62&gt;35,AI30+AH31-AQ30,IF(A31&lt;'Données projet'!$A$62,$AF$205^A31,IF(A31='Données projet'!$A$62,'Données projet'!$B$62,AI30+AH31-AQ30)))</f>
        <v>192</v>
      </c>
      <c r="AJ31" s="13">
        <f>AI31*VLOOKUP('Données projet'!$B$10,Paramètres!$A$1:$I$88,3,0)*VLOOKUP('Données projet'!$B$10,Paramètres!$A$1:$I$88,5,0)</f>
        <v>114.81600000000002</v>
      </c>
      <c r="AK31" s="13">
        <f t="shared" si="35"/>
        <v>30.462826482209831</v>
      </c>
      <c r="AL31" s="20">
        <f t="shared" si="4"/>
        <v>253.02728945651543</v>
      </c>
      <c r="AM31" s="59">
        <f t="shared" si="5"/>
        <v>543.91617834540432</v>
      </c>
      <c r="AN31" s="59">
        <f ca="1">AVERAGE(OFFSET($AM$3,0,0,'Données projet'!$E$10+1,1))-AVERAGE(OFFSET($H$3,0,0,'Données projet'!$E$10+1,1))</f>
        <v>246.59447135626942</v>
      </c>
      <c r="AO31" s="59">
        <f t="shared" si="36"/>
        <v>262.00382544285367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projet'!$B$10,Paramètres!$A$1:$I$88,7,0))</f>
        <v>0</v>
      </c>
      <c r="AS31" s="16">
        <f>IF(ISNA(VLOOKUP(A31,'Données projet'!$A$61:$I$81,6,0)),0%,VLOOKUP(A31,'Données projet'!$A$61:$I$81,6,0)*VLOOKUP('Données projet'!$B$10,Paramètres!$A$1:$I$88,7,0))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projet'!$B$10,Paramètres!$A$1:$I$88,3,0)*0.475*44/12</f>
        <v>0</v>
      </c>
      <c r="AV31" s="21">
        <f>EXP(-LN(2)/25)*AV30+(1-EXP(-LN(2)/25))/(LN(2)/25)*Calculateur!AQ31*Calculateur!AS31*VLOOKUP('Données projet'!$B$10,Paramètres!$A$1:$I$88,3,0)*0.475*44/12</f>
        <v>0.42725815079690321</v>
      </c>
      <c r="AW31" s="21">
        <f>EXP(-LN(2)/2)*AW30+(1-EXP(-LN(2)/2))/(LN(2)/2)*AQ31*AT31*VLOOKUP('Données projet'!$B$10,Paramètres!$A$1:$I$88,3,0)*0.475*44/12</f>
        <v>6.3475773180077522E-2</v>
      </c>
      <c r="AX31" s="21">
        <f t="shared" si="6"/>
        <v>0.49073392397698073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22.2</v>
      </c>
      <c r="BD31" s="12">
        <f>IF('Données projet'!$A$88&gt;35,BD30+BC31-BL30,IF(A31&lt;'Données projet'!$A$88,$BA$205^A31,IF(A31='Données projet'!$A$88,'Données projet'!$B$88,BD30+BC31-BL30)))</f>
        <v>276.59999999999991</v>
      </c>
      <c r="BE31" s="13">
        <f>BD31*VLOOKUP('Données projet'!$B$11,Paramètres!$A$1:$I$88,3,0)*VLOOKUP('Données projet'!$B$11,Paramètres!$A$1:$I$88,5,0)</f>
        <v>154.61939999999996</v>
      </c>
      <c r="BF31" s="13">
        <f t="shared" si="37"/>
        <v>39.626500524372794</v>
      </c>
      <c r="BG31" s="20">
        <f t="shared" si="7"/>
        <v>338.31161007994922</v>
      </c>
      <c r="BH31" s="59">
        <f t="shared" si="8"/>
        <v>629.20049896883802</v>
      </c>
      <c r="BI31" s="59">
        <f ca="1">AVERAGE(OFFSET($BH$3,0,0,'Données projet'!$E$11+1,1))-AVERAGE(OFFSET($H$3,0,0,'Données projet'!$E$11+1,1))</f>
        <v>355.96253323046608</v>
      </c>
      <c r="BJ31" s="59">
        <f t="shared" si="38"/>
        <v>366.8380442809696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projet'!$B$11,Paramètres!$A$1:$I$88,7,0))</f>
        <v>0</v>
      </c>
      <c r="BN31" s="16">
        <f>IF(ISNA(VLOOKUP(A31,'Données projet'!$A$87:$I$107,6,0)),0%,VLOOKUP(A31,'Données projet'!$A$87:$I$107,6,0)*VLOOKUP('Données projet'!$B$11,Paramètres!$A$1:$I$88,7,0))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projet'!$B$11,Paramètres!$A$1:$I$88,3,0)*0.475*44/12</f>
        <v>0</v>
      </c>
      <c r="BQ31" s="21">
        <f>EXP(-LN(2)/25)*BQ30+(1-EXP(-LN(2)/25))/(LN(2)/25)*Calculateur!BL31*Calculateur!BN31*VLOOKUP('Données projet'!$B$11,Paramètres!$A$1:$I$88,3,0)*0.475*44/12</f>
        <v>0</v>
      </c>
      <c r="BR31" s="21">
        <f>EXP(-LN(2)/2)*BR30+(1-EXP(-LN(2)/2))/(LN(2)/2)*BL31*BO31*VLOOKUP('Données projet'!$B$11,Paramètres!$A$1:$I$88,3,0)*0.475*44/12</f>
        <v>2.4921140513743487</v>
      </c>
      <c r="BS31" s="22">
        <f t="shared" si="9"/>
        <v>2.4921140513743487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12.2</v>
      </c>
      <c r="BY31" s="12">
        <f>IF('Données projet'!$A$114&gt;35,BY30+BX31-CG30,IF(A31&lt;'Données projet'!$A$114,$BV$205^A31,IF(A31='Données projet'!$A$114,'Données projet'!$B$114,BY30+BX31-CG30)))</f>
        <v>149.6</v>
      </c>
      <c r="BZ31" s="13">
        <f>BY31*VLOOKUP('Données projet'!$B$12,Paramètres!$A$1:$I$88,3,0)*VLOOKUP('Données projet'!$B$12,Paramètres!$A$1:$I$88,5,0)</f>
        <v>98.017919999999989</v>
      </c>
      <c r="CA31" s="13">
        <f t="shared" si="39"/>
        <v>26.489245540318151</v>
      </c>
      <c r="CB31" s="20">
        <f t="shared" si="10"/>
        <v>216.84997998272073</v>
      </c>
      <c r="CC31" s="59">
        <f t="shared" si="11"/>
        <v>507.73886887160961</v>
      </c>
      <c r="CD31" s="59">
        <f ca="1">AVERAGE(OFFSET($CC$3,0,0,'Données projet'!$E$12+1,1))-AVERAGE(OFFSET($H$3,0,0,'Données projet'!$E$12+1,1))</f>
        <v>180.90147430936133</v>
      </c>
      <c r="CE31" s="59">
        <f t="shared" si="40"/>
        <v>226.87949199830018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projet'!$B$12,Paramètres!$A$1:$I$88,7,0))</f>
        <v>0</v>
      </c>
      <c r="CI31" s="16">
        <f>IF(ISNA(VLOOKUP(A31,'Données projet'!$A$113:$I$133,6,0)),0%,VLOOKUP(A31,'Données projet'!$A$113:$I$133,6,0)*VLOOKUP('Données projet'!$B$12,Paramètres!$A$1:$I$88,7,0))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projet'!$B$12,Paramètres!$A$1:$I$88,3,0)*0.475*44/12</f>
        <v>0</v>
      </c>
      <c r="CL31" s="21">
        <f>EXP(-LN(2)/25)*CL30+(1-EXP(-LN(2)/25))/(LN(2)/25)*Calculateur!CG31*Calculateur!CI31*VLOOKUP('Données projet'!$B$12,Paramètres!$A$1:$I$88,3,0)*0.475*44/12</f>
        <v>2.6714986694513612</v>
      </c>
      <c r="CM31" s="21">
        <f>EXP(-LN(2)/2)*CM30+(1-EXP(-LN(2)/2))/(LN(2)/2)*CG31*CJ31*VLOOKUP('Données projet'!$B$12,Paramètres!$A$1:$I$88,3,0)*0.475*44/12</f>
        <v>0.41535234189572456</v>
      </c>
      <c r="CN31" s="22">
        <f t="shared" si="12"/>
        <v>3.0868510113470857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5.6843418860808015E-14</v>
      </c>
      <c r="CU31" s="17">
        <f>CT31*VLOOKUP('Données projet'!$B$13,Paramètres!$A$1:$I$88,3,0)*VLOOKUP('Données projet'!$B$13,Paramètres!$A$1:$I$88,5,0)</f>
        <v>2.8908289095852525E-14</v>
      </c>
      <c r="CV31" s="13">
        <f t="shared" si="41"/>
        <v>5.0177780569126974E-13</v>
      </c>
      <c r="CW31" s="20">
        <f t="shared" si="13"/>
        <v>9.2427828175423786E-13</v>
      </c>
      <c r="CX31" s="59">
        <f t="shared" si="14"/>
        <v>290.88888888888977</v>
      </c>
      <c r="CY31" s="59">
        <f ca="1">AVERAGE(OFFSET($CX$3,0,0,'Données projet'!$E$13+1,1))-AVERAGE(OFFSET($H$3,0,0,'Données projet'!$E$13+1,1))</f>
        <v>133.08385802816008</v>
      </c>
      <c r="CZ31" s="59">
        <f t="shared" si="42"/>
        <v>316.59112511251385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projet'!$B$13,Paramètres!$A$1:$I$88,7,0))</f>
        <v>0</v>
      </c>
      <c r="DD31" s="16">
        <f>IF(ISNA(VLOOKUP(A31,'Données projet'!$A$139:$I$159,6,0)),0%,VLOOKUP(A31,'Données projet'!$A$139:$I$159,6,0)*VLOOKUP('Données projet'!$B$13,Paramètres!$A$1:$I$88,7,0))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projet'!$B$13,Paramètres!$A$1:$I$88,3,0)*0.475*44/12</f>
        <v>75.1233972242226</v>
      </c>
      <c r="DG31" s="21">
        <f>EXP(-LN(2)/25)*DG30+(1-EXP(-LN(2)/25))/(LN(2)/25)*Calculateur!DB31*Calculateur!DD31*VLOOKUP('Données projet'!$B$13,Paramètres!$A$1:$I$88,3,0)*0.475*44/12</f>
        <v>0</v>
      </c>
      <c r="DH31" s="21">
        <f>EXP(-LN(2)/2)*DH30+(1-EXP(-LN(2)/2))/(LN(2)/2)*DB31*DE31*VLOOKUP('Données projet'!$B$13,Paramètres!$A$1:$I$88,3,0)*0.475*44/12</f>
        <v>11.308807393084273</v>
      </c>
      <c r="DI31" s="22">
        <f t="shared" si="15"/>
        <v>86.432204617306866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projet'!$B$14,Paramètres!$A$1:$I$88,3,0)*VLOOKUP('Données projet'!$B$14,Paramètres!$A$1:$I$88,5,0)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projet'!$B$14,Paramètres!$A$1:$I$88,7,0))</f>
        <v>0</v>
      </c>
      <c r="DY31" s="16">
        <f>IF(ISNA(VLOOKUP(A31,'Données projet'!$A$165:$I$185,6,0)),0%,VLOOKUP(A31,'Données projet'!$A$165:$I$185,6,0)*VLOOKUP('Données projet'!$B$14,Paramètres!$A$1:$I$88,7,0))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projet'!$B$14,Paramètres!$A$1:$I$88,3,0)*0.475*44/12</f>
        <v>#N/A</v>
      </c>
      <c r="EB31" s="21" t="e">
        <f>EXP(-LN(2)/25)*EB30+(1-EXP(-LN(2)/25))/(LN(2)/25)*Calculateur!DW31*Calculateur!DY31*VLOOKUP('Données projet'!$B$14,Paramètres!$A$1:$I$88,3,0)*0.475*44/12</f>
        <v>#N/A</v>
      </c>
      <c r="EC31" s="21" t="e">
        <f>EXP(-LN(2)/2)*EC30+(1-EXP(-LN(2)/2))/(LN(2)/2)*DW31*DZ31*VLOOKUP('Données projet'!$B$14,Paramètres!$A$1:$I$88,3,0)*0.475*44/12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projet'!$B$15,Paramètres!$A$1:$I$88,3,0)*VLOOKUP('Données projet'!$B$15,Paramètres!$A$1:$I$88,5,0)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projet'!$B$15,Paramètres!$A$1:$I$88,7,0))</f>
        <v>0</v>
      </c>
      <c r="ET31" s="16">
        <f>IF(ISNA(VLOOKUP(A31,'Données projet'!$A$191:$I$211,6,0)),0%,VLOOKUP(A31,'Données projet'!$A$191:$I$211,6,0)*VLOOKUP('Données projet'!$B$15,Paramètres!$A$1:$I$88,7,0))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projet'!$B$15,Paramètres!$A$1:$I$88,3,0)*0.475*44/12</f>
        <v>#N/A</v>
      </c>
      <c r="EW31" s="21" t="e">
        <f>EXP(-LN(2)/25)*EW30+(1-EXP(-LN(2)/25))/(LN(2)/25)*Calculateur!ER31*Calculateur!ET31*VLOOKUP('Données projet'!$B$15,Paramètres!$A$1:$I$88,3,0)*0.475*44/12</f>
        <v>#N/A</v>
      </c>
      <c r="EX31" s="21" t="e">
        <f>EXP(-LN(2)/2)*EX30+(1-EXP(-LN(2)/2))/(LN(2)/2)*ER31*EU31*VLOOKUP('Données projet'!$B$15,Paramètres!$A$1:$I$88,3,0)*0.475*44/12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projet'!$B$16,Paramètres!$A$1:$I$88,3,0)*VLOOKUP('Données projet'!$B$16,Paramètres!$A$1:$I$88,5,0)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projet'!$B$16,Paramètres!$A$1:$I$88,7,0))</f>
        <v>0</v>
      </c>
      <c r="FO31" s="16">
        <f>IF(ISNA(VLOOKUP(A31,'Données projet'!$A$217:$I$237,6,0)),0%,VLOOKUP(A31,'Données projet'!$A$217:$I$237,6,0)*VLOOKUP('Données projet'!$B$16,Paramètres!$A$1:$I$88,7,0))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projet'!$B$16,Paramètres!$A$1:$I$88,3,0)*0.475*44/12</f>
        <v>#N/A</v>
      </c>
      <c r="FR31" s="21" t="e">
        <f>EXP(-LN(2)/25)*FR30+(1-EXP(-LN(2)/25))/(LN(2)/25)*Calculateur!FM31*Calculateur!FO31*VLOOKUP('Données projet'!$B$16,Paramètres!$A$1:$I$88,3,0)*0.475*44/12</f>
        <v>#N/A</v>
      </c>
      <c r="FS31" s="21" t="e">
        <f>EXP(-LN(2)/2)*FS30+(1-EXP(-LN(2)/2))/(LN(2)/2)*FM31*FP31*VLOOKUP('Données projet'!$B$16,Paramètres!$A$1:$I$88,3,0)*0.475*44/12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projet'!$B$17,Paramètres!$A$1:$I$88,3,0)*VLOOKUP('Données projet'!$B$17,Paramètres!$A$1:$I$88,5,0)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projet'!$B$17,Paramètres!$A$1:$I$88,7,0))</f>
        <v>0</v>
      </c>
      <c r="GJ31" s="16">
        <f>IF(ISNA(VLOOKUP(A31,'Données projet'!$A$243:$I$263,6,0)),0%,VLOOKUP(A31,'Données projet'!$A$243:$I$263,6,0)*VLOOKUP('Données projet'!$B$17,Paramètres!$A$1:$I$88,7,0))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projet'!$B$17,Paramètres!$A$1:$I$88,3,0)*0.475*44/12</f>
        <v>#N/A</v>
      </c>
      <c r="GM31" s="21" t="e">
        <f>EXP(-LN(2)/25)*GM30+(1-EXP(-LN(2)/25))/(LN(2)/25)*Calculateur!GH31*Calculateur!GJ31*VLOOKUP('Données projet'!$B$17,Paramètres!$A$1:$I$88,3,0)*0.475*44/12</f>
        <v>#N/A</v>
      </c>
      <c r="GN31" s="21" t="e">
        <f>EXP(-LN(2)/2)*GN30+(1-EXP(-LN(2)/2))/(LN(2)/2)*GH31*GK31*VLOOKUP('Données projet'!$B$17,Paramètres!$A$1:$I$88,3,0)*0.475*44/12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projet'!$B$18,Paramètres!$A$1:$I$88,3,0)*VLOOKUP('Données projet'!$B$18,Paramètres!$A$1:$I$88,5,0)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projet'!$B$18,Paramètres!$A$1:$I$88,7,0))</f>
        <v>0</v>
      </c>
      <c r="HE31" s="16">
        <f>IF(ISNA(VLOOKUP(A31,'Données projet'!$A$269:$I$289,6,0)),0%,VLOOKUP(A31,'Données projet'!$A$269:$I$289,6,0)*VLOOKUP('Données projet'!$B$18,Paramètres!$A$1:$I$88,7,0))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projet'!$B$18,Paramètres!$A$1:$I$88,3,0)*0.475*44/12</f>
        <v>#N/A</v>
      </c>
      <c r="HH31" s="21" t="e">
        <f>EXP(-LN(2)/25)*HH30+(1-EXP(-LN(2)/25))/(LN(2)/25)*Calculateur!HC31*Calculateur!HE31*VLOOKUP('Données projet'!$B$18,Paramètres!$A$1:$I$88,3,0)*0.475*44/12</f>
        <v>#N/A</v>
      </c>
      <c r="HI31" s="21" t="e">
        <f>EXP(-LN(2)/2)*HI30+(1-EXP(-LN(2)/2))/(LN(2)/2)*HC31*HF31*VLOOKUP('Données projet'!$B$18,Paramètres!$A$1:$I$88,3,0)*0.475*44/12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14.833333333333334</v>
      </c>
      <c r="N32" s="13">
        <f>IF('Données projet'!$A$36&gt;35,N31+M32-V31,IF(A32&lt;'Données projet'!$A$36,$K$205^A32,IF(A32='Données projet'!$A$36,'Données projet'!$B$36,N31+M32-V31)))</f>
        <v>169.83333333333334</v>
      </c>
      <c r="O32" s="13">
        <f>N32*VLOOKUP('Données projet'!$B$9,Paramètres!$A$1:$I$88,3,0)*VLOOKUP('Données projet'!$B$9,Paramètres!$A$1:$I$88,5,0)</f>
        <v>101.56033333333333</v>
      </c>
      <c r="P32" s="13">
        <f t="shared" si="33"/>
        <v>27.333389821325063</v>
      </c>
      <c r="Q32" s="20">
        <f t="shared" si="2"/>
        <v>224.48990116103005</v>
      </c>
      <c r="R32" s="59">
        <f t="shared" si="0"/>
        <v>516.60101227214113</v>
      </c>
      <c r="S32" s="59">
        <f ca="1">AVERAGE(OFFSET($R$3,0,0,'Données projet'!$E$9+1,1))-AVERAGE(OFFSET($H$3,0,0,'Données projet'!$E$9+1,1))</f>
        <v>195.73441209602686</v>
      </c>
      <c r="T32" s="59">
        <f t="shared" si="34"/>
        <v>219.19129224309006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projet'!$B$9,Paramètres!$A$1:$I$88,7,0))</f>
        <v>0</v>
      </c>
      <c r="X32" s="16">
        <f>IF(ISNA(VLOOKUP(A32,'Données projet'!$A$35:$I$55,6,0)),0%,VLOOKUP(A32,'Données projet'!$A$35:$I$55,6,0)*VLOOKUP('Données projet'!$B$9,Paramètres!$A$1:$I$88,7,0))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projet'!$B$9,Paramètres!$A$1:$I$88,3,0)*0.475*44/12</f>
        <v>15.557405919241555</v>
      </c>
      <c r="AA32" s="21">
        <f>EXP(-LN(2)/25)*AA31+(1-EXP(-LN(2)/25))/(LN(2)/25)*Calculateur!V32*Calculateur!X32*VLOOKUP('Données projet'!$B$9,Paramètres!$A$1:$I$88,3,0)*0.475*44/12</f>
        <v>14.555674609692188</v>
      </c>
      <c r="AB32" s="21">
        <f>EXP(-LN(2)/2)*AB31+(1-EXP(-LN(2)/2))/(LN(2)/2)*V32*Y32*VLOOKUP('Données projet'!$B$9,Paramètres!$A$1:$I$88,3,0)*0.475*44/12</f>
        <v>5.6105187070864988E-2</v>
      </c>
      <c r="AC32" s="22">
        <f t="shared" si="3"/>
        <v>30.169185716004609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</v>
      </c>
      <c r="AI32" s="13">
        <f>IF('Données projet'!$A$62&gt;35,AI31+AH32-AQ31,IF(A32&lt;'Données projet'!$A$62,$AF$205^A32,IF(A32='Données projet'!$A$62,'Données projet'!$B$62,AI31+AH32-AQ31)))</f>
        <v>205</v>
      </c>
      <c r="AJ32" s="13">
        <f>AI32*VLOOKUP('Données projet'!$B$10,Paramètres!$A$1:$I$88,3,0)*VLOOKUP('Données projet'!$B$10,Paramètres!$A$1:$I$88,5,0)</f>
        <v>122.59</v>
      </c>
      <c r="AK32" s="13">
        <f t="shared" si="35"/>
        <v>32.278321478706822</v>
      </c>
      <c r="AL32" s="20">
        <f t="shared" si="4"/>
        <v>269.72899324208106</v>
      </c>
      <c r="AM32" s="59">
        <f t="shared" si="5"/>
        <v>561.84010435319215</v>
      </c>
      <c r="AN32" s="59">
        <f ca="1">AVERAGE(OFFSET($AM$3,0,0,'Données projet'!$E$10+1,1))-AVERAGE(OFFSET($H$3,0,0,'Données projet'!$E$10+1,1))</f>
        <v>246.59447135626942</v>
      </c>
      <c r="AO32" s="59">
        <f t="shared" si="36"/>
        <v>262.00382544285367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projet'!$B$10,Paramètres!$A$1:$I$88,7,0))</f>
        <v>0</v>
      </c>
      <c r="AS32" s="16">
        <f>IF(ISNA(VLOOKUP(A32,'Données projet'!$A$61:$I$81,6,0)),0%,VLOOKUP(A32,'Données projet'!$A$61:$I$81,6,0)*VLOOKUP('Données projet'!$B$10,Paramètres!$A$1:$I$88,7,0))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projet'!$B$10,Paramètres!$A$1:$I$88,3,0)*0.475*44/12</f>
        <v>0</v>
      </c>
      <c r="AV32" s="21">
        <f>EXP(-LN(2)/25)*AV31+(1-EXP(-LN(2)/25))/(LN(2)/25)*Calculateur!AQ32*Calculateur!AS32*VLOOKUP('Données projet'!$B$10,Paramètres!$A$1:$I$88,3,0)*0.475*44/12</f>
        <v>0.41557475419483225</v>
      </c>
      <c r="AW32" s="21">
        <f>EXP(-LN(2)/2)*AW31+(1-EXP(-LN(2)/2))/(LN(2)/2)*AQ32*AT32*VLOOKUP('Données projet'!$B$10,Paramètres!$A$1:$I$88,3,0)*0.475*44/12</f>
        <v>4.4884149656691998E-2</v>
      </c>
      <c r="AX32" s="21">
        <f t="shared" si="6"/>
        <v>0.46045890385152427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22.2</v>
      </c>
      <c r="BD32" s="12">
        <f>IF('Données projet'!$A$88&gt;35,BD31+BC32-BL31,IF(A32&lt;'Données projet'!$A$88,$BA$205^A32,IF(A32='Données projet'!$A$88,'Données projet'!$B$88,BD31+BC32-BL31)))</f>
        <v>298.7999999999999</v>
      </c>
      <c r="BE32" s="13">
        <f>BD32*VLOOKUP('Données projet'!$B$11,Paramètres!$A$1:$I$88,3,0)*VLOOKUP('Données projet'!$B$11,Paramètres!$A$1:$I$88,5,0)</f>
        <v>167.02919999999995</v>
      </c>
      <c r="BF32" s="13">
        <f t="shared" si="37"/>
        <v>42.423982056168619</v>
      </c>
      <c r="BG32" s="20">
        <f t="shared" si="7"/>
        <v>364.79762541449355</v>
      </c>
      <c r="BH32" s="59">
        <f t="shared" si="8"/>
        <v>656.9087365256047</v>
      </c>
      <c r="BI32" s="59">
        <f ca="1">AVERAGE(OFFSET($BH$3,0,0,'Données projet'!$E$11+1,1))-AVERAGE(OFFSET($H$3,0,0,'Données projet'!$E$11+1,1))</f>
        <v>355.96253323046608</v>
      </c>
      <c r="BJ32" s="59">
        <f t="shared" si="38"/>
        <v>366.8380442809696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projet'!$B$11,Paramètres!$A$1:$I$88,7,0))</f>
        <v>0</v>
      </c>
      <c r="BN32" s="16">
        <f>IF(ISNA(VLOOKUP(A32,'Données projet'!$A$87:$I$107,6,0)),0%,VLOOKUP(A32,'Données projet'!$A$87:$I$107,6,0)*VLOOKUP('Données projet'!$B$11,Paramètres!$A$1:$I$88,7,0))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projet'!$B$11,Paramètres!$A$1:$I$88,3,0)*0.475*44/12</f>
        <v>0</v>
      </c>
      <c r="BQ32" s="21">
        <f>EXP(-LN(2)/25)*BQ31+(1-EXP(-LN(2)/25))/(LN(2)/25)*Calculateur!BL32*Calculateur!BN32*VLOOKUP('Données projet'!$B$11,Paramètres!$A$1:$I$88,3,0)*0.475*44/12</f>
        <v>0</v>
      </c>
      <c r="BR32" s="21">
        <f>EXP(-LN(2)/2)*BR31+(1-EXP(-LN(2)/2))/(LN(2)/2)*BL32*BO32*VLOOKUP('Données projet'!$B$11,Paramètres!$A$1:$I$88,3,0)*0.475*44/12</f>
        <v>1.7621907452170822</v>
      </c>
      <c r="BS32" s="22">
        <f t="shared" si="9"/>
        <v>1.7621907452170822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12.2</v>
      </c>
      <c r="BY32" s="12">
        <f>IF('Données projet'!$A$114&gt;35,BY31+BX32-CG31,IF(A32&lt;'Données projet'!$A$114,$BV$205^A32,IF(A32='Données projet'!$A$114,'Données projet'!$B$114,BY31+BX32-CG31)))</f>
        <v>161.79999999999998</v>
      </c>
      <c r="BZ32" s="13">
        <f>BY32*VLOOKUP('Données projet'!$B$12,Paramètres!$A$1:$I$88,3,0)*VLOOKUP('Données projet'!$B$12,Paramètres!$A$1:$I$88,5,0)</f>
        <v>106.01135999999998</v>
      </c>
      <c r="CA32" s="13">
        <f t="shared" si="39"/>
        <v>28.389219377828159</v>
      </c>
      <c r="CB32" s="20">
        <f t="shared" si="10"/>
        <v>234.08100908305065</v>
      </c>
      <c r="CC32" s="59">
        <f t="shared" si="11"/>
        <v>526.19212019416182</v>
      </c>
      <c r="CD32" s="59">
        <f ca="1">AVERAGE(OFFSET($CC$3,0,0,'Données projet'!$E$12+1,1))-AVERAGE(OFFSET($H$3,0,0,'Données projet'!$E$12+1,1))</f>
        <v>180.90147430936133</v>
      </c>
      <c r="CE32" s="59">
        <f t="shared" si="40"/>
        <v>226.87949199830018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projet'!$B$12,Paramètres!$A$1:$I$88,7,0))</f>
        <v>0</v>
      </c>
      <c r="CI32" s="16">
        <f>IF(ISNA(VLOOKUP(A32,'Données projet'!$A$113:$I$133,6,0)),0%,VLOOKUP(A32,'Données projet'!$A$113:$I$133,6,0)*VLOOKUP('Données projet'!$B$12,Paramètres!$A$1:$I$88,7,0))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projet'!$B$12,Paramètres!$A$1:$I$88,3,0)*0.475*44/12</f>
        <v>0</v>
      </c>
      <c r="CL32" s="21">
        <f>EXP(-LN(2)/25)*CL31+(1-EXP(-LN(2)/25))/(LN(2)/25)*Calculateur!CG32*Calculateur!CI32*VLOOKUP('Données projet'!$B$12,Paramètres!$A$1:$I$88,3,0)*0.475*44/12</f>
        <v>2.5984463978472045</v>
      </c>
      <c r="CM32" s="21">
        <f>EXP(-LN(2)/2)*CM31+(1-EXP(-LN(2)/2))/(LN(2)/2)*CG32*CJ32*VLOOKUP('Données projet'!$B$12,Paramètres!$A$1:$I$88,3,0)*0.475*44/12</f>
        <v>0.29369845753618018</v>
      </c>
      <c r="CN32" s="22">
        <f t="shared" si="12"/>
        <v>2.8921448553833846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5.6843418860808015E-14</v>
      </c>
      <c r="CU32" s="17">
        <f>CT32*VLOOKUP('Données projet'!$B$13,Paramètres!$A$1:$I$88,3,0)*VLOOKUP('Données projet'!$B$13,Paramètres!$A$1:$I$88,5,0)</f>
        <v>2.8908289095852525E-14</v>
      </c>
      <c r="CV32" s="13">
        <f t="shared" si="41"/>
        <v>5.0177780569126974E-13</v>
      </c>
      <c r="CW32" s="20">
        <f t="shared" si="13"/>
        <v>9.2427828175423786E-13</v>
      </c>
      <c r="CX32" s="59">
        <f t="shared" si="14"/>
        <v>292.11111111111205</v>
      </c>
      <c r="CY32" s="59">
        <f ca="1">AVERAGE(OFFSET($CX$3,0,0,'Données projet'!$E$13+1,1))-AVERAGE(OFFSET($H$3,0,0,'Données projet'!$E$13+1,1))</f>
        <v>133.08385802816008</v>
      </c>
      <c r="CZ32" s="59">
        <f t="shared" si="42"/>
        <v>316.59112511251385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projet'!$B$13,Paramètres!$A$1:$I$88,7,0))</f>
        <v>0</v>
      </c>
      <c r="DD32" s="16">
        <f>IF(ISNA(VLOOKUP(A32,'Données projet'!$A$139:$I$159,6,0)),0%,VLOOKUP(A32,'Données projet'!$A$139:$I$159,6,0)*VLOOKUP('Données projet'!$B$13,Paramètres!$A$1:$I$88,7,0))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projet'!$B$13,Paramètres!$A$1:$I$88,3,0)*0.475*44/12</f>
        <v>73.650273225403481</v>
      </c>
      <c r="DG32" s="21">
        <f>EXP(-LN(2)/25)*DG31+(1-EXP(-LN(2)/25))/(LN(2)/25)*Calculateur!DB32*Calculateur!DD32*VLOOKUP('Données projet'!$B$13,Paramètres!$A$1:$I$88,3,0)*0.475*44/12</f>
        <v>0</v>
      </c>
      <c r="DH32" s="21">
        <f>EXP(-LN(2)/2)*DH31+(1-EXP(-LN(2)/2))/(LN(2)/2)*DB32*DE32*VLOOKUP('Données projet'!$B$13,Paramètres!$A$1:$I$88,3,0)*0.475*44/12</f>
        <v>7.9965343947824525</v>
      </c>
      <c r="DI32" s="22">
        <f t="shared" si="15"/>
        <v>81.646807620185939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projet'!$B$14,Paramètres!$A$1:$I$88,3,0)*VLOOKUP('Données projet'!$B$14,Paramètres!$A$1:$I$88,5,0)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projet'!$B$14,Paramètres!$A$1:$I$88,7,0))</f>
        <v>0</v>
      </c>
      <c r="DY32" s="16">
        <f>IF(ISNA(VLOOKUP(A32,'Données projet'!$A$165:$I$185,6,0)),0%,VLOOKUP(A32,'Données projet'!$A$165:$I$185,6,0)*VLOOKUP('Données projet'!$B$14,Paramètres!$A$1:$I$88,7,0))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projet'!$B$14,Paramètres!$A$1:$I$88,3,0)*0.475*44/12</f>
        <v>#N/A</v>
      </c>
      <c r="EB32" s="21" t="e">
        <f>EXP(-LN(2)/25)*EB31+(1-EXP(-LN(2)/25))/(LN(2)/25)*Calculateur!DW32*Calculateur!DY32*VLOOKUP('Données projet'!$B$14,Paramètres!$A$1:$I$88,3,0)*0.475*44/12</f>
        <v>#N/A</v>
      </c>
      <c r="EC32" s="21" t="e">
        <f>EXP(-LN(2)/2)*EC31+(1-EXP(-LN(2)/2))/(LN(2)/2)*DW32*DZ32*VLOOKUP('Données projet'!$B$14,Paramètres!$A$1:$I$88,3,0)*0.475*44/12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projet'!$B$15,Paramètres!$A$1:$I$88,3,0)*VLOOKUP('Données projet'!$B$15,Paramètres!$A$1:$I$88,5,0)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projet'!$B$15,Paramètres!$A$1:$I$88,7,0))</f>
        <v>0</v>
      </c>
      <c r="ET32" s="16">
        <f>IF(ISNA(VLOOKUP(A32,'Données projet'!$A$191:$I$211,6,0)),0%,VLOOKUP(A32,'Données projet'!$A$191:$I$211,6,0)*VLOOKUP('Données projet'!$B$15,Paramètres!$A$1:$I$88,7,0))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projet'!$B$15,Paramètres!$A$1:$I$88,3,0)*0.475*44/12</f>
        <v>#N/A</v>
      </c>
      <c r="EW32" s="21" t="e">
        <f>EXP(-LN(2)/25)*EW31+(1-EXP(-LN(2)/25))/(LN(2)/25)*Calculateur!ER32*Calculateur!ET32*VLOOKUP('Données projet'!$B$15,Paramètres!$A$1:$I$88,3,0)*0.475*44/12</f>
        <v>#N/A</v>
      </c>
      <c r="EX32" s="21" t="e">
        <f>EXP(-LN(2)/2)*EX31+(1-EXP(-LN(2)/2))/(LN(2)/2)*ER32*EU32*VLOOKUP('Données projet'!$B$15,Paramètres!$A$1:$I$88,3,0)*0.475*44/12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projet'!$B$16,Paramètres!$A$1:$I$88,3,0)*VLOOKUP('Données projet'!$B$16,Paramètres!$A$1:$I$88,5,0)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projet'!$B$16,Paramètres!$A$1:$I$88,7,0))</f>
        <v>0</v>
      </c>
      <c r="FO32" s="16">
        <f>IF(ISNA(VLOOKUP(A32,'Données projet'!$A$217:$I$237,6,0)),0%,VLOOKUP(A32,'Données projet'!$A$217:$I$237,6,0)*VLOOKUP('Données projet'!$B$16,Paramètres!$A$1:$I$88,7,0))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projet'!$B$16,Paramètres!$A$1:$I$88,3,0)*0.475*44/12</f>
        <v>#N/A</v>
      </c>
      <c r="FR32" s="21" t="e">
        <f>EXP(-LN(2)/25)*FR31+(1-EXP(-LN(2)/25))/(LN(2)/25)*Calculateur!FM32*Calculateur!FO32*VLOOKUP('Données projet'!$B$16,Paramètres!$A$1:$I$88,3,0)*0.475*44/12</f>
        <v>#N/A</v>
      </c>
      <c r="FS32" s="21" t="e">
        <f>EXP(-LN(2)/2)*FS31+(1-EXP(-LN(2)/2))/(LN(2)/2)*FM32*FP32*VLOOKUP('Données projet'!$B$16,Paramètres!$A$1:$I$88,3,0)*0.475*44/12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projet'!$B$17,Paramètres!$A$1:$I$88,3,0)*VLOOKUP('Données projet'!$B$17,Paramètres!$A$1:$I$88,5,0)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projet'!$B$17,Paramètres!$A$1:$I$88,7,0))</f>
        <v>0</v>
      </c>
      <c r="GJ32" s="16">
        <f>IF(ISNA(VLOOKUP(A32,'Données projet'!$A$243:$I$263,6,0)),0%,VLOOKUP(A32,'Données projet'!$A$243:$I$263,6,0)*VLOOKUP('Données projet'!$B$17,Paramètres!$A$1:$I$88,7,0))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projet'!$B$17,Paramètres!$A$1:$I$88,3,0)*0.475*44/12</f>
        <v>#N/A</v>
      </c>
      <c r="GM32" s="21" t="e">
        <f>EXP(-LN(2)/25)*GM31+(1-EXP(-LN(2)/25))/(LN(2)/25)*Calculateur!GH32*Calculateur!GJ32*VLOOKUP('Données projet'!$B$17,Paramètres!$A$1:$I$88,3,0)*0.475*44/12</f>
        <v>#N/A</v>
      </c>
      <c r="GN32" s="21" t="e">
        <f>EXP(-LN(2)/2)*GN31+(1-EXP(-LN(2)/2))/(LN(2)/2)*GH32*GK32*VLOOKUP('Données projet'!$B$17,Paramètres!$A$1:$I$88,3,0)*0.475*44/12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projet'!$B$18,Paramètres!$A$1:$I$88,3,0)*VLOOKUP('Données projet'!$B$18,Paramètres!$A$1:$I$88,5,0)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projet'!$B$18,Paramètres!$A$1:$I$88,7,0))</f>
        <v>0</v>
      </c>
      <c r="HE32" s="16">
        <f>IF(ISNA(VLOOKUP(A32,'Données projet'!$A$269:$I$289,6,0)),0%,VLOOKUP(A32,'Données projet'!$A$269:$I$289,6,0)*VLOOKUP('Données projet'!$B$18,Paramètres!$A$1:$I$88,7,0))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projet'!$B$18,Paramètres!$A$1:$I$88,3,0)*0.475*44/12</f>
        <v>#N/A</v>
      </c>
      <c r="HH32" s="21" t="e">
        <f>EXP(-LN(2)/25)*HH31+(1-EXP(-LN(2)/25))/(LN(2)/25)*Calculateur!HC32*Calculateur!HE32*VLOOKUP('Données projet'!$B$18,Paramètres!$A$1:$I$88,3,0)*0.475*44/12</f>
        <v>#N/A</v>
      </c>
      <c r="HI32" s="21" t="e">
        <f>EXP(-LN(2)/2)*HI31+(1-EXP(-LN(2)/2))/(LN(2)/2)*HC32*HF32*VLOOKUP('Données projet'!$B$18,Paramètres!$A$1:$I$88,3,0)*0.475*44/12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14.833333333333334</v>
      </c>
      <c r="N33" s="13">
        <f>IF('Données projet'!$A$36&gt;35,N32+M33-V32,IF(A33&lt;'Données projet'!$A$36,$K$205^A33,IF(A33='Données projet'!$A$36,'Données projet'!$B$36,N32+M33-V32)))</f>
        <v>184.66666666666669</v>
      </c>
      <c r="O33" s="13">
        <f>N33*VLOOKUP('Données projet'!$B$9,Paramètres!$A$1:$I$88,3,0)*VLOOKUP('Données projet'!$B$9,Paramètres!$A$1:$I$88,5,0)</f>
        <v>110.43066666666668</v>
      </c>
      <c r="P33" s="13">
        <f t="shared" si="33"/>
        <v>29.43242991113809</v>
      </c>
      <c r="Q33" s="20">
        <f t="shared" si="2"/>
        <v>243.5948932063433</v>
      </c>
      <c r="R33" s="59">
        <f t="shared" si="0"/>
        <v>536.92822653967664</v>
      </c>
      <c r="S33" s="59">
        <f ca="1">AVERAGE(OFFSET($R$3,0,0,'Données projet'!$E$9+1,1))-AVERAGE(OFFSET($H$3,0,0,'Données projet'!$E$9+1,1))</f>
        <v>195.73441209602686</v>
      </c>
      <c r="T33" s="59">
        <f t="shared" si="34"/>
        <v>219.19129224309006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projet'!$B$9,Paramètres!$A$1:$I$88,7,0))</f>
        <v>0</v>
      </c>
      <c r="X33" s="16">
        <f>IF(ISNA(VLOOKUP(A33,'Données projet'!$A$35:$I$55,6,0)),0%,VLOOKUP(A33,'Données projet'!$A$35:$I$55,6,0)*VLOOKUP('Données projet'!$B$9,Paramètres!$A$1:$I$88,7,0))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projet'!$B$9,Paramètres!$A$1:$I$88,3,0)*0.475*44/12</f>
        <v>15.25233467824587</v>
      </c>
      <c r="AA33" s="21">
        <f>EXP(-LN(2)/25)*AA32+(1-EXP(-LN(2)/25))/(LN(2)/25)*Calculateur!V33*Calculateur!X33*VLOOKUP('Données projet'!$B$9,Paramètres!$A$1:$I$88,3,0)*0.475*44/12</f>
        <v>14.157648922040496</v>
      </c>
      <c r="AB33" s="21">
        <f>EXP(-LN(2)/2)*AB32+(1-EXP(-LN(2)/2))/(LN(2)/2)*V33*Y33*VLOOKUP('Données projet'!$B$9,Paramètres!$A$1:$I$88,3,0)*0.475*44/12</f>
        <v>3.9672358237548444E-2</v>
      </c>
      <c r="AC33" s="22">
        <f t="shared" si="3"/>
        <v>29.449655958523916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218</v>
      </c>
      <c r="AG33" s="12">
        <f>VLOOKUP(A33,'Données projet'!$A$61:$I$81,9,0)</f>
        <v>13</v>
      </c>
      <c r="AH33" s="12">
        <f t="array" ref="AH33">INDEX(AG:AG,MIN(IF(ISNUMBER(AG33:AG229),ROW(AG33:AG229),"")))</f>
        <v>13</v>
      </c>
      <c r="AI33" s="13">
        <f>IF('Données projet'!$A$62&gt;35,AI32+AH33-AQ32,IF(A33&lt;'Données projet'!$A$62,$AF$205^A33,IF(A33='Données projet'!$A$62,'Données projet'!$B$62,AI32+AH33-AQ32)))</f>
        <v>218</v>
      </c>
      <c r="AJ33" s="13">
        <f>AI33*VLOOKUP('Données projet'!$B$10,Paramètres!$A$1:$I$88,3,0)*VLOOKUP('Données projet'!$B$10,Paramètres!$A$1:$I$88,5,0)</f>
        <v>130.364</v>
      </c>
      <c r="AK33" s="13">
        <f t="shared" si="35"/>
        <v>34.080455352788661</v>
      </c>
      <c r="AL33" s="20">
        <f t="shared" si="4"/>
        <v>286.40742640610694</v>
      </c>
      <c r="AM33" s="59">
        <f t="shared" si="5"/>
        <v>579.74075973944025</v>
      </c>
      <c r="AN33" s="59">
        <f ca="1">AVERAGE(OFFSET($AM$3,0,0,'Données projet'!$E$10+1,1))-AVERAGE(OFFSET($H$3,0,0,'Données projet'!$E$10+1,1))</f>
        <v>246.59447135626942</v>
      </c>
      <c r="AO33" s="59">
        <f t="shared" si="36"/>
        <v>262.00382544285367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projet'!$B$10,Paramètres!$A$1:$I$88,7,0))</f>
        <v>0</v>
      </c>
      <c r="AS33" s="16">
        <f>IF(ISNA(VLOOKUP(A33,'Données projet'!$A$61:$I$81,6,0)),0%,VLOOKUP(A33,'Données projet'!$A$61:$I$81,6,0)*VLOOKUP('Données projet'!$B$10,Paramètres!$A$1:$I$88,7,0))</f>
        <v>0.22500000000000001</v>
      </c>
      <c r="AT33" s="16">
        <f>IF(ISNA(VLOOKUP(A33,'Données projet'!$A$61:$I$81,7,0)),0%,VLOOKUP(A33,'Données projet'!$A$61:$I$81,7,0))</f>
        <v>0.5</v>
      </c>
      <c r="AU33" s="21">
        <f>EXP(-LN(2)/35)*AU32+(1-EXP(-LN(2)/35))/(LN(2)/35)*AQ33*AR33*VLOOKUP('Données projet'!$B$10,Paramètres!$A$1:$I$88,3,0)*0.475*44/12</f>
        <v>0</v>
      </c>
      <c r="AV33" s="21">
        <f>EXP(-LN(2)/25)*AV32+(1-EXP(-LN(2)/25))/(LN(2)/25)*Calculateur!AQ33*Calculateur!AS33*VLOOKUP('Données projet'!$B$10,Paramètres!$A$1:$I$88,3,0)*0.475*44/12</f>
        <v>12.84926355185025</v>
      </c>
      <c r="AW33" s="21">
        <f>EXP(-LN(2)/2)*AW32+(1-EXP(-LN(2)/2))/(LN(2)/2)*AQ33*AT33*VLOOKUP('Données projet'!$B$10,Paramètres!$A$1:$I$88,3,0)*0.475*44/12</f>
        <v>23.729359873818968</v>
      </c>
      <c r="AX33" s="21">
        <f t="shared" si="6"/>
        <v>36.578623425669221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321</v>
      </c>
      <c r="BB33" s="12">
        <f>VLOOKUP(A33,'Données projet'!$A$87:$I$107,9,0)</f>
        <v>22.2</v>
      </c>
      <c r="BC33" s="12">
        <f t="array" ref="BC33">INDEX(BB:BB,MIN(IF(ISNUMBER(BB33:BB229),ROW(BB33:BB229),"")))</f>
        <v>22.2</v>
      </c>
      <c r="BD33" s="12">
        <f>IF('Données projet'!$A$88&gt;35,BD32+BC33-BL32,IF(A33&lt;'Données projet'!$A$88,$BA$205^A33,IF(A33='Données projet'!$A$88,'Données projet'!$B$88,BD32+BC33-BL32)))</f>
        <v>320.99999999999989</v>
      </c>
      <c r="BE33" s="13">
        <f>BD33*VLOOKUP('Données projet'!$B$11,Paramètres!$A$1:$I$88,3,0)*VLOOKUP('Données projet'!$B$11,Paramètres!$A$1:$I$88,5,0)</f>
        <v>179.43899999999994</v>
      </c>
      <c r="BF33" s="13">
        <f t="shared" si="37"/>
        <v>45.19735133639599</v>
      </c>
      <c r="BG33" s="20">
        <f t="shared" si="7"/>
        <v>391.24164524422287</v>
      </c>
      <c r="BH33" s="59">
        <f t="shared" si="8"/>
        <v>684.57497857755618</v>
      </c>
      <c r="BI33" s="59">
        <f ca="1">AVERAGE(OFFSET($BH$3,0,0,'Données projet'!$E$11+1,1))-AVERAGE(OFFSET($H$3,0,0,'Données projet'!$E$11+1,1))</f>
        <v>355.96253323046608</v>
      </c>
      <c r="BJ33" s="59">
        <f t="shared" si="38"/>
        <v>366.8380442809696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112</v>
      </c>
      <c r="BM33" s="16">
        <f>IF(ISNA(VLOOKUP(A33,'Données projet'!$A$87:$I$107,5,0)),0%,VLOOKUP(A33,'Données projet'!$A$87:$I$107,5,0)*VLOOKUP('Données projet'!$B$11,Paramètres!$A$1:$I$88,7,0))</f>
        <v>0</v>
      </c>
      <c r="BN33" s="16">
        <f>IF(ISNA(VLOOKUP(A33,'Données projet'!$A$87:$I$107,6,0)),0%,VLOOKUP(A33,'Données projet'!$A$87:$I$107,6,0)*VLOOKUP('Données projet'!$B$11,Paramètres!$A$1:$I$88,7,0))</f>
        <v>0.27500000000000002</v>
      </c>
      <c r="BO33" s="16">
        <f>IF(ISNA(VLOOKUP(A33,'Données projet'!$A$87:$I$107,7,0)),0%,VLOOKUP(A33,'Données projet'!$A$87:$I$107,7,0))</f>
        <v>0.5</v>
      </c>
      <c r="BP33" s="21">
        <f>EXP(-LN(2)/35)*BP32+(1-EXP(-LN(2)/35))/(LN(2)/35)*BL33*BM33*VLOOKUP('Données projet'!$B$11,Paramètres!$A$1:$I$88,3,0)*0.475*44/12</f>
        <v>0</v>
      </c>
      <c r="BQ33" s="21">
        <f>EXP(-LN(2)/25)*BQ32+(1-EXP(-LN(2)/25))/(LN(2)/25)*Calculateur!BL33*Calculateur!BN33*VLOOKUP('Données projet'!$B$11,Paramètres!$A$1:$I$88,3,0)*0.475*44/12</f>
        <v>22.749796840116328</v>
      </c>
      <c r="BR33" s="21">
        <f>EXP(-LN(2)/2)*BR32+(1-EXP(-LN(2)/2))/(LN(2)/2)*BL33*BO33*VLOOKUP('Données projet'!$B$11,Paramètres!$A$1:$I$88,3,0)*0.475*44/12</f>
        <v>36.689456867455661</v>
      </c>
      <c r="BS33" s="22">
        <f t="shared" si="9"/>
        <v>59.439253707571993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174</v>
      </c>
      <c r="BW33" s="12">
        <f>VLOOKUP(A33,'Données projet'!$A$113:$I$133,9,0)</f>
        <v>12.2</v>
      </c>
      <c r="BX33" s="12">
        <f t="array" ref="BX33">INDEX(BW:BW,MIN(IF(ISNUMBER(BW33:BW229),ROW(BW33:BW229),"")))</f>
        <v>12.2</v>
      </c>
      <c r="BY33" s="12">
        <f>IF('Données projet'!$A$114&gt;35,BY32+BX33-CG32,IF(A33&lt;'Données projet'!$A$114,$BV$205^A33,IF(A33='Données projet'!$A$114,'Données projet'!$B$114,BY32+BX33-CG32)))</f>
        <v>173.99999999999997</v>
      </c>
      <c r="BZ33" s="13">
        <f>BY33*VLOOKUP('Données projet'!$B$12,Paramètres!$A$1:$I$88,3,0)*VLOOKUP('Données projet'!$B$12,Paramètres!$A$1:$I$88,5,0)</f>
        <v>114.00479999999997</v>
      </c>
      <c r="CA33" s="13">
        <f t="shared" si="39"/>
        <v>30.272573949217303</v>
      </c>
      <c r="CB33" s="20">
        <f t="shared" si="10"/>
        <v>251.28309296155342</v>
      </c>
      <c r="CC33" s="59">
        <f t="shared" si="11"/>
        <v>544.61642629488676</v>
      </c>
      <c r="CD33" s="59">
        <f ca="1">AVERAGE(OFFSET($CC$3,0,0,'Données projet'!$E$12+1,1))-AVERAGE(OFFSET($H$3,0,0,'Données projet'!$E$12+1,1))</f>
        <v>180.90147430936133</v>
      </c>
      <c r="CE33" s="59">
        <f t="shared" si="40"/>
        <v>226.87949199830018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56</v>
      </c>
      <c r="CH33" s="16">
        <f>IF(ISNA(VLOOKUP(A33,'Données projet'!$A$113:$I$133,5,0)),0%,VLOOKUP(A33,'Données projet'!$A$113:$I$133,5,0)*VLOOKUP('Données projet'!$B$12,Paramètres!$A$1:$I$88,7,0))</f>
        <v>0</v>
      </c>
      <c r="CI33" s="16">
        <f>IF(ISNA(VLOOKUP(A33,'Données projet'!$A$113:$I$133,6,0)),0%,VLOOKUP(A33,'Données projet'!$A$113:$I$133,6,0)*VLOOKUP('Données projet'!$B$12,Paramètres!$A$1:$I$88,7,0))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projet'!$B$12,Paramètres!$A$1:$I$88,3,0)*0.475*44/12</f>
        <v>0</v>
      </c>
      <c r="CL33" s="21">
        <f>EXP(-LN(2)/25)*CL32+(1-EXP(-LN(2)/25))/(LN(2)/25)*Calculateur!CG33*Calculateur!CI33*VLOOKUP('Données projet'!$B$12,Paramètres!$A$1:$I$88,3,0)*0.475*44/12</f>
        <v>6.8705347775648331</v>
      </c>
      <c r="CM33" s="21">
        <f>EXP(-LN(2)/2)*CM32+(1-EXP(-LN(2)/2))/(LN(2)/2)*CG33*CJ33*VLOOKUP('Données projet'!$B$12,Paramètres!$A$1:$I$88,3,0)*0.475*44/12</f>
        <v>8.8624598532401677</v>
      </c>
      <c r="CN33" s="22">
        <f t="shared" si="12"/>
        <v>15.732994630805001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5.6843418860808015E-14</v>
      </c>
      <c r="CU33" s="17">
        <f>CT33*VLOOKUP('Données projet'!$B$13,Paramètres!$A$1:$I$88,3,0)*VLOOKUP('Données projet'!$B$13,Paramètres!$A$1:$I$88,5,0)</f>
        <v>2.8908289095852525E-14</v>
      </c>
      <c r="CV33" s="13">
        <f t="shared" si="41"/>
        <v>5.0177780569126974E-13</v>
      </c>
      <c r="CW33" s="20">
        <f t="shared" si="13"/>
        <v>9.2427828175423786E-13</v>
      </c>
      <c r="CX33" s="59">
        <f t="shared" si="14"/>
        <v>293.33333333333422</v>
      </c>
      <c r="CY33" s="59">
        <f ca="1">AVERAGE(OFFSET($CX$3,0,0,'Données projet'!$E$13+1,1))-AVERAGE(OFFSET($H$3,0,0,'Données projet'!$E$13+1,1))</f>
        <v>133.08385802816008</v>
      </c>
      <c r="CZ33" s="59">
        <f t="shared" si="42"/>
        <v>316.59112511251385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projet'!$B$13,Paramètres!$A$1:$I$88,7,0))</f>
        <v>0</v>
      </c>
      <c r="DD33" s="16">
        <f>IF(ISNA(VLOOKUP(A33,'Données projet'!$A$139:$I$159,6,0)),0%,VLOOKUP(A33,'Données projet'!$A$139:$I$159,6,0)*VLOOKUP('Données projet'!$B$13,Paramètres!$A$1:$I$88,7,0))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projet'!$B$13,Paramètres!$A$1:$I$88,3,0)*0.475*44/12</f>
        <v>72.206036289684278</v>
      </c>
      <c r="DG33" s="21">
        <f>EXP(-LN(2)/25)*DG32+(1-EXP(-LN(2)/25))/(LN(2)/25)*Calculateur!DB33*Calculateur!DD33*VLOOKUP('Données projet'!$B$13,Paramètres!$A$1:$I$88,3,0)*0.475*44/12</f>
        <v>0</v>
      </c>
      <c r="DH33" s="21">
        <f>EXP(-LN(2)/2)*DH32+(1-EXP(-LN(2)/2))/(LN(2)/2)*DB33*DE33*VLOOKUP('Données projet'!$B$13,Paramètres!$A$1:$I$88,3,0)*0.475*44/12</f>
        <v>5.6544036965421371</v>
      </c>
      <c r="DI33" s="22">
        <f t="shared" si="15"/>
        <v>77.86043998622641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projet'!$B$14,Paramètres!$A$1:$I$88,3,0)*VLOOKUP('Données projet'!$B$14,Paramètres!$A$1:$I$88,5,0)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projet'!$B$14,Paramètres!$A$1:$I$88,7,0))</f>
        <v>0</v>
      </c>
      <c r="DY33" s="16">
        <f>IF(ISNA(VLOOKUP(A33,'Données projet'!$A$165:$I$185,6,0)),0%,VLOOKUP(A33,'Données projet'!$A$165:$I$185,6,0)*VLOOKUP('Données projet'!$B$14,Paramètres!$A$1:$I$88,7,0))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projet'!$B$14,Paramètres!$A$1:$I$88,3,0)*0.475*44/12</f>
        <v>#N/A</v>
      </c>
      <c r="EB33" s="21" t="e">
        <f>EXP(-LN(2)/25)*EB32+(1-EXP(-LN(2)/25))/(LN(2)/25)*Calculateur!DW33*Calculateur!DY33*VLOOKUP('Données projet'!$B$14,Paramètres!$A$1:$I$88,3,0)*0.475*44/12</f>
        <v>#N/A</v>
      </c>
      <c r="EC33" s="21" t="e">
        <f>EXP(-LN(2)/2)*EC32+(1-EXP(-LN(2)/2))/(LN(2)/2)*DW33*DZ33*VLOOKUP('Données projet'!$B$14,Paramètres!$A$1:$I$88,3,0)*0.475*44/12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projet'!$B$15,Paramètres!$A$1:$I$88,3,0)*VLOOKUP('Données projet'!$B$15,Paramètres!$A$1:$I$88,5,0)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projet'!$B$15,Paramètres!$A$1:$I$88,7,0))</f>
        <v>0</v>
      </c>
      <c r="ET33" s="16">
        <f>IF(ISNA(VLOOKUP(A33,'Données projet'!$A$191:$I$211,6,0)),0%,VLOOKUP(A33,'Données projet'!$A$191:$I$211,6,0)*VLOOKUP('Données projet'!$B$15,Paramètres!$A$1:$I$88,7,0))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projet'!$B$15,Paramètres!$A$1:$I$88,3,0)*0.475*44/12</f>
        <v>#N/A</v>
      </c>
      <c r="EW33" s="21" t="e">
        <f>EXP(-LN(2)/25)*EW32+(1-EXP(-LN(2)/25))/(LN(2)/25)*Calculateur!ER33*Calculateur!ET33*VLOOKUP('Données projet'!$B$15,Paramètres!$A$1:$I$88,3,0)*0.475*44/12</f>
        <v>#N/A</v>
      </c>
      <c r="EX33" s="21" t="e">
        <f>EXP(-LN(2)/2)*EX32+(1-EXP(-LN(2)/2))/(LN(2)/2)*ER33*EU33*VLOOKUP('Données projet'!$B$15,Paramètres!$A$1:$I$88,3,0)*0.475*44/12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projet'!$B$16,Paramètres!$A$1:$I$88,3,0)*VLOOKUP('Données projet'!$B$16,Paramètres!$A$1:$I$88,5,0)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projet'!$B$16,Paramètres!$A$1:$I$88,7,0))</f>
        <v>0</v>
      </c>
      <c r="FO33" s="16">
        <f>IF(ISNA(VLOOKUP(A33,'Données projet'!$A$217:$I$237,6,0)),0%,VLOOKUP(A33,'Données projet'!$A$217:$I$237,6,0)*VLOOKUP('Données projet'!$B$16,Paramètres!$A$1:$I$88,7,0))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projet'!$B$16,Paramètres!$A$1:$I$88,3,0)*0.475*44/12</f>
        <v>#N/A</v>
      </c>
      <c r="FR33" s="21" t="e">
        <f>EXP(-LN(2)/25)*FR32+(1-EXP(-LN(2)/25))/(LN(2)/25)*Calculateur!FM33*Calculateur!FO33*VLOOKUP('Données projet'!$B$16,Paramètres!$A$1:$I$88,3,0)*0.475*44/12</f>
        <v>#N/A</v>
      </c>
      <c r="FS33" s="21" t="e">
        <f>EXP(-LN(2)/2)*FS32+(1-EXP(-LN(2)/2))/(LN(2)/2)*FM33*FP33*VLOOKUP('Données projet'!$B$16,Paramètres!$A$1:$I$88,3,0)*0.475*44/12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projet'!$B$17,Paramètres!$A$1:$I$88,3,0)*VLOOKUP('Données projet'!$B$17,Paramètres!$A$1:$I$88,5,0)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projet'!$B$17,Paramètres!$A$1:$I$88,7,0))</f>
        <v>0</v>
      </c>
      <c r="GJ33" s="16">
        <f>IF(ISNA(VLOOKUP(A33,'Données projet'!$A$243:$I$263,6,0)),0%,VLOOKUP(A33,'Données projet'!$A$243:$I$263,6,0)*VLOOKUP('Données projet'!$B$17,Paramètres!$A$1:$I$88,7,0))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projet'!$B$17,Paramètres!$A$1:$I$88,3,0)*0.475*44/12</f>
        <v>#N/A</v>
      </c>
      <c r="GM33" s="21" t="e">
        <f>EXP(-LN(2)/25)*GM32+(1-EXP(-LN(2)/25))/(LN(2)/25)*Calculateur!GH33*Calculateur!GJ33*VLOOKUP('Données projet'!$B$17,Paramètres!$A$1:$I$88,3,0)*0.475*44/12</f>
        <v>#N/A</v>
      </c>
      <c r="GN33" s="21" t="e">
        <f>EXP(-LN(2)/2)*GN32+(1-EXP(-LN(2)/2))/(LN(2)/2)*GH33*GK33*VLOOKUP('Données projet'!$B$17,Paramètres!$A$1:$I$88,3,0)*0.475*44/12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projet'!$B$18,Paramètres!$A$1:$I$88,3,0)*VLOOKUP('Données projet'!$B$18,Paramètres!$A$1:$I$88,5,0)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projet'!$B$18,Paramètres!$A$1:$I$88,7,0))</f>
        <v>0</v>
      </c>
      <c r="HE33" s="16">
        <f>IF(ISNA(VLOOKUP(A33,'Données projet'!$A$269:$I$289,6,0)),0%,VLOOKUP(A33,'Données projet'!$A$269:$I$289,6,0)*VLOOKUP('Données projet'!$B$18,Paramètres!$A$1:$I$88,7,0))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projet'!$B$18,Paramètres!$A$1:$I$88,3,0)*0.475*44/12</f>
        <v>#N/A</v>
      </c>
      <c r="HH33" s="21" t="e">
        <f>EXP(-LN(2)/25)*HH32+(1-EXP(-LN(2)/25))/(LN(2)/25)*Calculateur!HC33*Calculateur!HE33*VLOOKUP('Données projet'!$B$18,Paramètres!$A$1:$I$88,3,0)*0.475*44/12</f>
        <v>#N/A</v>
      </c>
      <c r="HI33" s="21" t="e">
        <f>EXP(-LN(2)/2)*HI32+(1-EXP(-LN(2)/2))/(LN(2)/2)*HC33*HF33*VLOOKUP('Données projet'!$B$18,Paramètres!$A$1:$I$88,3,0)*0.475*44/12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14.833333333333334</v>
      </c>
      <c r="N34" s="13">
        <f>IF('Données projet'!$A$36&gt;35,N33+M34-V33,IF(A34&lt;'Données projet'!$A$36,$K$205^A34,IF(A34='Données projet'!$A$36,'Données projet'!$B$36,N33+M34-V33)))</f>
        <v>199.50000000000003</v>
      </c>
      <c r="O34" s="13">
        <f>N34*VLOOKUP('Données projet'!$B$9,Paramètres!$A$1:$I$88,3,0)*VLOOKUP('Données projet'!$B$9,Paramètres!$A$1:$I$88,5,0)</f>
        <v>119.30100000000002</v>
      </c>
      <c r="P34" s="13">
        <f t="shared" si="33"/>
        <v>31.51191363312137</v>
      </c>
      <c r="Q34" s="20">
        <f t="shared" si="2"/>
        <v>262.66582457768635</v>
      </c>
      <c r="R34" s="59">
        <f t="shared" si="0"/>
        <v>555.99915791101967</v>
      </c>
      <c r="S34" s="59">
        <f ca="1">AVERAGE(OFFSET($R$3,0,0,'Données projet'!$E$9+1,1))-AVERAGE(OFFSET($H$3,0,0,'Données projet'!$E$9+1,1))</f>
        <v>195.73441209602686</v>
      </c>
      <c r="T34" s="59">
        <f t="shared" si="34"/>
        <v>219.19129224309006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projet'!$B$9,Paramètres!$A$1:$I$88,7,0))</f>
        <v>0</v>
      </c>
      <c r="X34" s="16">
        <f>IF(ISNA(VLOOKUP(A34,'Données projet'!$A$35:$I$55,6,0)),0%,VLOOKUP(A34,'Données projet'!$A$35:$I$55,6,0)*VLOOKUP('Données projet'!$B$9,Paramètres!$A$1:$I$88,7,0))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projet'!$B$9,Paramètres!$A$1:$I$88,3,0)*0.475*44/12</f>
        <v>14.953245698211026</v>
      </c>
      <c r="AA34" s="21">
        <f>EXP(-LN(2)/25)*AA33+(1-EXP(-LN(2)/25))/(LN(2)/25)*Calculateur!V34*Calculateur!X34*VLOOKUP('Données projet'!$B$9,Paramètres!$A$1:$I$88,3,0)*0.475*44/12</f>
        <v>13.770507267748899</v>
      </c>
      <c r="AB34" s="21">
        <f>EXP(-LN(2)/2)*AB33+(1-EXP(-LN(2)/2))/(LN(2)/2)*V34*Y34*VLOOKUP('Données projet'!$B$9,Paramètres!$A$1:$I$88,3,0)*0.475*44/12</f>
        <v>2.8052593535432494E-2</v>
      </c>
      <c r="AC34" s="22">
        <f t="shared" si="3"/>
        <v>28.751805559495356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13.7</v>
      </c>
      <c r="AI34" s="13">
        <f>IF('Données projet'!$A$62&gt;35,AI33+AH34-AQ33,IF(A34&lt;'Données projet'!$A$62,$AF$205^A34,IF(A34='Données projet'!$A$62,'Données projet'!$B$62,AI33+AH34-AQ33)))</f>
        <v>161.69999999999999</v>
      </c>
      <c r="AJ34" s="13">
        <f>AI34*VLOOKUP('Données projet'!$B$10,Paramètres!$A$1:$I$88,3,0)*VLOOKUP('Données projet'!$B$10,Paramètres!$A$1:$I$88,5,0)</f>
        <v>96.696600000000004</v>
      </c>
      <c r="AK34" s="13">
        <f t="shared" si="35"/>
        <v>26.173476069859898</v>
      </c>
      <c r="AL34" s="20">
        <f t="shared" si="4"/>
        <v>213.99871582167268</v>
      </c>
      <c r="AM34" s="59">
        <f t="shared" si="5"/>
        <v>507.33204915500596</v>
      </c>
      <c r="AN34" s="59">
        <f ca="1">AVERAGE(OFFSET($AM$3,0,0,'Données projet'!$E$10+1,1))-AVERAGE(OFFSET($H$3,0,0,'Données projet'!$E$10+1,1))</f>
        <v>246.59447135626942</v>
      </c>
      <c r="AO34" s="59">
        <f t="shared" si="36"/>
        <v>262.00382544285367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projet'!$B$10,Paramètres!$A$1:$I$88,7,0))</f>
        <v>0</v>
      </c>
      <c r="AS34" s="16">
        <f>IF(ISNA(VLOOKUP(A34,'Données projet'!$A$61:$I$81,6,0)),0%,VLOOKUP(A34,'Données projet'!$A$61:$I$81,6,0)*VLOOKUP('Données projet'!$B$10,Paramètres!$A$1:$I$88,7,0))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projet'!$B$10,Paramètres!$A$1:$I$88,3,0)*0.475*44/12</f>
        <v>0</v>
      </c>
      <c r="AV34" s="21">
        <f>EXP(-LN(2)/25)*AV33+(1-EXP(-LN(2)/25))/(LN(2)/25)*Calculateur!AQ34*Calculateur!AS34*VLOOKUP('Données projet'!$B$10,Paramètres!$A$1:$I$88,3,0)*0.475*44/12</f>
        <v>12.497899764311502</v>
      </c>
      <c r="AW34" s="21">
        <f>EXP(-LN(2)/2)*AW33+(1-EXP(-LN(2)/2))/(LN(2)/2)*AQ34*AT34*VLOOKUP('Données projet'!$B$10,Paramètres!$A$1:$I$88,3,0)*0.475*44/12</f>
        <v>16.779191279993352</v>
      </c>
      <c r="AX34" s="21">
        <f t="shared" si="6"/>
        <v>29.277091044304854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22</v>
      </c>
      <c r="BD34" s="12">
        <f>IF('Données projet'!$A$88&gt;35,BD33+BC34-BL33,IF(A34&lt;'Données projet'!$A$88,$BA$205^A34,IF(A34='Données projet'!$A$88,'Données projet'!$B$88,BD33+BC34-BL33)))</f>
        <v>230.99999999999989</v>
      </c>
      <c r="BE34" s="13">
        <f>BD34*VLOOKUP('Données projet'!$B$11,Paramètres!$A$1:$I$88,3,0)*VLOOKUP('Données projet'!$B$11,Paramètres!$A$1:$I$88,5,0)</f>
        <v>129.12899999999993</v>
      </c>
      <c r="BF34" s="13">
        <f t="shared" si="37"/>
        <v>33.795018128858409</v>
      </c>
      <c r="BG34" s="20">
        <f t="shared" si="7"/>
        <v>283.75933157442824</v>
      </c>
      <c r="BH34" s="59">
        <f t="shared" si="8"/>
        <v>577.09266490776156</v>
      </c>
      <c r="BI34" s="59">
        <f ca="1">AVERAGE(OFFSET($BH$3,0,0,'Données projet'!$E$11+1,1))-AVERAGE(OFFSET($H$3,0,0,'Données projet'!$E$11+1,1))</f>
        <v>355.96253323046608</v>
      </c>
      <c r="BJ34" s="59">
        <f t="shared" si="38"/>
        <v>366.8380442809696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projet'!$B$11,Paramètres!$A$1:$I$88,7,0))</f>
        <v>0</v>
      </c>
      <c r="BN34" s="16">
        <f>IF(ISNA(VLOOKUP(A34,'Données projet'!$A$87:$I$107,6,0)),0%,VLOOKUP(A34,'Données projet'!$A$87:$I$107,6,0)*VLOOKUP('Données projet'!$B$11,Paramètres!$A$1:$I$88,7,0))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projet'!$B$11,Paramètres!$A$1:$I$88,3,0)*0.475*44/12</f>
        <v>0</v>
      </c>
      <c r="BQ34" s="21">
        <f>EXP(-LN(2)/25)*BQ33+(1-EXP(-LN(2)/25))/(LN(2)/25)*Calculateur!BL34*Calculateur!BN34*VLOOKUP('Données projet'!$B$11,Paramètres!$A$1:$I$88,3,0)*0.475*44/12</f>
        <v>22.127702449163525</v>
      </c>
      <c r="BR34" s="21">
        <f>EXP(-LN(2)/2)*BR33+(1-EXP(-LN(2)/2))/(LN(2)/2)*BL34*BO34*VLOOKUP('Données projet'!$B$11,Paramètres!$A$1:$I$88,3,0)*0.475*44/12</f>
        <v>25.943363749029245</v>
      </c>
      <c r="BS34" s="22">
        <f t="shared" si="9"/>
        <v>48.071066198192767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10.199999999999999</v>
      </c>
      <c r="BY34" s="12">
        <f>IF('Données projet'!$A$114&gt;35,BY33+BX34-CG33,IF(A34&lt;'Données projet'!$A$114,$BV$205^A34,IF(A34='Données projet'!$A$114,'Données projet'!$B$114,BY33+BX34-CG33)))</f>
        <v>128.19999999999996</v>
      </c>
      <c r="BZ34" s="13">
        <f>BY34*VLOOKUP('Données projet'!$B$12,Paramètres!$A$1:$I$88,3,0)*VLOOKUP('Données projet'!$B$12,Paramètres!$A$1:$I$88,5,0)</f>
        <v>83.996639999999971</v>
      </c>
      <c r="CA34" s="13">
        <f t="shared" si="39"/>
        <v>23.111593592622707</v>
      </c>
      <c r="CB34" s="20">
        <f t="shared" si="10"/>
        <v>186.54684017381783</v>
      </c>
      <c r="CC34" s="59">
        <f t="shared" si="11"/>
        <v>479.88017350715114</v>
      </c>
      <c r="CD34" s="59">
        <f ca="1">AVERAGE(OFFSET($CC$3,0,0,'Données projet'!$E$12+1,1))-AVERAGE(OFFSET($H$3,0,0,'Données projet'!$E$12+1,1))</f>
        <v>180.90147430936133</v>
      </c>
      <c r="CE34" s="59">
        <f t="shared" si="40"/>
        <v>226.87949199830018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projet'!$B$12,Paramètres!$A$1:$I$88,7,0))</f>
        <v>0</v>
      </c>
      <c r="CI34" s="16">
        <f>IF(ISNA(VLOOKUP(A34,'Données projet'!$A$113:$I$133,6,0)),0%,VLOOKUP(A34,'Données projet'!$A$113:$I$133,6,0)*VLOOKUP('Données projet'!$B$12,Paramètres!$A$1:$I$88,7,0))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projet'!$B$12,Paramètres!$A$1:$I$88,3,0)*0.475*44/12</f>
        <v>0</v>
      </c>
      <c r="CL34" s="21">
        <f>EXP(-LN(2)/25)*CL33+(1-EXP(-LN(2)/25))/(LN(2)/25)*Calculateur!CG34*Calculateur!CI34*VLOOKUP('Données projet'!$B$12,Paramètres!$A$1:$I$88,3,0)*0.475*44/12</f>
        <v>6.6826596427666018</v>
      </c>
      <c r="CM34" s="21">
        <f>EXP(-LN(2)/2)*CM33+(1-EXP(-LN(2)/2))/(LN(2)/2)*CG34*CJ34*VLOOKUP('Données projet'!$B$12,Paramètres!$A$1:$I$88,3,0)*0.475*44/12</f>
        <v>6.2667054602196579</v>
      </c>
      <c r="CN34" s="22">
        <f t="shared" si="12"/>
        <v>12.94936510298626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5.6843418860808015E-14</v>
      </c>
      <c r="CU34" s="17">
        <f>CT34*VLOOKUP('Données projet'!$B$13,Paramètres!$A$1:$I$88,3,0)*VLOOKUP('Données projet'!$B$13,Paramètres!$A$1:$I$88,5,0)</f>
        <v>2.8908289095852525E-14</v>
      </c>
      <c r="CV34" s="13">
        <f t="shared" si="41"/>
        <v>5.0177780569126974E-13</v>
      </c>
      <c r="CW34" s="20">
        <f t="shared" si="13"/>
        <v>9.2427828175423786E-13</v>
      </c>
      <c r="CX34" s="59">
        <f t="shared" si="14"/>
        <v>293.33333333333422</v>
      </c>
      <c r="CY34" s="59">
        <f ca="1">AVERAGE(OFFSET($CX$3,0,0,'Données projet'!$E$13+1,1))-AVERAGE(OFFSET($H$3,0,0,'Données projet'!$E$13+1,1))</f>
        <v>133.08385802816008</v>
      </c>
      <c r="CZ34" s="59">
        <f t="shared" si="42"/>
        <v>316.59112511251385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projet'!$B$13,Paramètres!$A$1:$I$88,7,0))</f>
        <v>0</v>
      </c>
      <c r="DD34" s="16">
        <f>IF(ISNA(VLOOKUP(A34,'Données projet'!$A$139:$I$159,6,0)),0%,VLOOKUP(A34,'Données projet'!$A$139:$I$159,6,0)*VLOOKUP('Données projet'!$B$13,Paramètres!$A$1:$I$88,7,0))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projet'!$B$13,Paramètres!$A$1:$I$88,3,0)*0.475*44/12</f>
        <v>70.79011995937698</v>
      </c>
      <c r="DG34" s="21">
        <f>EXP(-LN(2)/25)*DG33+(1-EXP(-LN(2)/25))/(LN(2)/25)*Calculateur!DB34*Calculateur!DD34*VLOOKUP('Données projet'!$B$13,Paramètres!$A$1:$I$88,3,0)*0.475*44/12</f>
        <v>0</v>
      </c>
      <c r="DH34" s="21">
        <f>EXP(-LN(2)/2)*DH33+(1-EXP(-LN(2)/2))/(LN(2)/2)*DB34*DE34*VLOOKUP('Données projet'!$B$13,Paramètres!$A$1:$I$88,3,0)*0.475*44/12</f>
        <v>3.9982671973912267</v>
      </c>
      <c r="DI34" s="22">
        <f t="shared" si="15"/>
        <v>74.788387156768209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projet'!$B$14,Paramètres!$A$1:$I$88,3,0)*VLOOKUP('Données projet'!$B$14,Paramètres!$A$1:$I$88,5,0)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projet'!$B$14,Paramètres!$A$1:$I$88,7,0))</f>
        <v>0</v>
      </c>
      <c r="DY34" s="16">
        <f>IF(ISNA(VLOOKUP(A34,'Données projet'!$A$165:$I$185,6,0)),0%,VLOOKUP(A34,'Données projet'!$A$165:$I$185,6,0)*VLOOKUP('Données projet'!$B$14,Paramètres!$A$1:$I$88,7,0))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projet'!$B$14,Paramètres!$A$1:$I$88,3,0)*0.475*44/12</f>
        <v>#N/A</v>
      </c>
      <c r="EB34" s="21" t="e">
        <f>EXP(-LN(2)/25)*EB33+(1-EXP(-LN(2)/25))/(LN(2)/25)*Calculateur!DW34*Calculateur!DY34*VLOOKUP('Données projet'!$B$14,Paramètres!$A$1:$I$88,3,0)*0.475*44/12</f>
        <v>#N/A</v>
      </c>
      <c r="EC34" s="21" t="e">
        <f>EXP(-LN(2)/2)*EC33+(1-EXP(-LN(2)/2))/(LN(2)/2)*DW34*DZ34*VLOOKUP('Données projet'!$B$14,Paramètres!$A$1:$I$88,3,0)*0.475*44/12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projet'!$B$15,Paramètres!$A$1:$I$88,3,0)*VLOOKUP('Données projet'!$B$15,Paramètres!$A$1:$I$88,5,0)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projet'!$B$15,Paramètres!$A$1:$I$88,7,0))</f>
        <v>0</v>
      </c>
      <c r="ET34" s="16">
        <f>IF(ISNA(VLOOKUP(A34,'Données projet'!$A$191:$I$211,6,0)),0%,VLOOKUP(A34,'Données projet'!$A$191:$I$211,6,0)*VLOOKUP('Données projet'!$B$15,Paramètres!$A$1:$I$88,7,0))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projet'!$B$15,Paramètres!$A$1:$I$88,3,0)*0.475*44/12</f>
        <v>#N/A</v>
      </c>
      <c r="EW34" s="21" t="e">
        <f>EXP(-LN(2)/25)*EW33+(1-EXP(-LN(2)/25))/(LN(2)/25)*Calculateur!ER34*Calculateur!ET34*VLOOKUP('Données projet'!$B$15,Paramètres!$A$1:$I$88,3,0)*0.475*44/12</f>
        <v>#N/A</v>
      </c>
      <c r="EX34" s="21" t="e">
        <f>EXP(-LN(2)/2)*EX33+(1-EXP(-LN(2)/2))/(LN(2)/2)*ER34*EU34*VLOOKUP('Données projet'!$B$15,Paramètres!$A$1:$I$88,3,0)*0.475*44/12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projet'!$B$16,Paramètres!$A$1:$I$88,3,0)*VLOOKUP('Données projet'!$B$16,Paramètres!$A$1:$I$88,5,0)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projet'!$B$16,Paramètres!$A$1:$I$88,7,0))</f>
        <v>0</v>
      </c>
      <c r="FO34" s="16">
        <f>IF(ISNA(VLOOKUP(A34,'Données projet'!$A$217:$I$237,6,0)),0%,VLOOKUP(A34,'Données projet'!$A$217:$I$237,6,0)*VLOOKUP('Données projet'!$B$16,Paramètres!$A$1:$I$88,7,0))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projet'!$B$16,Paramètres!$A$1:$I$88,3,0)*0.475*44/12</f>
        <v>#N/A</v>
      </c>
      <c r="FR34" s="21" t="e">
        <f>EXP(-LN(2)/25)*FR33+(1-EXP(-LN(2)/25))/(LN(2)/25)*Calculateur!FM34*Calculateur!FO34*VLOOKUP('Données projet'!$B$16,Paramètres!$A$1:$I$88,3,0)*0.475*44/12</f>
        <v>#N/A</v>
      </c>
      <c r="FS34" s="21" t="e">
        <f>EXP(-LN(2)/2)*FS33+(1-EXP(-LN(2)/2))/(LN(2)/2)*FM34*FP34*VLOOKUP('Données projet'!$B$16,Paramètres!$A$1:$I$88,3,0)*0.475*44/12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projet'!$B$17,Paramètres!$A$1:$I$88,3,0)*VLOOKUP('Données projet'!$B$17,Paramètres!$A$1:$I$88,5,0)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projet'!$B$17,Paramètres!$A$1:$I$88,7,0))</f>
        <v>0</v>
      </c>
      <c r="GJ34" s="16">
        <f>IF(ISNA(VLOOKUP(A34,'Données projet'!$A$243:$I$263,6,0)),0%,VLOOKUP(A34,'Données projet'!$A$243:$I$263,6,0)*VLOOKUP('Données projet'!$B$17,Paramètres!$A$1:$I$88,7,0))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projet'!$B$17,Paramètres!$A$1:$I$88,3,0)*0.475*44/12</f>
        <v>#N/A</v>
      </c>
      <c r="GM34" s="21" t="e">
        <f>EXP(-LN(2)/25)*GM33+(1-EXP(-LN(2)/25))/(LN(2)/25)*Calculateur!GH34*Calculateur!GJ34*VLOOKUP('Données projet'!$B$17,Paramètres!$A$1:$I$88,3,0)*0.475*44/12</f>
        <v>#N/A</v>
      </c>
      <c r="GN34" s="21" t="e">
        <f>EXP(-LN(2)/2)*GN33+(1-EXP(-LN(2)/2))/(LN(2)/2)*GH34*GK34*VLOOKUP('Données projet'!$B$17,Paramètres!$A$1:$I$88,3,0)*0.475*44/12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projet'!$B$18,Paramètres!$A$1:$I$88,3,0)*VLOOKUP('Données projet'!$B$18,Paramètres!$A$1:$I$88,5,0)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projet'!$B$18,Paramètres!$A$1:$I$88,7,0))</f>
        <v>0</v>
      </c>
      <c r="HE34" s="16">
        <f>IF(ISNA(VLOOKUP(A34,'Données projet'!$A$269:$I$289,6,0)),0%,VLOOKUP(A34,'Données projet'!$A$269:$I$289,6,0)*VLOOKUP('Données projet'!$B$18,Paramètres!$A$1:$I$88,7,0))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projet'!$B$18,Paramètres!$A$1:$I$88,3,0)*0.475*44/12</f>
        <v>#N/A</v>
      </c>
      <c r="HH34" s="21" t="e">
        <f>EXP(-LN(2)/25)*HH33+(1-EXP(-LN(2)/25))/(LN(2)/25)*Calculateur!HC34*Calculateur!HE34*VLOOKUP('Données projet'!$B$18,Paramètres!$A$1:$I$88,3,0)*0.475*44/12</f>
        <v>#N/A</v>
      </c>
      <c r="HI34" s="21" t="e">
        <f>EXP(-LN(2)/2)*HI33+(1-EXP(-LN(2)/2))/(LN(2)/2)*HC34*HF34*VLOOKUP('Données projet'!$B$18,Paramètres!$A$1:$I$88,3,0)*0.475*44/12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14.833333333333334</v>
      </c>
      <c r="N35" s="13">
        <f>IF('Données projet'!$A$36&gt;35,N34+M35-V34,IF(A35&lt;'Données projet'!$A$36,$K$205^A35,IF(A35='Données projet'!$A$36,'Données projet'!$B$36,N34+M35-V34)))</f>
        <v>214.33333333333337</v>
      </c>
      <c r="O35" s="13">
        <f>N35*VLOOKUP('Données projet'!$B$9,Paramètres!$A$1:$I$88,3,0)*VLOOKUP('Données projet'!$B$9,Paramètres!$A$1:$I$88,5,0)</f>
        <v>128.17133333333337</v>
      </c>
      <c r="P35" s="13">
        <f t="shared" si="33"/>
        <v>33.5734603980111</v>
      </c>
      <c r="Q35" s="20">
        <f t="shared" ref="Q35:Q66" si="53">(O35+P35)*0.475*44/12</f>
        <v>281.70551574875822</v>
      </c>
      <c r="R35" s="59">
        <f t="shared" si="0"/>
        <v>575.03884908209147</v>
      </c>
      <c r="S35" s="59">
        <f ca="1">AVERAGE(OFFSET($R$3,0,0,'Données projet'!$E$9+1,1))-AVERAGE(OFFSET($H$3,0,0,'Données projet'!$E$9+1,1))</f>
        <v>195.73441209602686</v>
      </c>
      <c r="T35" s="59">
        <f t="shared" si="34"/>
        <v>219.19129224309006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projet'!$B$9,Paramètres!$A$1:$I$88,7,0))</f>
        <v>0</v>
      </c>
      <c r="X35" s="16">
        <f>IF(ISNA(VLOOKUP(A35,'Données projet'!$A$35:$I$55,6,0)),0%,VLOOKUP(A35,'Données projet'!$A$35:$I$55,6,0)*VLOOKUP('Données projet'!$B$9,Paramètres!$A$1:$I$88,7,0))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projet'!$B$9,Paramètres!$A$1:$I$88,3,0)*0.475*44/12</f>
        <v>14.660021670648401</v>
      </c>
      <c r="AA35" s="21">
        <f>EXP(-LN(2)/25)*AA34+(1-EXP(-LN(2)/25))/(LN(2)/25)*Calculateur!V35*Calculateur!X35*VLOOKUP('Données projet'!$B$9,Paramètres!$A$1:$I$88,3,0)*0.475*44/12</f>
        <v>13.393952022352801</v>
      </c>
      <c r="AB35" s="21">
        <f>EXP(-LN(2)/2)*AB34+(1-EXP(-LN(2)/2))/(LN(2)/2)*V35*Y35*VLOOKUP('Données projet'!$B$9,Paramètres!$A$1:$I$88,3,0)*0.475*44/12</f>
        <v>1.9836179118774222E-2</v>
      </c>
      <c r="AC35" s="22">
        <f t="shared" si="3"/>
        <v>28.073809872119977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13.7</v>
      </c>
      <c r="AI35" s="13">
        <f>IF('Données projet'!$A$62&gt;35,AI34+AH35-AQ34,IF(A35&lt;'Données projet'!$A$62,$AF$205^A35,IF(A35='Données projet'!$A$62,'Données projet'!$B$62,AI34+AH35-AQ34)))</f>
        <v>175.39999999999998</v>
      </c>
      <c r="AJ35" s="13">
        <f>AI35*VLOOKUP('Données projet'!$B$10,Paramètres!$A$1:$I$88,3,0)*VLOOKUP('Données projet'!$B$10,Paramètres!$A$1:$I$88,5,0)</f>
        <v>104.8892</v>
      </c>
      <c r="AK35" s="13">
        <f t="shared" si="35"/>
        <v>28.123526406473545</v>
      </c>
      <c r="AL35" s="20">
        <f t="shared" si="4"/>
        <v>231.66383182460808</v>
      </c>
      <c r="AM35" s="59">
        <f t="shared" si="5"/>
        <v>524.99716515794137</v>
      </c>
      <c r="AN35" s="59">
        <f ca="1">AVERAGE(OFFSET($AM$3,0,0,'Données projet'!$E$10+1,1))-AVERAGE(OFFSET($H$3,0,0,'Données projet'!$E$10+1,1))</f>
        <v>246.59447135626942</v>
      </c>
      <c r="AO35" s="59">
        <f t="shared" si="36"/>
        <v>262.00382544285367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projet'!$B$10,Paramètres!$A$1:$I$88,7,0))</f>
        <v>0</v>
      </c>
      <c r="AS35" s="16">
        <f>IF(ISNA(VLOOKUP(A35,'Données projet'!$A$61:$I$81,6,0)),0%,VLOOKUP(A35,'Données projet'!$A$61:$I$81,6,0)*VLOOKUP('Données projet'!$B$10,Paramètres!$A$1:$I$88,7,0))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projet'!$B$10,Paramètres!$A$1:$I$88,3,0)*0.475*44/12</f>
        <v>0</v>
      </c>
      <c r="AV35" s="21">
        <f>EXP(-LN(2)/25)*AV34+(1-EXP(-LN(2)/25))/(LN(2)/25)*Calculateur!AQ35*Calculateur!AS35*VLOOKUP('Données projet'!$B$10,Paramètres!$A$1:$I$88,3,0)*0.475*44/12</f>
        <v>12.15614403802042</v>
      </c>
      <c r="AW35" s="21">
        <f>EXP(-LN(2)/2)*AW34+(1-EXP(-LN(2)/2))/(LN(2)/2)*AQ35*AT35*VLOOKUP('Données projet'!$B$10,Paramètres!$A$1:$I$88,3,0)*0.475*44/12</f>
        <v>11.864679936909486</v>
      </c>
      <c r="AX35" s="21">
        <f t="shared" si="6"/>
        <v>24.020823974929904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22</v>
      </c>
      <c r="BD35" s="12">
        <f>IF('Données projet'!$A$88&gt;35,BD34+BC35-BL34,IF(A35&lt;'Données projet'!$A$88,$BA$205^A35,IF(A35='Données projet'!$A$88,'Données projet'!$B$88,BD34+BC35-BL34)))</f>
        <v>252.99999999999989</v>
      </c>
      <c r="BE35" s="13">
        <f>BD35*VLOOKUP('Données projet'!$B$11,Paramètres!$A$1:$I$88,3,0)*VLOOKUP('Données projet'!$B$11,Paramètres!$A$1:$I$88,5,0)</f>
        <v>141.42699999999994</v>
      </c>
      <c r="BF35" s="13">
        <f t="shared" si="37"/>
        <v>36.62371795968599</v>
      </c>
      <c r="BG35" s="20">
        <f t="shared" si="7"/>
        <v>310.10500044645295</v>
      </c>
      <c r="BH35" s="59">
        <f t="shared" si="8"/>
        <v>603.43833377978626</v>
      </c>
      <c r="BI35" s="59">
        <f ca="1">AVERAGE(OFFSET($BH$3,0,0,'Données projet'!$E$11+1,1))-AVERAGE(OFFSET($H$3,0,0,'Données projet'!$E$11+1,1))</f>
        <v>355.96253323046608</v>
      </c>
      <c r="BJ35" s="59">
        <f t="shared" si="38"/>
        <v>366.8380442809696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projet'!$B$11,Paramètres!$A$1:$I$88,7,0))</f>
        <v>0</v>
      </c>
      <c r="BN35" s="16">
        <f>IF(ISNA(VLOOKUP(A35,'Données projet'!$A$87:$I$107,6,0)),0%,VLOOKUP(A35,'Données projet'!$A$87:$I$107,6,0)*VLOOKUP('Données projet'!$B$11,Paramètres!$A$1:$I$88,7,0))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projet'!$B$11,Paramètres!$A$1:$I$88,3,0)*0.475*44/12</f>
        <v>0</v>
      </c>
      <c r="BQ35" s="21">
        <f>EXP(-LN(2)/25)*BQ34+(1-EXP(-LN(2)/25))/(LN(2)/25)*Calculateur!BL35*Calculateur!BN35*VLOOKUP('Données projet'!$B$11,Paramètres!$A$1:$I$88,3,0)*0.475*44/12</f>
        <v>21.522619262045851</v>
      </c>
      <c r="BR35" s="21">
        <f>EXP(-LN(2)/2)*BR34+(1-EXP(-LN(2)/2))/(LN(2)/2)*BL35*BO35*VLOOKUP('Données projet'!$B$11,Paramètres!$A$1:$I$88,3,0)*0.475*44/12</f>
        <v>18.344728433727834</v>
      </c>
      <c r="BS35" s="22">
        <f t="shared" si="9"/>
        <v>39.867347695773688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10.199999999999999</v>
      </c>
      <c r="BY35" s="12">
        <f>IF('Données projet'!$A$114&gt;35,BY34+BX35-CG34,IF(A35&lt;'Données projet'!$A$114,$BV$205^A35,IF(A35='Données projet'!$A$114,'Données projet'!$B$114,BY34+BX35-CG34)))</f>
        <v>138.39999999999995</v>
      </c>
      <c r="BZ35" s="13">
        <f>BY35*VLOOKUP('Données projet'!$B$12,Paramètres!$A$1:$I$88,3,0)*VLOOKUP('Données projet'!$B$12,Paramètres!$A$1:$I$88,5,0)</f>
        <v>90.679679999999976</v>
      </c>
      <c r="CA35" s="13">
        <f t="shared" si="39"/>
        <v>24.729075596681458</v>
      </c>
      <c r="CB35" s="20">
        <f t="shared" si="10"/>
        <v>201.00358266422015</v>
      </c>
      <c r="CC35" s="59">
        <f t="shared" si="11"/>
        <v>494.33691599755343</v>
      </c>
      <c r="CD35" s="59">
        <f ca="1">AVERAGE(OFFSET($CC$3,0,0,'Données projet'!$E$12+1,1))-AVERAGE(OFFSET($H$3,0,0,'Données projet'!$E$12+1,1))</f>
        <v>180.90147430936133</v>
      </c>
      <c r="CE35" s="59">
        <f t="shared" si="40"/>
        <v>226.87949199830018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projet'!$B$12,Paramètres!$A$1:$I$88,7,0))</f>
        <v>0</v>
      </c>
      <c r="CI35" s="16">
        <f>IF(ISNA(VLOOKUP(A35,'Données projet'!$A$113:$I$133,6,0)),0%,VLOOKUP(A35,'Données projet'!$A$113:$I$133,6,0)*VLOOKUP('Données projet'!$B$12,Paramètres!$A$1:$I$88,7,0))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projet'!$B$12,Paramètres!$A$1:$I$88,3,0)*0.475*44/12</f>
        <v>0</v>
      </c>
      <c r="CL35" s="21">
        <f>EXP(-LN(2)/25)*CL34+(1-EXP(-LN(2)/25))/(LN(2)/25)*Calculateur!CG35*Calculateur!CI35*VLOOKUP('Données projet'!$B$12,Paramètres!$A$1:$I$88,3,0)*0.475*44/12</f>
        <v>6.4999219634093519</v>
      </c>
      <c r="CM35" s="21">
        <f>EXP(-LN(2)/2)*CM34+(1-EXP(-LN(2)/2))/(LN(2)/2)*CG35*CJ35*VLOOKUP('Données projet'!$B$12,Paramètres!$A$1:$I$88,3,0)*0.475*44/12</f>
        <v>4.4312299266200847</v>
      </c>
      <c r="CN35" s="22">
        <f t="shared" si="12"/>
        <v>10.931151890029437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5.6843418860808015E-14</v>
      </c>
      <c r="CU35" s="17">
        <f>CT35*VLOOKUP('Données projet'!$B$13,Paramètres!$A$1:$I$88,3,0)*VLOOKUP('Données projet'!$B$13,Paramètres!$A$1:$I$88,5,0)</f>
        <v>2.8908289095852525E-14</v>
      </c>
      <c r="CV35" s="13">
        <f t="shared" si="41"/>
        <v>5.0177780569126974E-13</v>
      </c>
      <c r="CW35" s="20">
        <f t="shared" si="13"/>
        <v>9.2427828175423786E-13</v>
      </c>
      <c r="CX35" s="59">
        <f t="shared" si="14"/>
        <v>293.33333333333422</v>
      </c>
      <c r="CY35" s="59">
        <f ca="1">AVERAGE(OFFSET($CX$3,0,0,'Données projet'!$E$13+1,1))-AVERAGE(OFFSET($H$3,0,0,'Données projet'!$E$13+1,1))</f>
        <v>133.08385802816008</v>
      </c>
      <c r="CZ35" s="59">
        <f t="shared" si="42"/>
        <v>316.59112511251385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projet'!$B$13,Paramètres!$A$1:$I$88,7,0))</f>
        <v>0</v>
      </c>
      <c r="DD35" s="16">
        <f>IF(ISNA(VLOOKUP(A35,'Données projet'!$A$139:$I$159,6,0)),0%,VLOOKUP(A35,'Données projet'!$A$139:$I$159,6,0)*VLOOKUP('Données projet'!$B$13,Paramètres!$A$1:$I$88,7,0))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projet'!$B$13,Paramètres!$A$1:$I$88,3,0)*0.475*44/12</f>
        <v>69.401968884683328</v>
      </c>
      <c r="DG35" s="21">
        <f>EXP(-LN(2)/25)*DG34+(1-EXP(-LN(2)/25))/(LN(2)/25)*Calculateur!DB35*Calculateur!DD35*VLOOKUP('Données projet'!$B$13,Paramètres!$A$1:$I$88,3,0)*0.475*44/12</f>
        <v>0</v>
      </c>
      <c r="DH35" s="21">
        <f>EXP(-LN(2)/2)*DH34+(1-EXP(-LN(2)/2))/(LN(2)/2)*DB35*DE35*VLOOKUP('Données projet'!$B$13,Paramètres!$A$1:$I$88,3,0)*0.475*44/12</f>
        <v>2.827201848271069</v>
      </c>
      <c r="DI35" s="22">
        <f t="shared" si="15"/>
        <v>72.229170732954401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projet'!$B$14,Paramètres!$A$1:$I$88,3,0)*VLOOKUP('Données projet'!$B$14,Paramètres!$A$1:$I$88,5,0)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projet'!$B$14,Paramètres!$A$1:$I$88,7,0))</f>
        <v>0</v>
      </c>
      <c r="DY35" s="16">
        <f>IF(ISNA(VLOOKUP(A35,'Données projet'!$A$165:$I$185,6,0)),0%,VLOOKUP(A35,'Données projet'!$A$165:$I$185,6,0)*VLOOKUP('Données projet'!$B$14,Paramètres!$A$1:$I$88,7,0))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projet'!$B$14,Paramètres!$A$1:$I$88,3,0)*0.475*44/12</f>
        <v>#N/A</v>
      </c>
      <c r="EB35" s="21" t="e">
        <f>EXP(-LN(2)/25)*EB34+(1-EXP(-LN(2)/25))/(LN(2)/25)*Calculateur!DW35*Calculateur!DY35*VLOOKUP('Données projet'!$B$14,Paramètres!$A$1:$I$88,3,0)*0.475*44/12</f>
        <v>#N/A</v>
      </c>
      <c r="EC35" s="21" t="e">
        <f>EXP(-LN(2)/2)*EC34+(1-EXP(-LN(2)/2))/(LN(2)/2)*DW35*DZ35*VLOOKUP('Données projet'!$B$14,Paramètres!$A$1:$I$88,3,0)*0.475*44/12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projet'!$B$15,Paramètres!$A$1:$I$88,3,0)*VLOOKUP('Données projet'!$B$15,Paramètres!$A$1:$I$88,5,0)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projet'!$B$15,Paramètres!$A$1:$I$88,7,0))</f>
        <v>0</v>
      </c>
      <c r="ET35" s="16">
        <f>IF(ISNA(VLOOKUP(A35,'Données projet'!$A$191:$I$211,6,0)),0%,VLOOKUP(A35,'Données projet'!$A$191:$I$211,6,0)*VLOOKUP('Données projet'!$B$15,Paramètres!$A$1:$I$88,7,0))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projet'!$B$15,Paramètres!$A$1:$I$88,3,0)*0.475*44/12</f>
        <v>#N/A</v>
      </c>
      <c r="EW35" s="21" t="e">
        <f>EXP(-LN(2)/25)*EW34+(1-EXP(-LN(2)/25))/(LN(2)/25)*Calculateur!ER35*Calculateur!ET35*VLOOKUP('Données projet'!$B$15,Paramètres!$A$1:$I$88,3,0)*0.475*44/12</f>
        <v>#N/A</v>
      </c>
      <c r="EX35" s="21" t="e">
        <f>EXP(-LN(2)/2)*EX34+(1-EXP(-LN(2)/2))/(LN(2)/2)*ER35*EU35*VLOOKUP('Données projet'!$B$15,Paramètres!$A$1:$I$88,3,0)*0.475*44/12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projet'!$B$16,Paramètres!$A$1:$I$88,3,0)*VLOOKUP('Données projet'!$B$16,Paramètres!$A$1:$I$88,5,0)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projet'!$B$16,Paramètres!$A$1:$I$88,7,0))</f>
        <v>0</v>
      </c>
      <c r="FO35" s="16">
        <f>IF(ISNA(VLOOKUP(A35,'Données projet'!$A$217:$I$237,6,0)),0%,VLOOKUP(A35,'Données projet'!$A$217:$I$237,6,0)*VLOOKUP('Données projet'!$B$16,Paramètres!$A$1:$I$88,7,0))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projet'!$B$16,Paramètres!$A$1:$I$88,3,0)*0.475*44/12</f>
        <v>#N/A</v>
      </c>
      <c r="FR35" s="21" t="e">
        <f>EXP(-LN(2)/25)*FR34+(1-EXP(-LN(2)/25))/(LN(2)/25)*Calculateur!FM35*Calculateur!FO35*VLOOKUP('Données projet'!$B$16,Paramètres!$A$1:$I$88,3,0)*0.475*44/12</f>
        <v>#N/A</v>
      </c>
      <c r="FS35" s="21" t="e">
        <f>EXP(-LN(2)/2)*FS34+(1-EXP(-LN(2)/2))/(LN(2)/2)*FM35*FP35*VLOOKUP('Données projet'!$B$16,Paramètres!$A$1:$I$88,3,0)*0.475*44/12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projet'!$B$17,Paramètres!$A$1:$I$88,3,0)*VLOOKUP('Données projet'!$B$17,Paramètres!$A$1:$I$88,5,0)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projet'!$B$17,Paramètres!$A$1:$I$88,7,0))</f>
        <v>0</v>
      </c>
      <c r="GJ35" s="16">
        <f>IF(ISNA(VLOOKUP(A35,'Données projet'!$A$243:$I$263,6,0)),0%,VLOOKUP(A35,'Données projet'!$A$243:$I$263,6,0)*VLOOKUP('Données projet'!$B$17,Paramètres!$A$1:$I$88,7,0))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projet'!$B$17,Paramètres!$A$1:$I$88,3,0)*0.475*44/12</f>
        <v>#N/A</v>
      </c>
      <c r="GM35" s="21" t="e">
        <f>EXP(-LN(2)/25)*GM34+(1-EXP(-LN(2)/25))/(LN(2)/25)*Calculateur!GH35*Calculateur!GJ35*VLOOKUP('Données projet'!$B$17,Paramètres!$A$1:$I$88,3,0)*0.475*44/12</f>
        <v>#N/A</v>
      </c>
      <c r="GN35" s="21" t="e">
        <f>EXP(-LN(2)/2)*GN34+(1-EXP(-LN(2)/2))/(LN(2)/2)*GH35*GK35*VLOOKUP('Données projet'!$B$17,Paramètres!$A$1:$I$88,3,0)*0.475*44/12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projet'!$B$18,Paramètres!$A$1:$I$88,3,0)*VLOOKUP('Données projet'!$B$18,Paramètres!$A$1:$I$88,5,0)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projet'!$B$18,Paramètres!$A$1:$I$88,7,0))</f>
        <v>0</v>
      </c>
      <c r="HE35" s="16">
        <f>IF(ISNA(VLOOKUP(A35,'Données projet'!$A$269:$I$289,6,0)),0%,VLOOKUP(A35,'Données projet'!$A$269:$I$289,6,0)*VLOOKUP('Données projet'!$B$18,Paramètres!$A$1:$I$88,7,0))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projet'!$B$18,Paramètres!$A$1:$I$88,3,0)*0.475*44/12</f>
        <v>#N/A</v>
      </c>
      <c r="HH35" s="21" t="e">
        <f>EXP(-LN(2)/25)*HH34+(1-EXP(-LN(2)/25))/(LN(2)/25)*Calculateur!HC35*Calculateur!HE35*VLOOKUP('Données projet'!$B$18,Paramètres!$A$1:$I$88,3,0)*0.475*44/12</f>
        <v>#N/A</v>
      </c>
      <c r="HI35" s="21" t="e">
        <f>EXP(-LN(2)/2)*HI34+(1-EXP(-LN(2)/2))/(LN(2)/2)*HC35*HF35*VLOOKUP('Données projet'!$B$18,Paramètres!$A$1:$I$88,3,0)*0.475*44/12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14.833333333333334</v>
      </c>
      <c r="N36" s="13">
        <f>IF('Données projet'!$A$36&gt;35,N35+M36-V35,IF(A36&lt;'Données projet'!$A$36,$K$205^A36,IF(A36='Données projet'!$A$36,'Données projet'!$B$36,N35+M36-V35)))</f>
        <v>229.16666666666671</v>
      </c>
      <c r="O36" s="13">
        <f>N36*VLOOKUP('Données projet'!$B$9,Paramètres!$A$1:$I$88,3,0)*VLOOKUP('Données projet'!$B$9,Paramètres!$A$1:$I$88,5,0)</f>
        <v>137.04166666666671</v>
      </c>
      <c r="P36" s="13">
        <f t="shared" si="33"/>
        <v>35.618452776877568</v>
      </c>
      <c r="Q36" s="20">
        <f t="shared" si="53"/>
        <v>300.7163746975063</v>
      </c>
      <c r="R36" s="59">
        <f t="shared" si="0"/>
        <v>594.04970803083961</v>
      </c>
      <c r="S36" s="59">
        <f ca="1">AVERAGE(OFFSET($R$3,0,0,'Données projet'!$E$9+1,1))-AVERAGE(OFFSET($H$3,0,0,'Données projet'!$E$9+1,1))</f>
        <v>195.73441209602686</v>
      </c>
      <c r="T36" s="59">
        <f t="shared" si="34"/>
        <v>219.19129224309006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projet'!$B$9,Paramètres!$A$1:$I$88,7,0))</f>
        <v>0</v>
      </c>
      <c r="X36" s="16">
        <f>IF(ISNA(VLOOKUP(A36,'Données projet'!$A$35:$I$55,6,0)),0%,VLOOKUP(A36,'Données projet'!$A$35:$I$55,6,0)*VLOOKUP('Données projet'!$B$9,Paramètres!$A$1:$I$88,7,0))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projet'!$B$9,Paramètres!$A$1:$I$88,3,0)*0.475*44/12</f>
        <v>14.372547587417282</v>
      </c>
      <c r="AA36" s="21">
        <f>EXP(-LN(2)/25)*AA35+(1-EXP(-LN(2)/25))/(LN(2)/25)*Calculateur!V36*Calculateur!X36*VLOOKUP('Données projet'!$B$9,Paramètres!$A$1:$I$88,3,0)*0.475*44/12</f>
        <v>13.027693699944239</v>
      </c>
      <c r="AB36" s="21">
        <f>EXP(-LN(2)/2)*AB35+(1-EXP(-LN(2)/2))/(LN(2)/2)*V36*Y36*VLOOKUP('Données projet'!$B$9,Paramètres!$A$1:$I$88,3,0)*0.475*44/12</f>
        <v>1.4026296767716247E-2</v>
      </c>
      <c r="AC36" s="22">
        <f t="shared" si="3"/>
        <v>27.414267584129238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13.7</v>
      </c>
      <c r="AI36" s="13">
        <f>IF('Données projet'!$A$62&gt;35,AI35+AH36-AQ35,IF(A36&lt;'Données projet'!$A$62,$AF$205^A36,IF(A36='Données projet'!$A$62,'Données projet'!$B$62,AI35+AH36-AQ35)))</f>
        <v>189.09999999999997</v>
      </c>
      <c r="AJ36" s="13">
        <f>AI36*VLOOKUP('Données projet'!$B$10,Paramètres!$A$1:$I$88,3,0)*VLOOKUP('Données projet'!$B$10,Paramètres!$A$1:$I$88,5,0)</f>
        <v>113.08179999999999</v>
      </c>
      <c r="AK36" s="13">
        <f t="shared" si="35"/>
        <v>30.055908915657483</v>
      </c>
      <c r="AL36" s="20">
        <f t="shared" si="4"/>
        <v>249.29817636143676</v>
      </c>
      <c r="AM36" s="59">
        <f t="shared" si="5"/>
        <v>542.6315096947701</v>
      </c>
      <c r="AN36" s="59">
        <f ca="1">AVERAGE(OFFSET($AM$3,0,0,'Données projet'!$E$10+1,1))-AVERAGE(OFFSET($H$3,0,0,'Données projet'!$E$10+1,1))</f>
        <v>246.59447135626942</v>
      </c>
      <c r="AO36" s="59">
        <f t="shared" si="36"/>
        <v>262.00382544285367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projet'!$B$10,Paramètres!$A$1:$I$88,7,0))</f>
        <v>0</v>
      </c>
      <c r="AS36" s="16">
        <f>IF(ISNA(VLOOKUP(A36,'Données projet'!$A$61:$I$81,6,0)),0%,VLOOKUP(A36,'Données projet'!$A$61:$I$81,6,0)*VLOOKUP('Données projet'!$B$10,Paramètres!$A$1:$I$88,7,0))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projet'!$B$10,Paramètres!$A$1:$I$88,3,0)*0.475*44/12</f>
        <v>0</v>
      </c>
      <c r="AV36" s="21">
        <f>EXP(-LN(2)/25)*AV35+(1-EXP(-LN(2)/25))/(LN(2)/25)*Calculateur!AQ36*Calculateur!AS36*VLOOKUP('Données projet'!$B$10,Paramètres!$A$1:$I$88,3,0)*0.475*44/12</f>
        <v>11.82373364003692</v>
      </c>
      <c r="AW36" s="21">
        <f>EXP(-LN(2)/2)*AW35+(1-EXP(-LN(2)/2))/(LN(2)/2)*AQ36*AT36*VLOOKUP('Données projet'!$B$10,Paramètres!$A$1:$I$88,3,0)*0.475*44/12</f>
        <v>8.389595639996676</v>
      </c>
      <c r="AX36" s="21">
        <f t="shared" si="6"/>
        <v>20.213329280033598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22</v>
      </c>
      <c r="BD36" s="12">
        <f>IF('Données projet'!$A$88&gt;35,BD35+BC36-BL35,IF(A36&lt;'Données projet'!$A$88,$BA$205^A36,IF(A36='Données projet'!$A$88,'Données projet'!$B$88,BD35+BC36-BL35)))</f>
        <v>274.99999999999989</v>
      </c>
      <c r="BE36" s="13">
        <f>BD36*VLOOKUP('Données projet'!$B$11,Paramètres!$A$1:$I$88,3,0)*VLOOKUP('Données projet'!$B$11,Paramètres!$A$1:$I$88,5,0)</f>
        <v>153.72499999999994</v>
      </c>
      <c r="BF36" s="13">
        <f t="shared" si="37"/>
        <v>39.423892922919691</v>
      </c>
      <c r="BG36" s="20">
        <f t="shared" si="7"/>
        <v>336.40098850741833</v>
      </c>
      <c r="BH36" s="59">
        <f t="shared" si="8"/>
        <v>629.73432184075159</v>
      </c>
      <c r="BI36" s="59">
        <f ca="1">AVERAGE(OFFSET($BH$3,0,0,'Données projet'!$E$11+1,1))-AVERAGE(OFFSET($H$3,0,0,'Données projet'!$E$11+1,1))</f>
        <v>355.96253323046608</v>
      </c>
      <c r="BJ36" s="59">
        <f t="shared" si="38"/>
        <v>366.8380442809696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projet'!$B$11,Paramètres!$A$1:$I$88,7,0))</f>
        <v>0</v>
      </c>
      <c r="BN36" s="16">
        <f>IF(ISNA(VLOOKUP(A36,'Données projet'!$A$87:$I$107,6,0)),0%,VLOOKUP(A36,'Données projet'!$A$87:$I$107,6,0)*VLOOKUP('Données projet'!$B$11,Paramètres!$A$1:$I$88,7,0))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projet'!$B$11,Paramètres!$A$1:$I$88,3,0)*0.475*44/12</f>
        <v>0</v>
      </c>
      <c r="BQ36" s="21">
        <f>EXP(-LN(2)/25)*BQ35+(1-EXP(-LN(2)/25))/(LN(2)/25)*Calculateur!BL36*Calculateur!BN36*VLOOKUP('Données projet'!$B$11,Paramètres!$A$1:$I$88,3,0)*0.475*44/12</f>
        <v>20.934082106499851</v>
      </c>
      <c r="BR36" s="21">
        <f>EXP(-LN(2)/2)*BR35+(1-EXP(-LN(2)/2))/(LN(2)/2)*BL36*BO36*VLOOKUP('Données projet'!$B$11,Paramètres!$A$1:$I$88,3,0)*0.475*44/12</f>
        <v>12.971681874514625</v>
      </c>
      <c r="BS36" s="22">
        <f t="shared" si="9"/>
        <v>33.905763981014474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10.199999999999999</v>
      </c>
      <c r="BY36" s="12">
        <f>IF('Données projet'!$A$114&gt;35,BY35+BX36-CG35,IF(A36&lt;'Données projet'!$A$114,$BV$205^A36,IF(A36='Données projet'!$A$114,'Données projet'!$B$114,BY35+BX36-CG35)))</f>
        <v>148.59999999999994</v>
      </c>
      <c r="BZ36" s="13">
        <f>BY36*VLOOKUP('Données projet'!$B$12,Paramètres!$A$1:$I$88,3,0)*VLOOKUP('Données projet'!$B$12,Paramètres!$A$1:$I$88,5,0)</f>
        <v>97.362719999999953</v>
      </c>
      <c r="CA36" s="13">
        <f t="shared" si="39"/>
        <v>26.332727987771989</v>
      </c>
      <c r="CB36" s="20">
        <f t="shared" si="10"/>
        <v>215.43623857870276</v>
      </c>
      <c r="CC36" s="59">
        <f t="shared" si="11"/>
        <v>508.7695719120361</v>
      </c>
      <c r="CD36" s="59">
        <f ca="1">AVERAGE(OFFSET($CC$3,0,0,'Données projet'!$E$12+1,1))-AVERAGE(OFFSET($H$3,0,0,'Données projet'!$E$12+1,1))</f>
        <v>180.90147430936133</v>
      </c>
      <c r="CE36" s="59">
        <f t="shared" si="40"/>
        <v>226.87949199830018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projet'!$B$12,Paramètres!$A$1:$I$88,7,0))</f>
        <v>0</v>
      </c>
      <c r="CI36" s="16">
        <f>IF(ISNA(VLOOKUP(A36,'Données projet'!$A$113:$I$133,6,0)),0%,VLOOKUP(A36,'Données projet'!$A$113:$I$133,6,0)*VLOOKUP('Données projet'!$B$12,Paramètres!$A$1:$I$88,7,0))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projet'!$B$12,Paramètres!$A$1:$I$88,3,0)*0.475*44/12</f>
        <v>0</v>
      </c>
      <c r="CL36" s="21">
        <f>EXP(-LN(2)/25)*CL35+(1-EXP(-LN(2)/25))/(LN(2)/25)*Calculateur!CG36*Calculateur!CI36*VLOOKUP('Données projet'!$B$12,Paramètres!$A$1:$I$88,3,0)*0.475*44/12</f>
        <v>6.3221812555038825</v>
      </c>
      <c r="CM36" s="21">
        <f>EXP(-LN(2)/2)*CM35+(1-EXP(-LN(2)/2))/(LN(2)/2)*CG36*CJ36*VLOOKUP('Données projet'!$B$12,Paramètres!$A$1:$I$88,3,0)*0.475*44/12</f>
        <v>3.1333527301098294</v>
      </c>
      <c r="CN36" s="22">
        <f t="shared" si="12"/>
        <v>9.4555339856137124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5.6843418860808015E-14</v>
      </c>
      <c r="CU36" s="17">
        <f>CT36*VLOOKUP('Données projet'!$B$13,Paramètres!$A$1:$I$88,3,0)*VLOOKUP('Données projet'!$B$13,Paramètres!$A$1:$I$88,5,0)</f>
        <v>2.8908289095852525E-14</v>
      </c>
      <c r="CV36" s="13">
        <f t="shared" si="41"/>
        <v>5.0177780569126974E-13</v>
      </c>
      <c r="CW36" s="20">
        <f t="shared" si="13"/>
        <v>9.2427828175423786E-13</v>
      </c>
      <c r="CX36" s="59">
        <f t="shared" si="14"/>
        <v>293.33333333333422</v>
      </c>
      <c r="CY36" s="59">
        <f ca="1">AVERAGE(OFFSET($CX$3,0,0,'Données projet'!$E$13+1,1))-AVERAGE(OFFSET($H$3,0,0,'Données projet'!$E$13+1,1))</f>
        <v>133.08385802816008</v>
      </c>
      <c r="CZ36" s="59">
        <f t="shared" si="42"/>
        <v>316.59112511251385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projet'!$B$13,Paramètres!$A$1:$I$88,7,0))</f>
        <v>0</v>
      </c>
      <c r="DD36" s="16">
        <f>IF(ISNA(VLOOKUP(A36,'Données projet'!$A$139:$I$159,6,0)),0%,VLOOKUP(A36,'Données projet'!$A$139:$I$159,6,0)*VLOOKUP('Données projet'!$B$13,Paramètres!$A$1:$I$88,7,0))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projet'!$B$13,Paramètres!$A$1:$I$88,3,0)*0.475*44/12</f>
        <v>68.041038605875869</v>
      </c>
      <c r="DG36" s="21">
        <f>EXP(-LN(2)/25)*DG35+(1-EXP(-LN(2)/25))/(LN(2)/25)*Calculateur!DB36*Calculateur!DD36*VLOOKUP('Données projet'!$B$13,Paramètres!$A$1:$I$88,3,0)*0.475*44/12</f>
        <v>0</v>
      </c>
      <c r="DH36" s="21">
        <f>EXP(-LN(2)/2)*DH35+(1-EXP(-LN(2)/2))/(LN(2)/2)*DB36*DE36*VLOOKUP('Données projet'!$B$13,Paramètres!$A$1:$I$88,3,0)*0.475*44/12</f>
        <v>1.9991335986956136</v>
      </c>
      <c r="DI36" s="22">
        <f t="shared" si="15"/>
        <v>70.040172204571476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projet'!$B$14,Paramètres!$A$1:$I$88,3,0)*VLOOKUP('Données projet'!$B$14,Paramètres!$A$1:$I$88,5,0)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projet'!$B$14,Paramètres!$A$1:$I$88,7,0))</f>
        <v>0</v>
      </c>
      <c r="DY36" s="16">
        <f>IF(ISNA(VLOOKUP(A36,'Données projet'!$A$165:$I$185,6,0)),0%,VLOOKUP(A36,'Données projet'!$A$165:$I$185,6,0)*VLOOKUP('Données projet'!$B$14,Paramètres!$A$1:$I$88,7,0))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projet'!$B$14,Paramètres!$A$1:$I$88,3,0)*0.475*44/12</f>
        <v>#N/A</v>
      </c>
      <c r="EB36" s="21" t="e">
        <f>EXP(-LN(2)/25)*EB35+(1-EXP(-LN(2)/25))/(LN(2)/25)*Calculateur!DW36*Calculateur!DY36*VLOOKUP('Données projet'!$B$14,Paramètres!$A$1:$I$88,3,0)*0.475*44/12</f>
        <v>#N/A</v>
      </c>
      <c r="EC36" s="21" t="e">
        <f>EXP(-LN(2)/2)*EC35+(1-EXP(-LN(2)/2))/(LN(2)/2)*DW36*DZ36*VLOOKUP('Données projet'!$B$14,Paramètres!$A$1:$I$88,3,0)*0.475*44/12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projet'!$B$15,Paramètres!$A$1:$I$88,3,0)*VLOOKUP('Données projet'!$B$15,Paramètres!$A$1:$I$88,5,0)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projet'!$B$15,Paramètres!$A$1:$I$88,7,0))</f>
        <v>0</v>
      </c>
      <c r="ET36" s="16">
        <f>IF(ISNA(VLOOKUP(A36,'Données projet'!$A$191:$I$211,6,0)),0%,VLOOKUP(A36,'Données projet'!$A$191:$I$211,6,0)*VLOOKUP('Données projet'!$B$15,Paramètres!$A$1:$I$88,7,0))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projet'!$B$15,Paramètres!$A$1:$I$88,3,0)*0.475*44/12</f>
        <v>#N/A</v>
      </c>
      <c r="EW36" s="21" t="e">
        <f>EXP(-LN(2)/25)*EW35+(1-EXP(-LN(2)/25))/(LN(2)/25)*Calculateur!ER36*Calculateur!ET36*VLOOKUP('Données projet'!$B$15,Paramètres!$A$1:$I$88,3,0)*0.475*44/12</f>
        <v>#N/A</v>
      </c>
      <c r="EX36" s="21" t="e">
        <f>EXP(-LN(2)/2)*EX35+(1-EXP(-LN(2)/2))/(LN(2)/2)*ER36*EU36*VLOOKUP('Données projet'!$B$15,Paramètres!$A$1:$I$88,3,0)*0.475*44/12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projet'!$B$16,Paramètres!$A$1:$I$88,3,0)*VLOOKUP('Données projet'!$B$16,Paramètres!$A$1:$I$88,5,0)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projet'!$B$16,Paramètres!$A$1:$I$88,7,0))</f>
        <v>0</v>
      </c>
      <c r="FO36" s="16">
        <f>IF(ISNA(VLOOKUP(A36,'Données projet'!$A$217:$I$237,6,0)),0%,VLOOKUP(A36,'Données projet'!$A$217:$I$237,6,0)*VLOOKUP('Données projet'!$B$16,Paramètres!$A$1:$I$88,7,0))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projet'!$B$16,Paramètres!$A$1:$I$88,3,0)*0.475*44/12</f>
        <v>#N/A</v>
      </c>
      <c r="FR36" s="21" t="e">
        <f>EXP(-LN(2)/25)*FR35+(1-EXP(-LN(2)/25))/(LN(2)/25)*Calculateur!FM36*Calculateur!FO36*VLOOKUP('Données projet'!$B$16,Paramètres!$A$1:$I$88,3,0)*0.475*44/12</f>
        <v>#N/A</v>
      </c>
      <c r="FS36" s="21" t="e">
        <f>EXP(-LN(2)/2)*FS35+(1-EXP(-LN(2)/2))/(LN(2)/2)*FM36*FP36*VLOOKUP('Données projet'!$B$16,Paramètres!$A$1:$I$88,3,0)*0.475*44/12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projet'!$B$17,Paramètres!$A$1:$I$88,3,0)*VLOOKUP('Données projet'!$B$17,Paramètres!$A$1:$I$88,5,0)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projet'!$B$17,Paramètres!$A$1:$I$88,7,0))</f>
        <v>0</v>
      </c>
      <c r="GJ36" s="16">
        <f>IF(ISNA(VLOOKUP(A36,'Données projet'!$A$243:$I$263,6,0)),0%,VLOOKUP(A36,'Données projet'!$A$243:$I$263,6,0)*VLOOKUP('Données projet'!$B$17,Paramètres!$A$1:$I$88,7,0))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projet'!$B$17,Paramètres!$A$1:$I$88,3,0)*0.475*44/12</f>
        <v>#N/A</v>
      </c>
      <c r="GM36" s="21" t="e">
        <f>EXP(-LN(2)/25)*GM35+(1-EXP(-LN(2)/25))/(LN(2)/25)*Calculateur!GH36*Calculateur!GJ36*VLOOKUP('Données projet'!$B$17,Paramètres!$A$1:$I$88,3,0)*0.475*44/12</f>
        <v>#N/A</v>
      </c>
      <c r="GN36" s="21" t="e">
        <f>EXP(-LN(2)/2)*GN35+(1-EXP(-LN(2)/2))/(LN(2)/2)*GH36*GK36*VLOOKUP('Données projet'!$B$17,Paramètres!$A$1:$I$88,3,0)*0.475*44/12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projet'!$B$18,Paramètres!$A$1:$I$88,3,0)*VLOOKUP('Données projet'!$B$18,Paramètres!$A$1:$I$88,5,0)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projet'!$B$18,Paramètres!$A$1:$I$88,7,0))</f>
        <v>0</v>
      </c>
      <c r="HE36" s="16">
        <f>IF(ISNA(VLOOKUP(A36,'Données projet'!$A$269:$I$289,6,0)),0%,VLOOKUP(A36,'Données projet'!$A$269:$I$289,6,0)*VLOOKUP('Données projet'!$B$18,Paramètres!$A$1:$I$88,7,0))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projet'!$B$18,Paramètres!$A$1:$I$88,3,0)*0.475*44/12</f>
        <v>#N/A</v>
      </c>
      <c r="HH36" s="21" t="e">
        <f>EXP(-LN(2)/25)*HH35+(1-EXP(-LN(2)/25))/(LN(2)/25)*Calculateur!HC36*Calculateur!HE36*VLOOKUP('Données projet'!$B$18,Paramètres!$A$1:$I$88,3,0)*0.475*44/12</f>
        <v>#N/A</v>
      </c>
      <c r="HI36" s="21" t="e">
        <f>EXP(-LN(2)/2)*HI35+(1-EXP(-LN(2)/2))/(LN(2)/2)*HC36*HF36*VLOOKUP('Données projet'!$B$18,Paramètres!$A$1:$I$88,3,0)*0.475*44/12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244</v>
      </c>
      <c r="L37" s="12">
        <f>VLOOKUP(A37,'Données projet'!$A$35:$I$55,9,0)</f>
        <v>14.833333333333334</v>
      </c>
      <c r="M37" s="12">
        <f t="array" ref="M37">INDEX(L:L,MIN(IF(ISNUMBER(L37:L233),ROW(L37:L233),"")))</f>
        <v>14.833333333333334</v>
      </c>
      <c r="N37" s="13">
        <f>IF('Données projet'!$A$36&gt;35,N36+M37-V36,IF(A37&lt;'Données projet'!$A$36,$K$205^A37,IF(A37='Données projet'!$A$36,'Données projet'!$B$36,N36+M37-V36)))</f>
        <v>244.00000000000006</v>
      </c>
      <c r="O37" s="13">
        <f>N37*VLOOKUP('Données projet'!$B$9,Paramètres!$A$1:$I$88,3,0)*VLOOKUP('Données projet'!$B$9,Paramètres!$A$1:$I$88,5,0)</f>
        <v>145.91200000000006</v>
      </c>
      <c r="P37" s="13">
        <f t="shared" si="33"/>
        <v>37.648084239987625</v>
      </c>
      <c r="Q37" s="20">
        <f t="shared" si="53"/>
        <v>319.7004800513119</v>
      </c>
      <c r="R37" s="59">
        <f t="shared" si="0"/>
        <v>613.03381338464521</v>
      </c>
      <c r="S37" s="59">
        <f ca="1">AVERAGE(OFFSET($R$3,0,0,'Données projet'!$E$9+1,1))-AVERAGE(OFFSET($H$3,0,0,'Données projet'!$E$9+1,1))</f>
        <v>195.73441209602686</v>
      </c>
      <c r="T37" s="59">
        <f t="shared" si="34"/>
        <v>219.19129224309006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46</v>
      </c>
      <c r="W37" s="16">
        <f>IF(ISNA(VLOOKUP(A37,'Données projet'!$A$35:$I$55,5,0)),0%,VLOOKUP(A37,'Données projet'!$A$35:$I$55,5,0)*VLOOKUP('Données projet'!$B$9,Paramètres!$A$1:$I$88,7,0))</f>
        <v>0</v>
      </c>
      <c r="X37" s="16">
        <f>IF(ISNA(VLOOKUP(A37,'Données projet'!$A$35:$I$55,6,0)),0%,VLOOKUP(A37,'Données projet'!$A$35:$I$55,6,0)*VLOOKUP('Données projet'!$B$9,Paramètres!$A$1:$I$88,7,0))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projet'!$B$9,Paramètres!$A$1:$I$88,3,0)*0.475*44/12</f>
        <v>14.090710695616448</v>
      </c>
      <c r="AA37" s="21">
        <f>EXP(-LN(2)/25)*AA36+(1-EXP(-LN(2)/25))/(LN(2)/25)*Calculateur!V37*Calculateur!X37*VLOOKUP('Données projet'!$B$9,Paramètres!$A$1:$I$88,3,0)*0.475*44/12</f>
        <v>12.671450730622627</v>
      </c>
      <c r="AB37" s="21">
        <f>EXP(-LN(2)/2)*AB36+(1-EXP(-LN(2)/2))/(LN(2)/2)*V37*Y37*VLOOKUP('Données projet'!$B$9,Paramètres!$A$1:$I$88,3,0)*0.475*44/12</f>
        <v>9.918089559387111E-3</v>
      </c>
      <c r="AC37" s="22">
        <f t="shared" si="3"/>
        <v>26.772079515798463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13.7</v>
      </c>
      <c r="AI37" s="13">
        <f>IF('Données projet'!$A$62&gt;35,AI36+AH37-AQ36,IF(A37&lt;'Données projet'!$A$62,$AF$205^A37,IF(A37='Données projet'!$A$62,'Données projet'!$B$62,AI36+AH37-AQ36)))</f>
        <v>202.79999999999995</v>
      </c>
      <c r="AJ37" s="13">
        <f>AI37*VLOOKUP('Données projet'!$B$10,Paramètres!$A$1:$I$88,3,0)*VLOOKUP('Données projet'!$B$10,Paramètres!$A$1:$I$88,5,0)</f>
        <v>121.27439999999999</v>
      </c>
      <c r="AK37" s="13">
        <f t="shared" si="35"/>
        <v>31.972049173215385</v>
      </c>
      <c r="AL37" s="20">
        <f t="shared" si="4"/>
        <v>266.90423231001677</v>
      </c>
      <c r="AM37" s="59">
        <f t="shared" si="5"/>
        <v>560.23756564335008</v>
      </c>
      <c r="AN37" s="59">
        <f ca="1">AVERAGE(OFFSET($AM$3,0,0,'Données projet'!$E$10+1,1))-AVERAGE(OFFSET($H$3,0,0,'Données projet'!$E$10+1,1))</f>
        <v>246.59447135626942</v>
      </c>
      <c r="AO37" s="59">
        <f t="shared" si="36"/>
        <v>262.00382544285367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projet'!$B$10,Paramètres!$A$1:$I$88,7,0))</f>
        <v>0</v>
      </c>
      <c r="AS37" s="16">
        <f>IF(ISNA(VLOOKUP(A37,'Données projet'!$A$61:$I$81,6,0)),0%,VLOOKUP(A37,'Données projet'!$A$61:$I$81,6,0)*VLOOKUP('Données projet'!$B$10,Paramètres!$A$1:$I$88,7,0))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projet'!$B$10,Paramètres!$A$1:$I$88,3,0)*0.475*44/12</f>
        <v>0</v>
      </c>
      <c r="AV37" s="21">
        <f>EXP(-LN(2)/25)*AV36+(1-EXP(-LN(2)/25))/(LN(2)/25)*Calculateur!AQ37*Calculateur!AS37*VLOOKUP('Données projet'!$B$10,Paramètres!$A$1:$I$88,3,0)*0.475*44/12</f>
        <v>11.500413021866981</v>
      </c>
      <c r="AW37" s="21">
        <f>EXP(-LN(2)/2)*AW36+(1-EXP(-LN(2)/2))/(LN(2)/2)*AQ37*AT37*VLOOKUP('Données projet'!$B$10,Paramètres!$A$1:$I$88,3,0)*0.475*44/12</f>
        <v>5.9323399684547429</v>
      </c>
      <c r="AX37" s="21">
        <f t="shared" si="6"/>
        <v>17.432752990321724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22</v>
      </c>
      <c r="BD37" s="12">
        <f>IF('Données projet'!$A$88&gt;35,BD36+BC37-BL36,IF(A37&lt;'Données projet'!$A$88,$BA$205^A37,IF(A37='Données projet'!$A$88,'Données projet'!$B$88,BD36+BC37-BL36)))</f>
        <v>296.99999999999989</v>
      </c>
      <c r="BE37" s="13">
        <f>BD37*VLOOKUP('Données projet'!$B$11,Paramètres!$A$1:$I$88,3,0)*VLOOKUP('Données projet'!$B$11,Paramètres!$A$1:$I$88,5,0)</f>
        <v>166.02299999999994</v>
      </c>
      <c r="BF37" s="13">
        <f t="shared" si="37"/>
        <v>42.198084449395701</v>
      </c>
      <c r="BG37" s="20">
        <f t="shared" si="7"/>
        <v>362.6517220826974</v>
      </c>
      <c r="BH37" s="59">
        <f t="shared" si="8"/>
        <v>655.98505541603072</v>
      </c>
      <c r="BI37" s="59">
        <f ca="1">AVERAGE(OFFSET($BH$3,0,0,'Données projet'!$E$11+1,1))-AVERAGE(OFFSET($H$3,0,0,'Données projet'!$E$11+1,1))</f>
        <v>355.96253323046608</v>
      </c>
      <c r="BJ37" s="59">
        <f t="shared" si="38"/>
        <v>366.8380442809696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projet'!$B$11,Paramètres!$A$1:$I$88,7,0))</f>
        <v>0</v>
      </c>
      <c r="BN37" s="16">
        <f>IF(ISNA(VLOOKUP(A37,'Données projet'!$A$87:$I$107,6,0)),0%,VLOOKUP(A37,'Données projet'!$A$87:$I$107,6,0)*VLOOKUP('Données projet'!$B$11,Paramètres!$A$1:$I$88,7,0))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projet'!$B$11,Paramètres!$A$1:$I$88,3,0)*0.475*44/12</f>
        <v>0</v>
      </c>
      <c r="BQ37" s="21">
        <f>EXP(-LN(2)/25)*BQ36+(1-EXP(-LN(2)/25))/(LN(2)/25)*Calculateur!BL37*Calculateur!BN37*VLOOKUP('Données projet'!$B$11,Paramètres!$A$1:$I$88,3,0)*0.475*44/12</f>
        <v>20.361638530422081</v>
      </c>
      <c r="BR37" s="21">
        <f>EXP(-LN(2)/2)*BR36+(1-EXP(-LN(2)/2))/(LN(2)/2)*BL37*BO37*VLOOKUP('Données projet'!$B$11,Paramètres!$A$1:$I$88,3,0)*0.475*44/12</f>
        <v>9.172364216863917</v>
      </c>
      <c r="BS37" s="22">
        <f t="shared" si="9"/>
        <v>29.534002747285996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10.199999999999999</v>
      </c>
      <c r="BY37" s="12">
        <f>IF('Données projet'!$A$114&gt;35,BY36+BX37-CG36,IF(A37&lt;'Données projet'!$A$114,$BV$205^A37,IF(A37='Données projet'!$A$114,'Données projet'!$B$114,BY36+BX37-CG36)))</f>
        <v>158.79999999999993</v>
      </c>
      <c r="BZ37" s="13">
        <f>BY37*VLOOKUP('Données projet'!$B$12,Paramètres!$A$1:$I$88,3,0)*VLOOKUP('Données projet'!$B$12,Paramètres!$A$1:$I$88,5,0)</f>
        <v>104.04575999999996</v>
      </c>
      <c r="CA37" s="13">
        <f t="shared" si="39"/>
        <v>27.923608029814641</v>
      </c>
      <c r="CB37" s="20">
        <f t="shared" si="10"/>
        <v>229.84664931859376</v>
      </c>
      <c r="CC37" s="59">
        <f t="shared" si="11"/>
        <v>523.17998265192705</v>
      </c>
      <c r="CD37" s="59">
        <f ca="1">AVERAGE(OFFSET($CC$3,0,0,'Données projet'!$E$12+1,1))-AVERAGE(OFFSET($H$3,0,0,'Données projet'!$E$12+1,1))</f>
        <v>180.90147430936133</v>
      </c>
      <c r="CE37" s="59">
        <f t="shared" si="40"/>
        <v>226.87949199830018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projet'!$B$12,Paramètres!$A$1:$I$88,7,0))</f>
        <v>0</v>
      </c>
      <c r="CI37" s="16">
        <f>IF(ISNA(VLOOKUP(A37,'Données projet'!$A$113:$I$133,6,0)),0%,VLOOKUP(A37,'Données projet'!$A$113:$I$133,6,0)*VLOOKUP('Données projet'!$B$12,Paramètres!$A$1:$I$88,7,0))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projet'!$B$12,Paramètres!$A$1:$I$88,3,0)*0.475*44/12</f>
        <v>0</v>
      </c>
      <c r="CL37" s="21">
        <f>EXP(-LN(2)/25)*CL36+(1-EXP(-LN(2)/25))/(LN(2)/25)*Calculateur!CG37*Calculateur!CI37*VLOOKUP('Données projet'!$B$12,Paramètres!$A$1:$I$88,3,0)*0.475*44/12</f>
        <v>6.1493008766030659</v>
      </c>
      <c r="CM37" s="21">
        <f>EXP(-LN(2)/2)*CM36+(1-EXP(-LN(2)/2))/(LN(2)/2)*CG37*CJ37*VLOOKUP('Données projet'!$B$12,Paramètres!$A$1:$I$88,3,0)*0.475*44/12</f>
        <v>2.2156149633100424</v>
      </c>
      <c r="CN37" s="22">
        <f t="shared" si="12"/>
        <v>8.3649158399131078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5.6843418860808015E-14</v>
      </c>
      <c r="CU37" s="17">
        <f>CT37*VLOOKUP('Données projet'!$B$13,Paramètres!$A$1:$I$88,3,0)*VLOOKUP('Données projet'!$B$13,Paramètres!$A$1:$I$88,5,0)</f>
        <v>2.8908289095852525E-14</v>
      </c>
      <c r="CV37" s="13">
        <f t="shared" si="41"/>
        <v>5.0177780569126974E-13</v>
      </c>
      <c r="CW37" s="20">
        <f t="shared" si="13"/>
        <v>9.2427828175423786E-13</v>
      </c>
      <c r="CX37" s="59">
        <f t="shared" si="14"/>
        <v>293.33333333333422</v>
      </c>
      <c r="CY37" s="59">
        <f ca="1">AVERAGE(OFFSET($CX$3,0,0,'Données projet'!$E$13+1,1))-AVERAGE(OFFSET($H$3,0,0,'Données projet'!$E$13+1,1))</f>
        <v>133.08385802816008</v>
      </c>
      <c r="CZ37" s="59">
        <f t="shared" si="42"/>
        <v>316.59112511251385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projet'!$B$13,Paramètres!$A$1:$I$88,7,0))</f>
        <v>0</v>
      </c>
      <c r="DD37" s="16">
        <f>IF(ISNA(VLOOKUP(A37,'Données projet'!$A$139:$I$159,6,0)),0%,VLOOKUP(A37,'Données projet'!$A$139:$I$159,6,0)*VLOOKUP('Données projet'!$B$13,Paramètres!$A$1:$I$88,7,0))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projet'!$B$13,Paramètres!$A$1:$I$88,3,0)*0.475*44/12</f>
        <v>66.706795339750315</v>
      </c>
      <c r="DG37" s="21">
        <f>EXP(-LN(2)/25)*DG36+(1-EXP(-LN(2)/25))/(LN(2)/25)*Calculateur!DB37*Calculateur!DD37*VLOOKUP('Données projet'!$B$13,Paramètres!$A$1:$I$88,3,0)*0.475*44/12</f>
        <v>0</v>
      </c>
      <c r="DH37" s="21">
        <f>EXP(-LN(2)/2)*DH36+(1-EXP(-LN(2)/2))/(LN(2)/2)*DB37*DE37*VLOOKUP('Données projet'!$B$13,Paramètres!$A$1:$I$88,3,0)*0.475*44/12</f>
        <v>1.4136009241355347</v>
      </c>
      <c r="DI37" s="22">
        <f t="shared" si="15"/>
        <v>68.120396263885851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projet'!$B$14,Paramètres!$A$1:$I$88,3,0)*VLOOKUP('Données projet'!$B$14,Paramètres!$A$1:$I$88,5,0)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projet'!$B$14,Paramètres!$A$1:$I$88,7,0))</f>
        <v>0</v>
      </c>
      <c r="DY37" s="16">
        <f>IF(ISNA(VLOOKUP(A37,'Données projet'!$A$165:$I$185,6,0)),0%,VLOOKUP(A37,'Données projet'!$A$165:$I$185,6,0)*VLOOKUP('Données projet'!$B$14,Paramètres!$A$1:$I$88,7,0))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projet'!$B$14,Paramètres!$A$1:$I$88,3,0)*0.475*44/12</f>
        <v>#N/A</v>
      </c>
      <c r="EB37" s="21" t="e">
        <f>EXP(-LN(2)/25)*EB36+(1-EXP(-LN(2)/25))/(LN(2)/25)*Calculateur!DW37*Calculateur!DY37*VLOOKUP('Données projet'!$B$14,Paramètres!$A$1:$I$88,3,0)*0.475*44/12</f>
        <v>#N/A</v>
      </c>
      <c r="EC37" s="21" t="e">
        <f>EXP(-LN(2)/2)*EC36+(1-EXP(-LN(2)/2))/(LN(2)/2)*DW37*DZ37*VLOOKUP('Données projet'!$B$14,Paramètres!$A$1:$I$88,3,0)*0.475*44/12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projet'!$B$15,Paramètres!$A$1:$I$88,3,0)*VLOOKUP('Données projet'!$B$15,Paramètres!$A$1:$I$88,5,0)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projet'!$B$15,Paramètres!$A$1:$I$88,7,0))</f>
        <v>0</v>
      </c>
      <c r="ET37" s="16">
        <f>IF(ISNA(VLOOKUP(A37,'Données projet'!$A$191:$I$211,6,0)),0%,VLOOKUP(A37,'Données projet'!$A$191:$I$211,6,0)*VLOOKUP('Données projet'!$B$15,Paramètres!$A$1:$I$88,7,0))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projet'!$B$15,Paramètres!$A$1:$I$88,3,0)*0.475*44/12</f>
        <v>#N/A</v>
      </c>
      <c r="EW37" s="21" t="e">
        <f>EXP(-LN(2)/25)*EW36+(1-EXP(-LN(2)/25))/(LN(2)/25)*Calculateur!ER37*Calculateur!ET37*VLOOKUP('Données projet'!$B$15,Paramètres!$A$1:$I$88,3,0)*0.475*44/12</f>
        <v>#N/A</v>
      </c>
      <c r="EX37" s="21" t="e">
        <f>EXP(-LN(2)/2)*EX36+(1-EXP(-LN(2)/2))/(LN(2)/2)*ER37*EU37*VLOOKUP('Données projet'!$B$15,Paramètres!$A$1:$I$88,3,0)*0.475*44/12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projet'!$B$16,Paramètres!$A$1:$I$88,3,0)*VLOOKUP('Données projet'!$B$16,Paramètres!$A$1:$I$88,5,0)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projet'!$B$16,Paramètres!$A$1:$I$88,7,0))</f>
        <v>0</v>
      </c>
      <c r="FO37" s="16">
        <f>IF(ISNA(VLOOKUP(A37,'Données projet'!$A$217:$I$237,6,0)),0%,VLOOKUP(A37,'Données projet'!$A$217:$I$237,6,0)*VLOOKUP('Données projet'!$B$16,Paramètres!$A$1:$I$88,7,0))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projet'!$B$16,Paramètres!$A$1:$I$88,3,0)*0.475*44/12</f>
        <v>#N/A</v>
      </c>
      <c r="FR37" s="21" t="e">
        <f>EXP(-LN(2)/25)*FR36+(1-EXP(-LN(2)/25))/(LN(2)/25)*Calculateur!FM37*Calculateur!FO37*VLOOKUP('Données projet'!$B$16,Paramètres!$A$1:$I$88,3,0)*0.475*44/12</f>
        <v>#N/A</v>
      </c>
      <c r="FS37" s="21" t="e">
        <f>EXP(-LN(2)/2)*FS36+(1-EXP(-LN(2)/2))/(LN(2)/2)*FM37*FP37*VLOOKUP('Données projet'!$B$16,Paramètres!$A$1:$I$88,3,0)*0.475*44/12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projet'!$B$17,Paramètres!$A$1:$I$88,3,0)*VLOOKUP('Données projet'!$B$17,Paramètres!$A$1:$I$88,5,0)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projet'!$B$17,Paramètres!$A$1:$I$88,7,0))</f>
        <v>0</v>
      </c>
      <c r="GJ37" s="16">
        <f>IF(ISNA(VLOOKUP(A37,'Données projet'!$A$243:$I$263,6,0)),0%,VLOOKUP(A37,'Données projet'!$A$243:$I$263,6,0)*VLOOKUP('Données projet'!$B$17,Paramètres!$A$1:$I$88,7,0))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projet'!$B$17,Paramètres!$A$1:$I$88,3,0)*0.475*44/12</f>
        <v>#N/A</v>
      </c>
      <c r="GM37" s="21" t="e">
        <f>EXP(-LN(2)/25)*GM36+(1-EXP(-LN(2)/25))/(LN(2)/25)*Calculateur!GH37*Calculateur!GJ37*VLOOKUP('Données projet'!$B$17,Paramètres!$A$1:$I$88,3,0)*0.475*44/12</f>
        <v>#N/A</v>
      </c>
      <c r="GN37" s="21" t="e">
        <f>EXP(-LN(2)/2)*GN36+(1-EXP(-LN(2)/2))/(LN(2)/2)*GH37*GK37*VLOOKUP('Données projet'!$B$17,Paramètres!$A$1:$I$88,3,0)*0.475*44/12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projet'!$B$18,Paramètres!$A$1:$I$88,3,0)*VLOOKUP('Données projet'!$B$18,Paramètres!$A$1:$I$88,5,0)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projet'!$B$18,Paramètres!$A$1:$I$88,7,0))</f>
        <v>0</v>
      </c>
      <c r="HE37" s="16">
        <f>IF(ISNA(VLOOKUP(A37,'Données projet'!$A$269:$I$289,6,0)),0%,VLOOKUP(A37,'Données projet'!$A$269:$I$289,6,0)*VLOOKUP('Données projet'!$B$18,Paramètres!$A$1:$I$88,7,0))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projet'!$B$18,Paramètres!$A$1:$I$88,3,0)*0.475*44/12</f>
        <v>#N/A</v>
      </c>
      <c r="HH37" s="21" t="e">
        <f>EXP(-LN(2)/25)*HH36+(1-EXP(-LN(2)/25))/(LN(2)/25)*Calculateur!HC37*Calculateur!HE37*VLOOKUP('Données projet'!$B$18,Paramètres!$A$1:$I$88,3,0)*0.475*44/12</f>
        <v>#N/A</v>
      </c>
      <c r="HI37" s="21" t="e">
        <f>EXP(-LN(2)/2)*HI36+(1-EXP(-LN(2)/2))/(LN(2)/2)*HC37*HF37*VLOOKUP('Données projet'!$B$18,Paramètres!$A$1:$I$88,3,0)*0.475*44/12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12.833333333333334</v>
      </c>
      <c r="N38" s="13">
        <f>IF('Données projet'!$A$36&gt;35,N37+M38-V37,IF(A38&lt;'Données projet'!$A$36,$K$205^A38,IF(A38='Données projet'!$A$36,'Données projet'!$B$36,N37+M38-V37)))</f>
        <v>210.83333333333337</v>
      </c>
      <c r="O38" s="13">
        <f>N38*VLOOKUP('Données projet'!$B$9,Paramètres!$A$1:$I$88,3,0)*VLOOKUP('Données projet'!$B$9,Paramètres!$A$1:$I$88,5,0)</f>
        <v>126.07833333333336</v>
      </c>
      <c r="P38" s="13">
        <f t="shared" si="33"/>
        <v>33.08856817390501</v>
      </c>
      <c r="Q38" s="20">
        <f t="shared" si="53"/>
        <v>277.21568679177352</v>
      </c>
      <c r="R38" s="59">
        <f t="shared" si="0"/>
        <v>570.54902012510684</v>
      </c>
      <c r="S38" s="59">
        <f ca="1">AVERAGE(OFFSET($R$3,0,0,'Données projet'!$E$9+1,1))-AVERAGE(OFFSET($H$3,0,0,'Données projet'!$E$9+1,1))</f>
        <v>195.73441209602686</v>
      </c>
      <c r="T38" s="59">
        <f t="shared" si="34"/>
        <v>219.19129224309006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projet'!$B$9,Paramètres!$A$1:$I$88,7,0))</f>
        <v>0</v>
      </c>
      <c r="X38" s="16">
        <f>IF(ISNA(VLOOKUP(A38,'Données projet'!$A$35:$I$55,6,0)),0%,VLOOKUP(A38,'Données projet'!$A$35:$I$55,6,0)*VLOOKUP('Données projet'!$B$9,Paramètres!$A$1:$I$88,7,0))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projet'!$B$9,Paramètres!$A$1:$I$88,3,0)*0.475*44/12</f>
        <v>13.814400453360298</v>
      </c>
      <c r="AA38" s="21">
        <f>EXP(-LN(2)/25)*AA37+(1-EXP(-LN(2)/25))/(LN(2)/25)*Calculateur!V38*Calculateur!X38*VLOOKUP('Données projet'!$B$9,Paramètres!$A$1:$I$88,3,0)*0.475*44/12</f>
        <v>12.324949244031119</v>
      </c>
      <c r="AB38" s="21">
        <f>EXP(-LN(2)/2)*AB37+(1-EXP(-LN(2)/2))/(LN(2)/2)*V38*Y38*VLOOKUP('Données projet'!$B$9,Paramètres!$A$1:$I$88,3,0)*0.475*44/12</f>
        <v>7.0131483838581235E-3</v>
      </c>
      <c r="AC38" s="22">
        <f t="shared" si="3"/>
        <v>26.146362845775275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13.7</v>
      </c>
      <c r="AI38" s="13">
        <f>IF('Données projet'!$A$62&gt;35,AI37+AH38-AQ37,IF(A38&lt;'Données projet'!$A$62,$AF$205^A38,IF(A38='Données projet'!$A$62,'Données projet'!$B$62,AI37+AH38-AQ37)))</f>
        <v>216.49999999999994</v>
      </c>
      <c r="AJ38" s="13">
        <f>AI38*VLOOKUP('Données projet'!$B$10,Paramètres!$A$1:$I$88,3,0)*VLOOKUP('Données projet'!$B$10,Paramètres!$A$1:$I$88,5,0)</f>
        <v>129.46699999999998</v>
      </c>
      <c r="AK38" s="13">
        <f t="shared" si="35"/>
        <v>33.873169248083329</v>
      </c>
      <c r="AL38" s="20">
        <f t="shared" si="4"/>
        <v>284.48412810707845</v>
      </c>
      <c r="AM38" s="59">
        <f t="shared" si="5"/>
        <v>577.81746144041176</v>
      </c>
      <c r="AN38" s="59">
        <f ca="1">AVERAGE(OFFSET($AM$3,0,0,'Données projet'!$E$10+1,1))-AVERAGE(OFFSET($H$3,0,0,'Données projet'!$E$10+1,1))</f>
        <v>246.59447135626942</v>
      </c>
      <c r="AO38" s="59">
        <f t="shared" si="36"/>
        <v>262.00382544285367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projet'!$B$10,Paramètres!$A$1:$I$88,7,0))</f>
        <v>0</v>
      </c>
      <c r="AS38" s="16">
        <f>IF(ISNA(VLOOKUP(A38,'Données projet'!$A$61:$I$81,6,0)),0%,VLOOKUP(A38,'Données projet'!$A$61:$I$81,6,0)*VLOOKUP('Données projet'!$B$10,Paramètres!$A$1:$I$88,7,0))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projet'!$B$10,Paramètres!$A$1:$I$88,3,0)*0.475*44/12</f>
        <v>0</v>
      </c>
      <c r="AV38" s="21">
        <f>EXP(-LN(2)/25)*AV37+(1-EXP(-LN(2)/25))/(LN(2)/25)*Calculateur!AQ38*Calculateur!AS38*VLOOKUP('Données projet'!$B$10,Paramètres!$A$1:$I$88,3,0)*0.475*44/12</f>
        <v>11.185933623003592</v>
      </c>
      <c r="AW38" s="21">
        <f>EXP(-LN(2)/2)*AW37+(1-EXP(-LN(2)/2))/(LN(2)/2)*AQ38*AT38*VLOOKUP('Données projet'!$B$10,Paramètres!$A$1:$I$88,3,0)*0.475*44/12</f>
        <v>4.194797819998338</v>
      </c>
      <c r="AX38" s="21">
        <f t="shared" si="6"/>
        <v>15.380731443001931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22</v>
      </c>
      <c r="BD38" s="12">
        <f>IF('Données projet'!$A$88&gt;35,BD37+BC38-BL37,IF(A38&lt;'Données projet'!$A$88,$BA$205^A38,IF(A38='Données projet'!$A$88,'Données projet'!$B$88,BD37+BC38-BL37)))</f>
        <v>318.99999999999989</v>
      </c>
      <c r="BE38" s="13">
        <f>BD38*VLOOKUP('Données projet'!$B$11,Paramètres!$A$1:$I$88,3,0)*VLOOKUP('Données projet'!$B$11,Paramètres!$A$1:$I$88,5,0)</f>
        <v>178.32099999999994</v>
      </c>
      <c r="BF38" s="13">
        <f t="shared" si="37"/>
        <v>44.948436103175418</v>
      </c>
      <c r="BG38" s="20">
        <f t="shared" si="7"/>
        <v>388.86093454636375</v>
      </c>
      <c r="BH38" s="59">
        <f t="shared" si="8"/>
        <v>682.19426787969701</v>
      </c>
      <c r="BI38" s="59">
        <f ca="1">AVERAGE(OFFSET($BH$3,0,0,'Données projet'!$E$11+1,1))-AVERAGE(OFFSET($H$3,0,0,'Données projet'!$E$11+1,1))</f>
        <v>355.96253323046608</v>
      </c>
      <c r="BJ38" s="59">
        <f t="shared" si="38"/>
        <v>366.8380442809696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projet'!$B$11,Paramètres!$A$1:$I$88,7,0))</f>
        <v>0</v>
      </c>
      <c r="BN38" s="16">
        <f>IF(ISNA(VLOOKUP(A38,'Données projet'!$A$87:$I$107,6,0)),0%,VLOOKUP(A38,'Données projet'!$A$87:$I$107,6,0)*VLOOKUP('Données projet'!$B$11,Paramètres!$A$1:$I$88,7,0))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projet'!$B$11,Paramètres!$A$1:$I$88,3,0)*0.475*44/12</f>
        <v>0</v>
      </c>
      <c r="BQ38" s="21">
        <f>EXP(-LN(2)/25)*BQ37+(1-EXP(-LN(2)/25))/(LN(2)/25)*Calculateur!BL38*Calculateur!BN38*VLOOKUP('Données projet'!$B$11,Paramètres!$A$1:$I$88,3,0)*0.475*44/12</f>
        <v>19.804848454035657</v>
      </c>
      <c r="BR38" s="21">
        <f>EXP(-LN(2)/2)*BR37+(1-EXP(-LN(2)/2))/(LN(2)/2)*BL38*BO38*VLOOKUP('Données projet'!$B$11,Paramètres!$A$1:$I$88,3,0)*0.475*44/12</f>
        <v>6.4858409372573123</v>
      </c>
      <c r="BS38" s="22">
        <f t="shared" si="9"/>
        <v>26.290689391292968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10.199999999999999</v>
      </c>
      <c r="BY38" s="12">
        <f>IF('Données projet'!$A$114&gt;35,BY37+BX38-CG37,IF(A38&lt;'Données projet'!$A$114,$BV$205^A38,IF(A38='Données projet'!$A$114,'Données projet'!$B$114,BY37+BX38-CG37)))</f>
        <v>168.99999999999991</v>
      </c>
      <c r="BZ38" s="13">
        <f>BY38*VLOOKUP('Données projet'!$B$12,Paramètres!$A$1:$I$88,3,0)*VLOOKUP('Données projet'!$B$12,Paramètres!$A$1:$I$88,5,0)</f>
        <v>110.72879999999995</v>
      </c>
      <c r="CA38" s="13">
        <f t="shared" si="39"/>
        <v>29.502629487670664</v>
      </c>
      <c r="CB38" s="20">
        <f t="shared" si="10"/>
        <v>244.23640635769297</v>
      </c>
      <c r="CC38" s="59">
        <f t="shared" si="11"/>
        <v>537.56973969102626</v>
      </c>
      <c r="CD38" s="59">
        <f ca="1">AVERAGE(OFFSET($CC$3,0,0,'Données projet'!$E$12+1,1))-AVERAGE(OFFSET($H$3,0,0,'Données projet'!$E$12+1,1))</f>
        <v>180.90147430936133</v>
      </c>
      <c r="CE38" s="59">
        <f t="shared" si="40"/>
        <v>226.87949199830018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projet'!$B$12,Paramètres!$A$1:$I$88,7,0))</f>
        <v>0</v>
      </c>
      <c r="CI38" s="16">
        <f>IF(ISNA(VLOOKUP(A38,'Données projet'!$A$113:$I$133,6,0)),0%,VLOOKUP(A38,'Données projet'!$A$113:$I$133,6,0)*VLOOKUP('Données projet'!$B$12,Paramètres!$A$1:$I$88,7,0))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projet'!$B$12,Paramètres!$A$1:$I$88,3,0)*0.475*44/12</f>
        <v>0</v>
      </c>
      <c r="CL38" s="21">
        <f>EXP(-LN(2)/25)*CL37+(1-EXP(-LN(2)/25))/(LN(2)/25)*Calculateur!CG38*Calculateur!CI38*VLOOKUP('Données projet'!$B$12,Paramètres!$A$1:$I$88,3,0)*0.475*44/12</f>
        <v>5.9811479207546761</v>
      </c>
      <c r="CM38" s="21">
        <f>EXP(-LN(2)/2)*CM37+(1-EXP(-LN(2)/2))/(LN(2)/2)*CG38*CJ38*VLOOKUP('Données projet'!$B$12,Paramètres!$A$1:$I$88,3,0)*0.475*44/12</f>
        <v>1.5666763650549147</v>
      </c>
      <c r="CN38" s="22">
        <f t="shared" si="12"/>
        <v>7.5478242858095905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5.6843418860808015E-14</v>
      </c>
      <c r="CU38" s="17">
        <f>CT38*VLOOKUP('Données projet'!$B$13,Paramètres!$A$1:$I$88,3,0)*VLOOKUP('Données projet'!$B$13,Paramètres!$A$1:$I$88,5,0)</f>
        <v>2.8908289095852525E-14</v>
      </c>
      <c r="CV38" s="13">
        <f t="shared" si="41"/>
        <v>5.0177780569126974E-13</v>
      </c>
      <c r="CW38" s="20">
        <f t="shared" si="13"/>
        <v>9.2427828175423786E-13</v>
      </c>
      <c r="CX38" s="59">
        <f t="shared" si="14"/>
        <v>293.33333333333422</v>
      </c>
      <c r="CY38" s="59">
        <f ca="1">AVERAGE(OFFSET($CX$3,0,0,'Données projet'!$E$13+1,1))-AVERAGE(OFFSET($H$3,0,0,'Données projet'!$E$13+1,1))</f>
        <v>133.08385802816008</v>
      </c>
      <c r="CZ38" s="59">
        <f t="shared" si="42"/>
        <v>316.59112511251385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projet'!$B$13,Paramètres!$A$1:$I$88,7,0))</f>
        <v>0</v>
      </c>
      <c r="DD38" s="16">
        <f>IF(ISNA(VLOOKUP(A38,'Données projet'!$A$139:$I$159,6,0)),0%,VLOOKUP(A38,'Données projet'!$A$139:$I$159,6,0)*VLOOKUP('Données projet'!$B$13,Paramètres!$A$1:$I$88,7,0))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projet'!$B$13,Paramètres!$A$1:$I$88,3,0)*0.475*44/12</f>
        <v>65.398715770265454</v>
      </c>
      <c r="DG38" s="21">
        <f>EXP(-LN(2)/25)*DG37+(1-EXP(-LN(2)/25))/(LN(2)/25)*Calculateur!DB38*Calculateur!DD38*VLOOKUP('Données projet'!$B$13,Paramètres!$A$1:$I$88,3,0)*0.475*44/12</f>
        <v>0</v>
      </c>
      <c r="DH38" s="21">
        <f>EXP(-LN(2)/2)*DH37+(1-EXP(-LN(2)/2))/(LN(2)/2)*DB38*DE38*VLOOKUP('Données projet'!$B$13,Paramètres!$A$1:$I$88,3,0)*0.475*44/12</f>
        <v>0.99956679934780701</v>
      </c>
      <c r="DI38" s="22">
        <f t="shared" si="15"/>
        <v>66.398282569613258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projet'!$B$14,Paramètres!$A$1:$I$88,3,0)*VLOOKUP('Données projet'!$B$14,Paramètres!$A$1:$I$88,5,0)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projet'!$B$14,Paramètres!$A$1:$I$88,7,0))</f>
        <v>0</v>
      </c>
      <c r="DY38" s="16">
        <f>IF(ISNA(VLOOKUP(A38,'Données projet'!$A$165:$I$185,6,0)),0%,VLOOKUP(A38,'Données projet'!$A$165:$I$185,6,0)*VLOOKUP('Données projet'!$B$14,Paramètres!$A$1:$I$88,7,0))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projet'!$B$14,Paramètres!$A$1:$I$88,3,0)*0.475*44/12</f>
        <v>#N/A</v>
      </c>
      <c r="EB38" s="21" t="e">
        <f>EXP(-LN(2)/25)*EB37+(1-EXP(-LN(2)/25))/(LN(2)/25)*Calculateur!DW38*Calculateur!DY38*VLOOKUP('Données projet'!$B$14,Paramètres!$A$1:$I$88,3,0)*0.475*44/12</f>
        <v>#N/A</v>
      </c>
      <c r="EC38" s="21" t="e">
        <f>EXP(-LN(2)/2)*EC37+(1-EXP(-LN(2)/2))/(LN(2)/2)*DW38*DZ38*VLOOKUP('Données projet'!$B$14,Paramètres!$A$1:$I$88,3,0)*0.475*44/12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projet'!$B$15,Paramètres!$A$1:$I$88,3,0)*VLOOKUP('Données projet'!$B$15,Paramètres!$A$1:$I$88,5,0)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projet'!$B$15,Paramètres!$A$1:$I$88,7,0))</f>
        <v>0</v>
      </c>
      <c r="ET38" s="16">
        <f>IF(ISNA(VLOOKUP(A38,'Données projet'!$A$191:$I$211,6,0)),0%,VLOOKUP(A38,'Données projet'!$A$191:$I$211,6,0)*VLOOKUP('Données projet'!$B$15,Paramètres!$A$1:$I$88,7,0))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projet'!$B$15,Paramètres!$A$1:$I$88,3,0)*0.475*44/12</f>
        <v>#N/A</v>
      </c>
      <c r="EW38" s="21" t="e">
        <f>EXP(-LN(2)/25)*EW37+(1-EXP(-LN(2)/25))/(LN(2)/25)*Calculateur!ER38*Calculateur!ET38*VLOOKUP('Données projet'!$B$15,Paramètres!$A$1:$I$88,3,0)*0.475*44/12</f>
        <v>#N/A</v>
      </c>
      <c r="EX38" s="21" t="e">
        <f>EXP(-LN(2)/2)*EX37+(1-EXP(-LN(2)/2))/(LN(2)/2)*ER38*EU38*VLOOKUP('Données projet'!$B$15,Paramètres!$A$1:$I$88,3,0)*0.475*44/12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projet'!$B$16,Paramètres!$A$1:$I$88,3,0)*VLOOKUP('Données projet'!$B$16,Paramètres!$A$1:$I$88,5,0)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projet'!$B$16,Paramètres!$A$1:$I$88,7,0))</f>
        <v>0</v>
      </c>
      <c r="FO38" s="16">
        <f>IF(ISNA(VLOOKUP(A38,'Données projet'!$A$217:$I$237,6,0)),0%,VLOOKUP(A38,'Données projet'!$A$217:$I$237,6,0)*VLOOKUP('Données projet'!$B$16,Paramètres!$A$1:$I$88,7,0))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projet'!$B$16,Paramètres!$A$1:$I$88,3,0)*0.475*44/12</f>
        <v>#N/A</v>
      </c>
      <c r="FR38" s="21" t="e">
        <f>EXP(-LN(2)/25)*FR37+(1-EXP(-LN(2)/25))/(LN(2)/25)*Calculateur!FM38*Calculateur!FO38*VLOOKUP('Données projet'!$B$16,Paramètres!$A$1:$I$88,3,0)*0.475*44/12</f>
        <v>#N/A</v>
      </c>
      <c r="FS38" s="21" t="e">
        <f>EXP(-LN(2)/2)*FS37+(1-EXP(-LN(2)/2))/(LN(2)/2)*FM38*FP38*VLOOKUP('Données projet'!$B$16,Paramètres!$A$1:$I$88,3,0)*0.475*44/12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projet'!$B$17,Paramètres!$A$1:$I$88,3,0)*VLOOKUP('Données projet'!$B$17,Paramètres!$A$1:$I$88,5,0)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projet'!$B$17,Paramètres!$A$1:$I$88,7,0))</f>
        <v>0</v>
      </c>
      <c r="GJ38" s="16">
        <f>IF(ISNA(VLOOKUP(A38,'Données projet'!$A$243:$I$263,6,0)),0%,VLOOKUP(A38,'Données projet'!$A$243:$I$263,6,0)*VLOOKUP('Données projet'!$B$17,Paramètres!$A$1:$I$88,7,0))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projet'!$B$17,Paramètres!$A$1:$I$88,3,0)*0.475*44/12</f>
        <v>#N/A</v>
      </c>
      <c r="GM38" s="21" t="e">
        <f>EXP(-LN(2)/25)*GM37+(1-EXP(-LN(2)/25))/(LN(2)/25)*Calculateur!GH38*Calculateur!GJ38*VLOOKUP('Données projet'!$B$17,Paramètres!$A$1:$I$88,3,0)*0.475*44/12</f>
        <v>#N/A</v>
      </c>
      <c r="GN38" s="21" t="e">
        <f>EXP(-LN(2)/2)*GN37+(1-EXP(-LN(2)/2))/(LN(2)/2)*GH38*GK38*VLOOKUP('Données projet'!$B$17,Paramètres!$A$1:$I$88,3,0)*0.475*44/12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projet'!$B$18,Paramètres!$A$1:$I$88,3,0)*VLOOKUP('Données projet'!$B$18,Paramètres!$A$1:$I$88,5,0)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projet'!$B$18,Paramètres!$A$1:$I$88,7,0))</f>
        <v>0</v>
      </c>
      <c r="HE38" s="16">
        <f>IF(ISNA(VLOOKUP(A38,'Données projet'!$A$269:$I$289,6,0)),0%,VLOOKUP(A38,'Données projet'!$A$269:$I$289,6,0)*VLOOKUP('Données projet'!$B$18,Paramètres!$A$1:$I$88,7,0))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projet'!$B$18,Paramètres!$A$1:$I$88,3,0)*0.475*44/12</f>
        <v>#N/A</v>
      </c>
      <c r="HH38" s="21" t="e">
        <f>EXP(-LN(2)/25)*HH37+(1-EXP(-LN(2)/25))/(LN(2)/25)*Calculateur!HC38*Calculateur!HE38*VLOOKUP('Données projet'!$B$18,Paramètres!$A$1:$I$88,3,0)*0.475*44/12</f>
        <v>#N/A</v>
      </c>
      <c r="HI38" s="21" t="e">
        <f>EXP(-LN(2)/2)*HI37+(1-EXP(-LN(2)/2))/(LN(2)/2)*HC38*HF38*VLOOKUP('Données projet'!$B$18,Paramètres!$A$1:$I$88,3,0)*0.475*44/12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12.833333333333334</v>
      </c>
      <c r="N39" s="13">
        <f>IF('Données projet'!$A$36&gt;35,N38+M39-V38,IF(A39&lt;'Données projet'!$A$36,$K$205^A39,IF(A39='Données projet'!$A$36,'Données projet'!$B$36,N38+M39-V38)))</f>
        <v>223.66666666666671</v>
      </c>
      <c r="O39" s="13">
        <f>N39*VLOOKUP('Données projet'!$B$9,Paramètres!$A$1:$I$88,3,0)*VLOOKUP('Données projet'!$B$9,Paramètres!$A$1:$I$88,5,0)</f>
        <v>133.75266666666673</v>
      </c>
      <c r="P39" s="13">
        <f t="shared" si="33"/>
        <v>34.86204901776788</v>
      </c>
      <c r="Q39" s="20">
        <f t="shared" si="53"/>
        <v>293.67062981705698</v>
      </c>
      <c r="R39" s="59">
        <f t="shared" si="0"/>
        <v>587.00396315039029</v>
      </c>
      <c r="S39" s="59">
        <f ca="1">AVERAGE(OFFSET($R$3,0,0,'Données projet'!$E$9+1,1))-AVERAGE(OFFSET($H$3,0,0,'Données projet'!$E$9+1,1))</f>
        <v>195.73441209602686</v>
      </c>
      <c r="T39" s="59">
        <f t="shared" si="34"/>
        <v>219.19129224309006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projet'!$B$9,Paramètres!$A$1:$I$88,7,0))</f>
        <v>0</v>
      </c>
      <c r="X39" s="16">
        <f>IF(ISNA(VLOOKUP(A39,'Données projet'!$A$35:$I$55,6,0)),0%,VLOOKUP(A39,'Données projet'!$A$35:$I$55,6,0)*VLOOKUP('Données projet'!$B$9,Paramètres!$A$1:$I$88,7,0))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projet'!$B$9,Paramètres!$A$1:$I$88,3,0)*0.475*44/12</f>
        <v>13.543508486422185</v>
      </c>
      <c r="AA39" s="21">
        <f>EXP(-LN(2)/25)*AA38+(1-EXP(-LN(2)/25))/(LN(2)/25)*Calculateur!V39*Calculateur!X39*VLOOKUP('Données projet'!$B$9,Paramètres!$A$1:$I$88,3,0)*0.475*44/12</f>
        <v>11.987922858812176</v>
      </c>
      <c r="AB39" s="21">
        <f>EXP(-LN(2)/2)*AB38+(1-EXP(-LN(2)/2))/(LN(2)/2)*V39*Y39*VLOOKUP('Données projet'!$B$9,Paramètres!$A$1:$I$88,3,0)*0.475*44/12</f>
        <v>4.9590447796935555E-3</v>
      </c>
      <c r="AC39" s="22">
        <f t="shared" si="3"/>
        <v>25.536390390014052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13.7</v>
      </c>
      <c r="AI39" s="13">
        <f>IF('Données projet'!$A$62&gt;35,AI38+AH39-AQ38,IF(A39&lt;'Données projet'!$A$62,$AF$205^A39,IF(A39='Données projet'!$A$62,'Données projet'!$B$62,AI38+AH39-AQ38)))</f>
        <v>230.19999999999993</v>
      </c>
      <c r="AJ39" s="13">
        <f>AI39*VLOOKUP('Données projet'!$B$10,Paramètres!$A$1:$I$88,3,0)*VLOOKUP('Données projet'!$B$10,Paramètres!$A$1:$I$88,5,0)</f>
        <v>137.65959999999995</v>
      </c>
      <c r="AK39" s="13">
        <f t="shared" si="35"/>
        <v>35.760327802577585</v>
      </c>
      <c r="AL39" s="20">
        <f t="shared" si="4"/>
        <v>302.03970758948918</v>
      </c>
      <c r="AM39" s="59">
        <f t="shared" si="5"/>
        <v>595.3730409228225</v>
      </c>
      <c r="AN39" s="59">
        <f ca="1">AVERAGE(OFFSET($AM$3,0,0,'Données projet'!$E$10+1,1))-AVERAGE(OFFSET($H$3,0,0,'Données projet'!$E$10+1,1))</f>
        <v>246.59447135626942</v>
      </c>
      <c r="AO39" s="59">
        <f t="shared" si="36"/>
        <v>262.00382544285367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projet'!$B$10,Paramètres!$A$1:$I$88,7,0))</f>
        <v>0</v>
      </c>
      <c r="AS39" s="16">
        <f>IF(ISNA(VLOOKUP(A39,'Données projet'!$A$61:$I$81,6,0)),0%,VLOOKUP(A39,'Données projet'!$A$61:$I$81,6,0)*VLOOKUP('Données projet'!$B$10,Paramètres!$A$1:$I$88,7,0))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projet'!$B$10,Paramètres!$A$1:$I$88,3,0)*0.475*44/12</f>
        <v>0</v>
      </c>
      <c r="AV39" s="21">
        <f>EXP(-LN(2)/25)*AV38+(1-EXP(-LN(2)/25))/(LN(2)/25)*Calculateur!AQ39*Calculateur!AS39*VLOOKUP('Données projet'!$B$10,Paramètres!$A$1:$I$88,3,0)*0.475*44/12</f>
        <v>10.880053679839875</v>
      </c>
      <c r="AW39" s="21">
        <f>EXP(-LN(2)/2)*AW38+(1-EXP(-LN(2)/2))/(LN(2)/2)*AQ39*AT39*VLOOKUP('Données projet'!$B$10,Paramètres!$A$1:$I$88,3,0)*0.475*44/12</f>
        <v>2.9661699842273714</v>
      </c>
      <c r="AX39" s="21">
        <f t="shared" si="6"/>
        <v>13.846223664067246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22</v>
      </c>
      <c r="BD39" s="12">
        <f>IF('Données projet'!$A$88&gt;35,BD38+BC39-BL38,IF(A39&lt;'Données projet'!$A$88,$BA$205^A39,IF(A39='Données projet'!$A$88,'Données projet'!$B$88,BD38+BC39-BL38)))</f>
        <v>340.99999999999989</v>
      </c>
      <c r="BE39" s="13">
        <f>BD39*VLOOKUP('Données projet'!$B$11,Paramètres!$A$1:$I$88,3,0)*VLOOKUP('Données projet'!$B$11,Paramètres!$A$1:$I$88,5,0)</f>
        <v>190.61899999999991</v>
      </c>
      <c r="BF39" s="13">
        <f t="shared" si="37"/>
        <v>47.676779045481801</v>
      </c>
      <c r="BG39" s="20">
        <f t="shared" si="7"/>
        <v>415.03181517088063</v>
      </c>
      <c r="BH39" s="59">
        <f t="shared" si="8"/>
        <v>708.36514850421395</v>
      </c>
      <c r="BI39" s="59">
        <f ca="1">AVERAGE(OFFSET($BH$3,0,0,'Données projet'!$E$11+1,1))-AVERAGE(OFFSET($H$3,0,0,'Données projet'!$E$11+1,1))</f>
        <v>355.96253323046608</v>
      </c>
      <c r="BJ39" s="59">
        <f t="shared" si="38"/>
        <v>366.8380442809696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projet'!$B$11,Paramètres!$A$1:$I$88,7,0))</f>
        <v>0</v>
      </c>
      <c r="BN39" s="16">
        <f>IF(ISNA(VLOOKUP(A39,'Données projet'!$A$87:$I$107,6,0)),0%,VLOOKUP(A39,'Données projet'!$A$87:$I$107,6,0)*VLOOKUP('Données projet'!$B$11,Paramètres!$A$1:$I$88,7,0))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projet'!$B$11,Paramètres!$A$1:$I$88,3,0)*0.475*44/12</f>
        <v>0</v>
      </c>
      <c r="BQ39" s="21">
        <f>EXP(-LN(2)/25)*BQ38+(1-EXP(-LN(2)/25))/(LN(2)/25)*Calculateur!BL39*Calculateur!BN39*VLOOKUP('Données projet'!$B$11,Paramètres!$A$1:$I$88,3,0)*0.475*44/12</f>
        <v>19.263283831568337</v>
      </c>
      <c r="BR39" s="21">
        <f>EXP(-LN(2)/2)*BR38+(1-EXP(-LN(2)/2))/(LN(2)/2)*BL39*BO39*VLOOKUP('Données projet'!$B$11,Paramètres!$A$1:$I$88,3,0)*0.475*44/12</f>
        <v>4.5861821084319585</v>
      </c>
      <c r="BS39" s="22">
        <f t="shared" si="9"/>
        <v>23.849465940000297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10.199999999999999</v>
      </c>
      <c r="BY39" s="12">
        <f>IF('Données projet'!$A$114&gt;35,BY38+BX39-CG38,IF(A39&lt;'Données projet'!$A$114,$BV$205^A39,IF(A39='Données projet'!$A$114,'Données projet'!$B$114,BY38+BX39-CG38)))</f>
        <v>179.1999999999999</v>
      </c>
      <c r="BZ39" s="13">
        <f>BY39*VLOOKUP('Données projet'!$B$12,Paramètres!$A$1:$I$88,3,0)*VLOOKUP('Données projet'!$B$12,Paramètres!$A$1:$I$88,5,0)</f>
        <v>117.41183999999993</v>
      </c>
      <c r="CA39" s="13">
        <f t="shared" si="39"/>
        <v>31.070589593507044</v>
      </c>
      <c r="CB39" s="20">
        <f t="shared" si="10"/>
        <v>258.60689820869123</v>
      </c>
      <c r="CC39" s="59">
        <f t="shared" si="11"/>
        <v>551.94023154202455</v>
      </c>
      <c r="CD39" s="59">
        <f ca="1">AVERAGE(OFFSET($CC$3,0,0,'Données projet'!$E$12+1,1))-AVERAGE(OFFSET($H$3,0,0,'Données projet'!$E$12+1,1))</f>
        <v>180.90147430936133</v>
      </c>
      <c r="CE39" s="59">
        <f t="shared" si="40"/>
        <v>226.87949199830018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projet'!$B$12,Paramètres!$A$1:$I$88,7,0))</f>
        <v>0</v>
      </c>
      <c r="CI39" s="16">
        <f>IF(ISNA(VLOOKUP(A39,'Données projet'!$A$113:$I$133,6,0)),0%,VLOOKUP(A39,'Données projet'!$A$113:$I$133,6,0)*VLOOKUP('Données projet'!$B$12,Paramètres!$A$1:$I$88,7,0))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projet'!$B$12,Paramètres!$A$1:$I$88,3,0)*0.475*44/12</f>
        <v>0</v>
      </c>
      <c r="CL39" s="21">
        <f>EXP(-LN(2)/25)*CL38+(1-EXP(-LN(2)/25))/(LN(2)/25)*Calculateur!CG39*Calculateur!CI39*VLOOKUP('Données projet'!$B$12,Paramètres!$A$1:$I$88,3,0)*0.475*44/12</f>
        <v>5.8175931163267407</v>
      </c>
      <c r="CM39" s="21">
        <f>EXP(-LN(2)/2)*CM38+(1-EXP(-LN(2)/2))/(LN(2)/2)*CG39*CJ39*VLOOKUP('Données projet'!$B$12,Paramètres!$A$1:$I$88,3,0)*0.475*44/12</f>
        <v>1.1078074816550212</v>
      </c>
      <c r="CN39" s="22">
        <f t="shared" si="12"/>
        <v>6.9254005979817617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5.6843418860808015E-14</v>
      </c>
      <c r="CU39" s="17">
        <f>CT39*VLOOKUP('Données projet'!$B$13,Paramètres!$A$1:$I$88,3,0)*VLOOKUP('Données projet'!$B$13,Paramètres!$A$1:$I$88,5,0)</f>
        <v>2.8908289095852525E-14</v>
      </c>
      <c r="CV39" s="13">
        <f t="shared" si="41"/>
        <v>5.0177780569126974E-13</v>
      </c>
      <c r="CW39" s="20">
        <f t="shared" si="13"/>
        <v>9.2427828175423786E-13</v>
      </c>
      <c r="CX39" s="59">
        <f t="shared" si="14"/>
        <v>293.33333333333422</v>
      </c>
      <c r="CY39" s="59">
        <f ca="1">AVERAGE(OFFSET($CX$3,0,0,'Données projet'!$E$13+1,1))-AVERAGE(OFFSET($H$3,0,0,'Données projet'!$E$13+1,1))</f>
        <v>133.08385802816008</v>
      </c>
      <c r="CZ39" s="59">
        <f t="shared" si="42"/>
        <v>316.59112511251385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projet'!$B$13,Paramètres!$A$1:$I$88,7,0))</f>
        <v>0</v>
      </c>
      <c r="DD39" s="16">
        <f>IF(ISNA(VLOOKUP(A39,'Données projet'!$A$139:$I$159,6,0)),0%,VLOOKUP(A39,'Données projet'!$A$139:$I$159,6,0)*VLOOKUP('Données projet'!$B$13,Paramètres!$A$1:$I$88,7,0))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projet'!$B$13,Paramètres!$A$1:$I$88,3,0)*0.475*44/12</f>
        <v>64.116286843288435</v>
      </c>
      <c r="DG39" s="21">
        <f>EXP(-LN(2)/25)*DG38+(1-EXP(-LN(2)/25))/(LN(2)/25)*Calculateur!DB39*Calculateur!DD39*VLOOKUP('Données projet'!$B$13,Paramètres!$A$1:$I$88,3,0)*0.475*44/12</f>
        <v>0</v>
      </c>
      <c r="DH39" s="21">
        <f>EXP(-LN(2)/2)*DH38+(1-EXP(-LN(2)/2))/(LN(2)/2)*DB39*DE39*VLOOKUP('Données projet'!$B$13,Paramètres!$A$1:$I$88,3,0)*0.475*44/12</f>
        <v>0.70680046206776748</v>
      </c>
      <c r="DI39" s="22">
        <f t="shared" si="15"/>
        <v>64.823087305356196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projet'!$B$14,Paramètres!$A$1:$I$88,3,0)*VLOOKUP('Données projet'!$B$14,Paramètres!$A$1:$I$88,5,0)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projet'!$B$14,Paramètres!$A$1:$I$88,7,0))</f>
        <v>0</v>
      </c>
      <c r="DY39" s="16">
        <f>IF(ISNA(VLOOKUP(A39,'Données projet'!$A$165:$I$185,6,0)),0%,VLOOKUP(A39,'Données projet'!$A$165:$I$185,6,0)*VLOOKUP('Données projet'!$B$14,Paramètres!$A$1:$I$88,7,0))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projet'!$B$14,Paramètres!$A$1:$I$88,3,0)*0.475*44/12</f>
        <v>#N/A</v>
      </c>
      <c r="EB39" s="21" t="e">
        <f>EXP(-LN(2)/25)*EB38+(1-EXP(-LN(2)/25))/(LN(2)/25)*Calculateur!DW39*Calculateur!DY39*VLOOKUP('Données projet'!$B$14,Paramètres!$A$1:$I$88,3,0)*0.475*44/12</f>
        <v>#N/A</v>
      </c>
      <c r="EC39" s="21" t="e">
        <f>EXP(-LN(2)/2)*EC38+(1-EXP(-LN(2)/2))/(LN(2)/2)*DW39*DZ39*VLOOKUP('Données projet'!$B$14,Paramètres!$A$1:$I$88,3,0)*0.475*44/12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projet'!$B$15,Paramètres!$A$1:$I$88,3,0)*VLOOKUP('Données projet'!$B$15,Paramètres!$A$1:$I$88,5,0)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projet'!$B$15,Paramètres!$A$1:$I$88,7,0))</f>
        <v>0</v>
      </c>
      <c r="ET39" s="16">
        <f>IF(ISNA(VLOOKUP(A39,'Données projet'!$A$191:$I$211,6,0)),0%,VLOOKUP(A39,'Données projet'!$A$191:$I$211,6,0)*VLOOKUP('Données projet'!$B$15,Paramètres!$A$1:$I$88,7,0))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projet'!$B$15,Paramètres!$A$1:$I$88,3,0)*0.475*44/12</f>
        <v>#N/A</v>
      </c>
      <c r="EW39" s="21" t="e">
        <f>EXP(-LN(2)/25)*EW38+(1-EXP(-LN(2)/25))/(LN(2)/25)*Calculateur!ER39*Calculateur!ET39*VLOOKUP('Données projet'!$B$15,Paramètres!$A$1:$I$88,3,0)*0.475*44/12</f>
        <v>#N/A</v>
      </c>
      <c r="EX39" s="21" t="e">
        <f>EXP(-LN(2)/2)*EX38+(1-EXP(-LN(2)/2))/(LN(2)/2)*ER39*EU39*VLOOKUP('Données projet'!$B$15,Paramètres!$A$1:$I$88,3,0)*0.475*44/12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projet'!$B$16,Paramètres!$A$1:$I$88,3,0)*VLOOKUP('Données projet'!$B$16,Paramètres!$A$1:$I$88,5,0)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projet'!$B$16,Paramètres!$A$1:$I$88,7,0))</f>
        <v>0</v>
      </c>
      <c r="FO39" s="16">
        <f>IF(ISNA(VLOOKUP(A39,'Données projet'!$A$217:$I$237,6,0)),0%,VLOOKUP(A39,'Données projet'!$A$217:$I$237,6,0)*VLOOKUP('Données projet'!$B$16,Paramètres!$A$1:$I$88,7,0))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projet'!$B$16,Paramètres!$A$1:$I$88,3,0)*0.475*44/12</f>
        <v>#N/A</v>
      </c>
      <c r="FR39" s="21" t="e">
        <f>EXP(-LN(2)/25)*FR38+(1-EXP(-LN(2)/25))/(LN(2)/25)*Calculateur!FM39*Calculateur!FO39*VLOOKUP('Données projet'!$B$16,Paramètres!$A$1:$I$88,3,0)*0.475*44/12</f>
        <v>#N/A</v>
      </c>
      <c r="FS39" s="21" t="e">
        <f>EXP(-LN(2)/2)*FS38+(1-EXP(-LN(2)/2))/(LN(2)/2)*FM39*FP39*VLOOKUP('Données projet'!$B$16,Paramètres!$A$1:$I$88,3,0)*0.475*44/12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projet'!$B$17,Paramètres!$A$1:$I$88,3,0)*VLOOKUP('Données projet'!$B$17,Paramètres!$A$1:$I$88,5,0)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projet'!$B$17,Paramètres!$A$1:$I$88,7,0))</f>
        <v>0</v>
      </c>
      <c r="GJ39" s="16">
        <f>IF(ISNA(VLOOKUP(A39,'Données projet'!$A$243:$I$263,6,0)),0%,VLOOKUP(A39,'Données projet'!$A$243:$I$263,6,0)*VLOOKUP('Données projet'!$B$17,Paramètres!$A$1:$I$88,7,0))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projet'!$B$17,Paramètres!$A$1:$I$88,3,0)*0.475*44/12</f>
        <v>#N/A</v>
      </c>
      <c r="GM39" s="21" t="e">
        <f>EXP(-LN(2)/25)*GM38+(1-EXP(-LN(2)/25))/(LN(2)/25)*Calculateur!GH39*Calculateur!GJ39*VLOOKUP('Données projet'!$B$17,Paramètres!$A$1:$I$88,3,0)*0.475*44/12</f>
        <v>#N/A</v>
      </c>
      <c r="GN39" s="21" t="e">
        <f>EXP(-LN(2)/2)*GN38+(1-EXP(-LN(2)/2))/(LN(2)/2)*GH39*GK39*VLOOKUP('Données projet'!$B$17,Paramètres!$A$1:$I$88,3,0)*0.475*44/12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projet'!$B$18,Paramètres!$A$1:$I$88,3,0)*VLOOKUP('Données projet'!$B$18,Paramètres!$A$1:$I$88,5,0)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projet'!$B$18,Paramètres!$A$1:$I$88,7,0))</f>
        <v>0</v>
      </c>
      <c r="HE39" s="16">
        <f>IF(ISNA(VLOOKUP(A39,'Données projet'!$A$269:$I$289,6,0)),0%,VLOOKUP(A39,'Données projet'!$A$269:$I$289,6,0)*VLOOKUP('Données projet'!$B$18,Paramètres!$A$1:$I$88,7,0))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projet'!$B$18,Paramètres!$A$1:$I$88,3,0)*0.475*44/12</f>
        <v>#N/A</v>
      </c>
      <c r="HH39" s="21" t="e">
        <f>EXP(-LN(2)/25)*HH38+(1-EXP(-LN(2)/25))/(LN(2)/25)*Calculateur!HC39*Calculateur!HE39*VLOOKUP('Données projet'!$B$18,Paramètres!$A$1:$I$88,3,0)*0.475*44/12</f>
        <v>#N/A</v>
      </c>
      <c r="HI39" s="21" t="e">
        <f>EXP(-LN(2)/2)*HI38+(1-EXP(-LN(2)/2))/(LN(2)/2)*HC39*HF39*VLOOKUP('Données projet'!$B$18,Paramètres!$A$1:$I$88,3,0)*0.475*44/12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12.833333333333334</v>
      </c>
      <c r="N40" s="13">
        <f>IF('Données projet'!$A$36&gt;35,N39+M40-V39,IF(A40&lt;'Données projet'!$A$36,$K$205^A40,IF(A40='Données projet'!$A$36,'Données projet'!$B$36,N39+M40-V39)))</f>
        <v>236.50000000000006</v>
      </c>
      <c r="O40" s="13">
        <f>N40*VLOOKUP('Données projet'!$B$9,Paramètres!$A$1:$I$88,3,0)*VLOOKUP('Données projet'!$B$9,Paramètres!$A$1:$I$88,5,0)</f>
        <v>141.42700000000005</v>
      </c>
      <c r="P40" s="13">
        <f t="shared" si="33"/>
        <v>36.623717959686019</v>
      </c>
      <c r="Q40" s="20">
        <f t="shared" si="53"/>
        <v>310.10500044645323</v>
      </c>
      <c r="R40" s="59">
        <f t="shared" si="0"/>
        <v>603.43833377978649</v>
      </c>
      <c r="S40" s="59">
        <f ca="1">AVERAGE(OFFSET($R$3,0,0,'Données projet'!$E$9+1,1))-AVERAGE(OFFSET($H$3,0,0,'Données projet'!$E$9+1,1))</f>
        <v>195.73441209602686</v>
      </c>
      <c r="T40" s="59">
        <f t="shared" si="34"/>
        <v>219.19129224309006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projet'!$B$9,Paramètres!$A$1:$I$88,7,0))</f>
        <v>0</v>
      </c>
      <c r="X40" s="16">
        <f>IF(ISNA(VLOOKUP(A40,'Données projet'!$A$35:$I$55,6,0)),0%,VLOOKUP(A40,'Données projet'!$A$35:$I$55,6,0)*VLOOKUP('Données projet'!$B$9,Paramètres!$A$1:$I$88,7,0))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projet'!$B$9,Paramètres!$A$1:$I$88,3,0)*0.475*44/12</f>
        <v>13.277928545727944</v>
      </c>
      <c r="AA40" s="21">
        <f>EXP(-LN(2)/25)*AA39+(1-EXP(-LN(2)/25))/(LN(2)/25)*Calculateur!V40*Calculateur!X40*VLOOKUP('Données projet'!$B$9,Paramètres!$A$1:$I$88,3,0)*0.475*44/12</f>
        <v>11.660112477820492</v>
      </c>
      <c r="AB40" s="21">
        <f>EXP(-LN(2)/2)*AB39+(1-EXP(-LN(2)/2))/(LN(2)/2)*V40*Y40*VLOOKUP('Données projet'!$B$9,Paramètres!$A$1:$I$88,3,0)*0.475*44/12</f>
        <v>3.5065741919290618E-3</v>
      </c>
      <c r="AC40" s="22">
        <f t="shared" si="3"/>
        <v>24.941547597740364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13.7</v>
      </c>
      <c r="AI40" s="13">
        <f>IF('Données projet'!$A$62&gt;35,AI39+AH40-AQ39,IF(A40&lt;'Données projet'!$A$62,$AF$205^A40,IF(A40='Données projet'!$A$62,'Données projet'!$B$62,AI39+AH40-AQ39)))</f>
        <v>243.89999999999992</v>
      </c>
      <c r="AJ40" s="13">
        <f>AI40*VLOOKUP('Données projet'!$B$10,Paramètres!$A$1:$I$88,3,0)*VLOOKUP('Données projet'!$B$10,Paramètres!$A$1:$I$88,5,0)</f>
        <v>145.85219999999998</v>
      </c>
      <c r="AK40" s="13">
        <f t="shared" si="35"/>
        <v>37.634450370795903</v>
      </c>
      <c r="AL40" s="20">
        <f t="shared" si="4"/>
        <v>319.57258272913612</v>
      </c>
      <c r="AM40" s="59">
        <f t="shared" si="5"/>
        <v>612.90591606246949</v>
      </c>
      <c r="AN40" s="59">
        <f ca="1">AVERAGE(OFFSET($AM$3,0,0,'Données projet'!$E$10+1,1))-AVERAGE(OFFSET($H$3,0,0,'Données projet'!$E$10+1,1))</f>
        <v>246.59447135626942</v>
      </c>
      <c r="AO40" s="59">
        <f t="shared" si="36"/>
        <v>262.00382544285367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projet'!$B$10,Paramètres!$A$1:$I$88,7,0))</f>
        <v>0</v>
      </c>
      <c r="AS40" s="16">
        <f>IF(ISNA(VLOOKUP(A40,'Données projet'!$A$61:$I$81,6,0)),0%,VLOOKUP(A40,'Données projet'!$A$61:$I$81,6,0)*VLOOKUP('Données projet'!$B$10,Paramètres!$A$1:$I$88,7,0))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projet'!$B$10,Paramètres!$A$1:$I$88,3,0)*0.475*44/12</f>
        <v>0</v>
      </c>
      <c r="AV40" s="21">
        <f>EXP(-LN(2)/25)*AV39+(1-EXP(-LN(2)/25))/(LN(2)/25)*Calculateur!AQ40*Calculateur!AS40*VLOOKUP('Données projet'!$B$10,Paramètres!$A$1:$I$88,3,0)*0.475*44/12</f>
        <v>10.582538039807497</v>
      </c>
      <c r="AW40" s="21">
        <f>EXP(-LN(2)/2)*AW39+(1-EXP(-LN(2)/2))/(LN(2)/2)*AQ40*AT40*VLOOKUP('Données projet'!$B$10,Paramètres!$A$1:$I$88,3,0)*0.475*44/12</f>
        <v>2.097398909999169</v>
      </c>
      <c r="AX40" s="21">
        <f t="shared" si="6"/>
        <v>12.679936949806667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22</v>
      </c>
      <c r="BD40" s="12">
        <f>IF('Données projet'!$A$88&gt;35,BD39+BC40-BL39,IF(A40&lt;'Données projet'!$A$88,$BA$205^A40,IF(A40='Données projet'!$A$88,'Données projet'!$B$88,BD39+BC40-BL39)))</f>
        <v>362.99999999999989</v>
      </c>
      <c r="BE40" s="13">
        <f>BD40*VLOOKUP('Données projet'!$B$11,Paramètres!$A$1:$I$88,3,0)*VLOOKUP('Données projet'!$B$11,Paramètres!$A$1:$I$88,5,0)</f>
        <v>202.91699999999994</v>
      </c>
      <c r="BF40" s="13">
        <f t="shared" si="37"/>
        <v>50.384694798587844</v>
      </c>
      <c r="BG40" s="20">
        <f t="shared" si="7"/>
        <v>441.16711844087371</v>
      </c>
      <c r="BH40" s="59">
        <f t="shared" si="8"/>
        <v>734.50045177420702</v>
      </c>
      <c r="BI40" s="59">
        <f ca="1">AVERAGE(OFFSET($BH$3,0,0,'Données projet'!$E$11+1,1))-AVERAGE(OFFSET($H$3,0,0,'Données projet'!$E$11+1,1))</f>
        <v>355.96253323046608</v>
      </c>
      <c r="BJ40" s="59">
        <f t="shared" si="38"/>
        <v>366.8380442809696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projet'!$B$11,Paramètres!$A$1:$I$88,7,0))</f>
        <v>0</v>
      </c>
      <c r="BN40" s="16">
        <f>IF(ISNA(VLOOKUP(A40,'Données projet'!$A$87:$I$107,6,0)),0%,VLOOKUP(A40,'Données projet'!$A$87:$I$107,6,0)*VLOOKUP('Données projet'!$B$11,Paramètres!$A$1:$I$88,7,0))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projet'!$B$11,Paramètres!$A$1:$I$88,3,0)*0.475*44/12</f>
        <v>0</v>
      </c>
      <c r="BQ40" s="21">
        <f>EXP(-LN(2)/25)*BQ39+(1-EXP(-LN(2)/25))/(LN(2)/25)*Calculateur!BL40*Calculateur!BN40*VLOOKUP('Données projet'!$B$11,Paramètres!$A$1:$I$88,3,0)*0.475*44/12</f>
        <v>18.736528322182032</v>
      </c>
      <c r="BR40" s="21">
        <f>EXP(-LN(2)/2)*BR39+(1-EXP(-LN(2)/2))/(LN(2)/2)*BL40*BO40*VLOOKUP('Données projet'!$B$11,Paramètres!$A$1:$I$88,3,0)*0.475*44/12</f>
        <v>3.2429204686286561</v>
      </c>
      <c r="BS40" s="22">
        <f t="shared" si="9"/>
        <v>21.979448790810689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10.199999999999999</v>
      </c>
      <c r="BY40" s="12">
        <f>IF('Données projet'!$A$114&gt;35,BY39+BX40-CG39,IF(A40&lt;'Données projet'!$A$114,$BV$205^A40,IF(A40='Données projet'!$A$114,'Données projet'!$B$114,BY39+BX40-CG39)))</f>
        <v>189.39999999999989</v>
      </c>
      <c r="BZ40" s="13">
        <f>BY40*VLOOKUP('Données projet'!$B$12,Paramètres!$A$1:$I$88,3,0)*VLOOKUP('Données projet'!$B$12,Paramètres!$A$1:$I$88,5,0)</f>
        <v>124.09487999999992</v>
      </c>
      <c r="CA40" s="13">
        <f t="shared" si="39"/>
        <v>32.628189697029875</v>
      </c>
      <c r="CB40" s="20">
        <f t="shared" si="10"/>
        <v>272.95934638899354</v>
      </c>
      <c r="CC40" s="59">
        <f t="shared" si="11"/>
        <v>566.29267972232685</v>
      </c>
      <c r="CD40" s="59">
        <f ca="1">AVERAGE(OFFSET($CC$3,0,0,'Données projet'!$E$12+1,1))-AVERAGE(OFFSET($H$3,0,0,'Données projet'!$E$12+1,1))</f>
        <v>180.90147430936133</v>
      </c>
      <c r="CE40" s="59">
        <f t="shared" si="40"/>
        <v>226.87949199830018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projet'!$B$12,Paramètres!$A$1:$I$88,7,0))</f>
        <v>0</v>
      </c>
      <c r="CI40" s="16">
        <f>IF(ISNA(VLOOKUP(A40,'Données projet'!$A$113:$I$133,6,0)),0%,VLOOKUP(A40,'Données projet'!$A$113:$I$133,6,0)*VLOOKUP('Données projet'!$B$12,Paramètres!$A$1:$I$88,7,0))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projet'!$B$12,Paramètres!$A$1:$I$88,3,0)*0.475*44/12</f>
        <v>0</v>
      </c>
      <c r="CL40" s="21">
        <f>EXP(-LN(2)/25)*CL39+(1-EXP(-LN(2)/25))/(LN(2)/25)*Calculateur!CG40*Calculateur!CI40*VLOOKUP('Données projet'!$B$12,Paramètres!$A$1:$I$88,3,0)*0.475*44/12</f>
        <v>5.6585107266268606</v>
      </c>
      <c r="CM40" s="21">
        <f>EXP(-LN(2)/2)*CM39+(1-EXP(-LN(2)/2))/(LN(2)/2)*CG40*CJ40*VLOOKUP('Données projet'!$B$12,Paramètres!$A$1:$I$88,3,0)*0.475*44/12</f>
        <v>0.78333818252745735</v>
      </c>
      <c r="CN40" s="22">
        <f t="shared" si="12"/>
        <v>6.4418489091543183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5.6843418860808015E-14</v>
      </c>
      <c r="CU40" s="17">
        <f>CT40*VLOOKUP('Données projet'!$B$13,Paramètres!$A$1:$I$88,3,0)*VLOOKUP('Données projet'!$B$13,Paramètres!$A$1:$I$88,5,0)</f>
        <v>2.8908289095852525E-14</v>
      </c>
      <c r="CV40" s="13">
        <f t="shared" si="41"/>
        <v>5.0177780569126974E-13</v>
      </c>
      <c r="CW40" s="20">
        <f t="shared" si="13"/>
        <v>9.2427828175423786E-13</v>
      </c>
      <c r="CX40" s="59">
        <f t="shared" si="14"/>
        <v>293.33333333333422</v>
      </c>
      <c r="CY40" s="59">
        <f ca="1">AVERAGE(OFFSET($CX$3,0,0,'Données projet'!$E$13+1,1))-AVERAGE(OFFSET($H$3,0,0,'Données projet'!$E$13+1,1))</f>
        <v>133.08385802816008</v>
      </c>
      <c r="CZ40" s="59">
        <f t="shared" si="42"/>
        <v>316.59112511251385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projet'!$B$13,Paramètres!$A$1:$I$88,7,0))</f>
        <v>0</v>
      </c>
      <c r="DD40" s="16">
        <f>IF(ISNA(VLOOKUP(A40,'Données projet'!$A$139:$I$159,6,0)),0%,VLOOKUP(A40,'Données projet'!$A$139:$I$159,6,0)*VLOOKUP('Données projet'!$B$13,Paramètres!$A$1:$I$88,7,0))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projet'!$B$13,Paramètres!$A$1:$I$88,3,0)*0.475*44/12</f>
        <v>62.859005565365024</v>
      </c>
      <c r="DG40" s="21">
        <f>EXP(-LN(2)/25)*DG39+(1-EXP(-LN(2)/25))/(LN(2)/25)*Calculateur!DB40*Calculateur!DD40*VLOOKUP('Données projet'!$B$13,Paramètres!$A$1:$I$88,3,0)*0.475*44/12</f>
        <v>0</v>
      </c>
      <c r="DH40" s="21">
        <f>EXP(-LN(2)/2)*DH39+(1-EXP(-LN(2)/2))/(LN(2)/2)*DB40*DE40*VLOOKUP('Données projet'!$B$13,Paramètres!$A$1:$I$88,3,0)*0.475*44/12</f>
        <v>0.49978339967390356</v>
      </c>
      <c r="DI40" s="22">
        <f t="shared" si="15"/>
        <v>63.358788965038926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projet'!$B$14,Paramètres!$A$1:$I$88,3,0)*VLOOKUP('Données projet'!$B$14,Paramètres!$A$1:$I$88,5,0)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projet'!$B$14,Paramètres!$A$1:$I$88,7,0))</f>
        <v>0</v>
      </c>
      <c r="DY40" s="16">
        <f>IF(ISNA(VLOOKUP(A40,'Données projet'!$A$165:$I$185,6,0)),0%,VLOOKUP(A40,'Données projet'!$A$165:$I$185,6,0)*VLOOKUP('Données projet'!$B$14,Paramètres!$A$1:$I$88,7,0))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projet'!$B$14,Paramètres!$A$1:$I$88,3,0)*0.475*44/12</f>
        <v>#N/A</v>
      </c>
      <c r="EB40" s="21" t="e">
        <f>EXP(-LN(2)/25)*EB39+(1-EXP(-LN(2)/25))/(LN(2)/25)*Calculateur!DW40*Calculateur!DY40*VLOOKUP('Données projet'!$B$14,Paramètres!$A$1:$I$88,3,0)*0.475*44/12</f>
        <v>#N/A</v>
      </c>
      <c r="EC40" s="21" t="e">
        <f>EXP(-LN(2)/2)*EC39+(1-EXP(-LN(2)/2))/(LN(2)/2)*DW40*DZ40*VLOOKUP('Données projet'!$B$14,Paramètres!$A$1:$I$88,3,0)*0.475*44/12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projet'!$B$15,Paramètres!$A$1:$I$88,3,0)*VLOOKUP('Données projet'!$B$15,Paramètres!$A$1:$I$88,5,0)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projet'!$B$15,Paramètres!$A$1:$I$88,7,0))</f>
        <v>0</v>
      </c>
      <c r="ET40" s="16">
        <f>IF(ISNA(VLOOKUP(A40,'Données projet'!$A$191:$I$211,6,0)),0%,VLOOKUP(A40,'Données projet'!$A$191:$I$211,6,0)*VLOOKUP('Données projet'!$B$15,Paramètres!$A$1:$I$88,7,0))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projet'!$B$15,Paramètres!$A$1:$I$88,3,0)*0.475*44/12</f>
        <v>#N/A</v>
      </c>
      <c r="EW40" s="21" t="e">
        <f>EXP(-LN(2)/25)*EW39+(1-EXP(-LN(2)/25))/(LN(2)/25)*Calculateur!ER40*Calculateur!ET40*VLOOKUP('Données projet'!$B$15,Paramètres!$A$1:$I$88,3,0)*0.475*44/12</f>
        <v>#N/A</v>
      </c>
      <c r="EX40" s="21" t="e">
        <f>EXP(-LN(2)/2)*EX39+(1-EXP(-LN(2)/2))/(LN(2)/2)*ER40*EU40*VLOOKUP('Données projet'!$B$15,Paramètres!$A$1:$I$88,3,0)*0.475*44/12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projet'!$B$16,Paramètres!$A$1:$I$88,3,0)*VLOOKUP('Données projet'!$B$16,Paramètres!$A$1:$I$88,5,0)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projet'!$B$16,Paramètres!$A$1:$I$88,7,0))</f>
        <v>0</v>
      </c>
      <c r="FO40" s="16">
        <f>IF(ISNA(VLOOKUP(A40,'Données projet'!$A$217:$I$237,6,0)),0%,VLOOKUP(A40,'Données projet'!$A$217:$I$237,6,0)*VLOOKUP('Données projet'!$B$16,Paramètres!$A$1:$I$88,7,0))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projet'!$B$16,Paramètres!$A$1:$I$88,3,0)*0.475*44/12</f>
        <v>#N/A</v>
      </c>
      <c r="FR40" s="21" t="e">
        <f>EXP(-LN(2)/25)*FR39+(1-EXP(-LN(2)/25))/(LN(2)/25)*Calculateur!FM40*Calculateur!FO40*VLOOKUP('Données projet'!$B$16,Paramètres!$A$1:$I$88,3,0)*0.475*44/12</f>
        <v>#N/A</v>
      </c>
      <c r="FS40" s="21" t="e">
        <f>EXP(-LN(2)/2)*FS39+(1-EXP(-LN(2)/2))/(LN(2)/2)*FM40*FP40*VLOOKUP('Données projet'!$B$16,Paramètres!$A$1:$I$88,3,0)*0.475*44/12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projet'!$B$17,Paramètres!$A$1:$I$88,3,0)*VLOOKUP('Données projet'!$B$17,Paramètres!$A$1:$I$88,5,0)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projet'!$B$17,Paramètres!$A$1:$I$88,7,0))</f>
        <v>0</v>
      </c>
      <c r="GJ40" s="16">
        <f>IF(ISNA(VLOOKUP(A40,'Données projet'!$A$243:$I$263,6,0)),0%,VLOOKUP(A40,'Données projet'!$A$243:$I$263,6,0)*VLOOKUP('Données projet'!$B$17,Paramètres!$A$1:$I$88,7,0))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projet'!$B$17,Paramètres!$A$1:$I$88,3,0)*0.475*44/12</f>
        <v>#N/A</v>
      </c>
      <c r="GM40" s="21" t="e">
        <f>EXP(-LN(2)/25)*GM39+(1-EXP(-LN(2)/25))/(LN(2)/25)*Calculateur!GH40*Calculateur!GJ40*VLOOKUP('Données projet'!$B$17,Paramètres!$A$1:$I$88,3,0)*0.475*44/12</f>
        <v>#N/A</v>
      </c>
      <c r="GN40" s="21" t="e">
        <f>EXP(-LN(2)/2)*GN39+(1-EXP(-LN(2)/2))/(LN(2)/2)*GH40*GK40*VLOOKUP('Données projet'!$B$17,Paramètres!$A$1:$I$88,3,0)*0.475*44/12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projet'!$B$18,Paramètres!$A$1:$I$88,3,0)*VLOOKUP('Données projet'!$B$18,Paramètres!$A$1:$I$88,5,0)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projet'!$B$18,Paramètres!$A$1:$I$88,7,0))</f>
        <v>0</v>
      </c>
      <c r="HE40" s="16">
        <f>IF(ISNA(VLOOKUP(A40,'Données projet'!$A$269:$I$289,6,0)),0%,VLOOKUP(A40,'Données projet'!$A$269:$I$289,6,0)*VLOOKUP('Données projet'!$B$18,Paramètres!$A$1:$I$88,7,0))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projet'!$B$18,Paramètres!$A$1:$I$88,3,0)*0.475*44/12</f>
        <v>#N/A</v>
      </c>
      <c r="HH40" s="21" t="e">
        <f>EXP(-LN(2)/25)*HH39+(1-EXP(-LN(2)/25))/(LN(2)/25)*Calculateur!HC40*Calculateur!HE40*VLOOKUP('Données projet'!$B$18,Paramètres!$A$1:$I$88,3,0)*0.475*44/12</f>
        <v>#N/A</v>
      </c>
      <c r="HI40" s="21" t="e">
        <f>EXP(-LN(2)/2)*HI39+(1-EXP(-LN(2)/2))/(LN(2)/2)*HC40*HF40*VLOOKUP('Données projet'!$B$18,Paramètres!$A$1:$I$88,3,0)*0.475*44/12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12.833333333333334</v>
      </c>
      <c r="N41" s="13">
        <f>IF('Données projet'!$A$36&gt;35,N40+M41-V40,IF(A41&lt;'Données projet'!$A$36,$K$205^A41,IF(A41='Données projet'!$A$36,'Données projet'!$B$36,N40+M41-V40)))</f>
        <v>249.3333333333334</v>
      </c>
      <c r="O41" s="13">
        <f>N41*VLOOKUP('Données projet'!$B$9,Paramètres!$A$1:$I$88,3,0)*VLOOKUP('Données projet'!$B$9,Paramètres!$A$1:$I$88,5,0)</f>
        <v>149.1013333333334</v>
      </c>
      <c r="P41" s="13">
        <f t="shared" si="33"/>
        <v>38.37428902704788</v>
      </c>
      <c r="Q41" s="20">
        <f t="shared" si="53"/>
        <v>326.52004227766406</v>
      </c>
      <c r="R41" s="59">
        <f t="shared" si="0"/>
        <v>619.85337561099732</v>
      </c>
      <c r="S41" s="59">
        <f ca="1">AVERAGE(OFFSET($R$3,0,0,'Données projet'!$E$9+1,1))-AVERAGE(OFFSET($H$3,0,0,'Données projet'!$E$9+1,1))</f>
        <v>195.73441209602686</v>
      </c>
      <c r="T41" s="59">
        <f t="shared" si="34"/>
        <v>219.19129224309006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projet'!$B$9,Paramètres!$A$1:$I$88,7,0))</f>
        <v>0</v>
      </c>
      <c r="X41" s="16">
        <f>IF(ISNA(VLOOKUP(A41,'Données projet'!$A$35:$I$55,6,0)),0%,VLOOKUP(A41,'Données projet'!$A$35:$I$55,6,0)*VLOOKUP('Données projet'!$B$9,Paramètres!$A$1:$I$88,7,0))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projet'!$B$9,Paramètres!$A$1:$I$88,3,0)*0.475*44/12</f>
        <v>13.017556465682947</v>
      </c>
      <c r="AA41" s="21">
        <f>EXP(-LN(2)/25)*AA40+(1-EXP(-LN(2)/25))/(LN(2)/25)*Calculateur!V41*Calculateur!X41*VLOOKUP('Données projet'!$B$9,Paramètres!$A$1:$I$88,3,0)*0.475*44/12</f>
        <v>11.341266088935825</v>
      </c>
      <c r="AB41" s="21">
        <f>EXP(-LN(2)/2)*AB40+(1-EXP(-LN(2)/2))/(LN(2)/2)*V41*Y41*VLOOKUP('Données projet'!$B$9,Paramètres!$A$1:$I$88,3,0)*0.475*44/12</f>
        <v>2.4795223898467778E-3</v>
      </c>
      <c r="AC41" s="22">
        <f t="shared" si="3"/>
        <v>24.36130207700862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13.7</v>
      </c>
      <c r="AI41" s="13">
        <f>IF('Données projet'!$A$62&gt;35,AI40+AH41-AQ40,IF(A41&lt;'Données projet'!$A$62,$AF$205^A41,IF(A41='Données projet'!$A$62,'Données projet'!$B$62,AI40+AH41-AQ40)))</f>
        <v>257.59999999999991</v>
      </c>
      <c r="AJ41" s="13">
        <f>AI41*VLOOKUP('Données projet'!$B$10,Paramètres!$A$1:$I$88,3,0)*VLOOKUP('Données projet'!$B$10,Paramètres!$A$1:$I$88,5,0)</f>
        <v>154.04479999999995</v>
      </c>
      <c r="AK41" s="13">
        <f t="shared" si="35"/>
        <v>39.496352638742984</v>
      </c>
      <c r="AL41" s="20">
        <f t="shared" si="4"/>
        <v>337.08417417914399</v>
      </c>
      <c r="AM41" s="59">
        <f t="shared" si="5"/>
        <v>630.4175075124773</v>
      </c>
      <c r="AN41" s="59">
        <f ca="1">AVERAGE(OFFSET($AM$3,0,0,'Données projet'!$E$10+1,1))-AVERAGE(OFFSET($H$3,0,0,'Données projet'!$E$10+1,1))</f>
        <v>246.59447135626942</v>
      </c>
      <c r="AO41" s="59">
        <f t="shared" si="36"/>
        <v>262.00382544285367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projet'!$B$10,Paramètres!$A$1:$I$88,7,0))</f>
        <v>0</v>
      </c>
      <c r="AS41" s="16">
        <f>IF(ISNA(VLOOKUP(A41,'Données projet'!$A$61:$I$81,6,0)),0%,VLOOKUP(A41,'Données projet'!$A$61:$I$81,6,0)*VLOOKUP('Données projet'!$B$10,Paramètres!$A$1:$I$88,7,0))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projet'!$B$10,Paramètres!$A$1:$I$88,3,0)*0.475*44/12</f>
        <v>0</v>
      </c>
      <c r="AV41" s="21">
        <f>EXP(-LN(2)/25)*AV40+(1-EXP(-LN(2)/25))/(LN(2)/25)*Calculateur!AQ41*Calculateur!AS41*VLOOKUP('Données projet'!$B$10,Paramètres!$A$1:$I$88,3,0)*0.475*44/12</f>
        <v>10.293157980597472</v>
      </c>
      <c r="AW41" s="21">
        <f>EXP(-LN(2)/2)*AW40+(1-EXP(-LN(2)/2))/(LN(2)/2)*AQ41*AT41*VLOOKUP('Données projet'!$B$10,Paramètres!$A$1:$I$88,3,0)*0.475*44/12</f>
        <v>1.4830849921136857</v>
      </c>
      <c r="AX41" s="21">
        <f t="shared" si="6"/>
        <v>11.776242972711158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22</v>
      </c>
      <c r="BD41" s="12">
        <f>IF('Données projet'!$A$88&gt;35,BD40+BC41-BL40,IF(A41&lt;'Données projet'!$A$88,$BA$205^A41,IF(A41='Données projet'!$A$88,'Données projet'!$B$88,BD40+BC41-BL40)))</f>
        <v>384.99999999999989</v>
      </c>
      <c r="BE41" s="13">
        <f>BD41*VLOOKUP('Données projet'!$B$11,Paramètres!$A$1:$I$88,3,0)*VLOOKUP('Données projet'!$B$11,Paramètres!$A$1:$I$88,5,0)</f>
        <v>215.21499999999995</v>
      </c>
      <c r="BF41" s="13">
        <f t="shared" si="37"/>
        <v>53.073562353518611</v>
      </c>
      <c r="BG41" s="20">
        <f t="shared" si="7"/>
        <v>467.26924609904478</v>
      </c>
      <c r="BH41" s="59">
        <f t="shared" si="8"/>
        <v>760.60257943237809</v>
      </c>
      <c r="BI41" s="59">
        <f ca="1">AVERAGE(OFFSET($BH$3,0,0,'Données projet'!$E$11+1,1))-AVERAGE(OFFSET($H$3,0,0,'Données projet'!$E$11+1,1))</f>
        <v>355.96253323046608</v>
      </c>
      <c r="BJ41" s="59">
        <f t="shared" si="38"/>
        <v>366.8380442809696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projet'!$B$11,Paramètres!$A$1:$I$88,7,0))</f>
        <v>0</v>
      </c>
      <c r="BN41" s="16">
        <f>IF(ISNA(VLOOKUP(A41,'Données projet'!$A$87:$I$107,6,0)),0%,VLOOKUP(A41,'Données projet'!$A$87:$I$107,6,0)*VLOOKUP('Données projet'!$B$11,Paramètres!$A$1:$I$88,7,0))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projet'!$B$11,Paramètres!$A$1:$I$88,3,0)*0.475*44/12</f>
        <v>0</v>
      </c>
      <c r="BQ41" s="21">
        <f>EXP(-LN(2)/25)*BQ40+(1-EXP(-LN(2)/25))/(LN(2)/25)*Calculateur!BL41*Calculateur!BN41*VLOOKUP('Données projet'!$B$11,Paramètres!$A$1:$I$88,3,0)*0.475*44/12</f>
        <v>18.224176969900764</v>
      </c>
      <c r="BR41" s="21">
        <f>EXP(-LN(2)/2)*BR40+(1-EXP(-LN(2)/2))/(LN(2)/2)*BL41*BO41*VLOOKUP('Données projet'!$B$11,Paramètres!$A$1:$I$88,3,0)*0.475*44/12</f>
        <v>2.2930910542159793</v>
      </c>
      <c r="BS41" s="22">
        <f t="shared" si="9"/>
        <v>20.517268024116742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10.199999999999999</v>
      </c>
      <c r="BY41" s="12">
        <f>IF('Données projet'!$A$114&gt;35,BY40+BX41-CG40,IF(A41&lt;'Données projet'!$A$114,$BV$205^A41,IF(A41='Données projet'!$A$114,'Données projet'!$B$114,BY40+BX41-CG40)))</f>
        <v>199.59999999999988</v>
      </c>
      <c r="BZ41" s="13">
        <f>BY41*VLOOKUP('Données projet'!$B$12,Paramètres!$A$1:$I$88,3,0)*VLOOKUP('Données projet'!$B$12,Paramètres!$A$1:$I$88,5,0)</f>
        <v>130.77791999999994</v>
      </c>
      <c r="CA41" s="13">
        <f t="shared" si="39"/>
        <v>34.176051340149506</v>
      </c>
      <c r="CB41" s="20">
        <f t="shared" si="10"/>
        <v>287.2948334174269</v>
      </c>
      <c r="CC41" s="59">
        <f t="shared" si="11"/>
        <v>580.62816675076022</v>
      </c>
      <c r="CD41" s="59">
        <f ca="1">AVERAGE(OFFSET($CC$3,0,0,'Données projet'!$E$12+1,1))-AVERAGE(OFFSET($H$3,0,0,'Données projet'!$E$12+1,1))</f>
        <v>180.90147430936133</v>
      </c>
      <c r="CE41" s="59">
        <f t="shared" si="40"/>
        <v>226.87949199830018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projet'!$B$12,Paramètres!$A$1:$I$88,7,0))</f>
        <v>0</v>
      </c>
      <c r="CI41" s="16">
        <f>IF(ISNA(VLOOKUP(A41,'Données projet'!$A$113:$I$133,6,0)),0%,VLOOKUP(A41,'Données projet'!$A$113:$I$133,6,0)*VLOOKUP('Données projet'!$B$12,Paramètres!$A$1:$I$88,7,0))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projet'!$B$12,Paramètres!$A$1:$I$88,3,0)*0.475*44/12</f>
        <v>0</v>
      </c>
      <c r="CL41" s="21">
        <f>EXP(-LN(2)/25)*CL40+(1-EXP(-LN(2)/25))/(LN(2)/25)*Calculateur!CG41*Calculateur!CI41*VLOOKUP('Données projet'!$B$12,Paramètres!$A$1:$I$88,3,0)*0.475*44/12</f>
        <v>5.5037784532391028</v>
      </c>
      <c r="CM41" s="21">
        <f>EXP(-LN(2)/2)*CM40+(1-EXP(-LN(2)/2))/(LN(2)/2)*CG41*CJ41*VLOOKUP('Données projet'!$B$12,Paramètres!$A$1:$I$88,3,0)*0.475*44/12</f>
        <v>0.55390374082751059</v>
      </c>
      <c r="CN41" s="22">
        <f t="shared" si="12"/>
        <v>6.0576821940666132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5.6843418860808015E-14</v>
      </c>
      <c r="CU41" s="17">
        <f>CT41*VLOOKUP('Données projet'!$B$13,Paramètres!$A$1:$I$88,3,0)*VLOOKUP('Données projet'!$B$13,Paramètres!$A$1:$I$88,5,0)</f>
        <v>2.8908289095852525E-14</v>
      </c>
      <c r="CV41" s="13">
        <f t="shared" si="41"/>
        <v>5.0177780569126974E-13</v>
      </c>
      <c r="CW41" s="20">
        <f t="shared" si="13"/>
        <v>9.2427828175423786E-13</v>
      </c>
      <c r="CX41" s="59">
        <f t="shared" si="14"/>
        <v>293.33333333333422</v>
      </c>
      <c r="CY41" s="59">
        <f ca="1">AVERAGE(OFFSET($CX$3,0,0,'Données projet'!$E$13+1,1))-AVERAGE(OFFSET($H$3,0,0,'Données projet'!$E$13+1,1))</f>
        <v>133.08385802816008</v>
      </c>
      <c r="CZ41" s="59">
        <f t="shared" si="42"/>
        <v>316.59112511251385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projet'!$B$13,Paramètres!$A$1:$I$88,7,0))</f>
        <v>0</v>
      </c>
      <c r="DD41" s="16">
        <f>IF(ISNA(VLOOKUP(A41,'Données projet'!$A$139:$I$159,6,0)),0%,VLOOKUP(A41,'Données projet'!$A$139:$I$159,6,0)*VLOOKUP('Données projet'!$B$13,Paramètres!$A$1:$I$88,7,0))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projet'!$B$13,Paramètres!$A$1:$I$88,3,0)*0.475*44/12</f>
        <v>61.626378806435831</v>
      </c>
      <c r="DG41" s="21">
        <f>EXP(-LN(2)/25)*DG40+(1-EXP(-LN(2)/25))/(LN(2)/25)*Calculateur!DB41*Calculateur!DD41*VLOOKUP('Données projet'!$B$13,Paramètres!$A$1:$I$88,3,0)*0.475*44/12</f>
        <v>0</v>
      </c>
      <c r="DH41" s="21">
        <f>EXP(-LN(2)/2)*DH40+(1-EXP(-LN(2)/2))/(LN(2)/2)*DB41*DE41*VLOOKUP('Données projet'!$B$13,Paramètres!$A$1:$I$88,3,0)*0.475*44/12</f>
        <v>0.35340023103388379</v>
      </c>
      <c r="DI41" s="22">
        <f t="shared" si="15"/>
        <v>61.979779037469712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projet'!$B$14,Paramètres!$A$1:$I$88,3,0)*VLOOKUP('Données projet'!$B$14,Paramètres!$A$1:$I$88,5,0)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projet'!$B$14,Paramètres!$A$1:$I$88,7,0))</f>
        <v>0</v>
      </c>
      <c r="DY41" s="16">
        <f>IF(ISNA(VLOOKUP(A41,'Données projet'!$A$165:$I$185,6,0)),0%,VLOOKUP(A41,'Données projet'!$A$165:$I$185,6,0)*VLOOKUP('Données projet'!$B$14,Paramètres!$A$1:$I$88,7,0))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projet'!$B$14,Paramètres!$A$1:$I$88,3,0)*0.475*44/12</f>
        <v>#N/A</v>
      </c>
      <c r="EB41" s="21" t="e">
        <f>EXP(-LN(2)/25)*EB40+(1-EXP(-LN(2)/25))/(LN(2)/25)*Calculateur!DW41*Calculateur!DY41*VLOOKUP('Données projet'!$B$14,Paramètres!$A$1:$I$88,3,0)*0.475*44/12</f>
        <v>#N/A</v>
      </c>
      <c r="EC41" s="21" t="e">
        <f>EXP(-LN(2)/2)*EC40+(1-EXP(-LN(2)/2))/(LN(2)/2)*DW41*DZ41*VLOOKUP('Données projet'!$B$14,Paramètres!$A$1:$I$88,3,0)*0.475*44/12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projet'!$B$15,Paramètres!$A$1:$I$88,3,0)*VLOOKUP('Données projet'!$B$15,Paramètres!$A$1:$I$88,5,0)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projet'!$B$15,Paramètres!$A$1:$I$88,7,0))</f>
        <v>0</v>
      </c>
      <c r="ET41" s="16">
        <f>IF(ISNA(VLOOKUP(A41,'Données projet'!$A$191:$I$211,6,0)),0%,VLOOKUP(A41,'Données projet'!$A$191:$I$211,6,0)*VLOOKUP('Données projet'!$B$15,Paramètres!$A$1:$I$88,7,0))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projet'!$B$15,Paramètres!$A$1:$I$88,3,0)*0.475*44/12</f>
        <v>#N/A</v>
      </c>
      <c r="EW41" s="21" t="e">
        <f>EXP(-LN(2)/25)*EW40+(1-EXP(-LN(2)/25))/(LN(2)/25)*Calculateur!ER41*Calculateur!ET41*VLOOKUP('Données projet'!$B$15,Paramètres!$A$1:$I$88,3,0)*0.475*44/12</f>
        <v>#N/A</v>
      </c>
      <c r="EX41" s="21" t="e">
        <f>EXP(-LN(2)/2)*EX40+(1-EXP(-LN(2)/2))/(LN(2)/2)*ER41*EU41*VLOOKUP('Données projet'!$B$15,Paramètres!$A$1:$I$88,3,0)*0.475*44/12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projet'!$B$16,Paramètres!$A$1:$I$88,3,0)*VLOOKUP('Données projet'!$B$16,Paramètres!$A$1:$I$88,5,0)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projet'!$B$16,Paramètres!$A$1:$I$88,7,0))</f>
        <v>0</v>
      </c>
      <c r="FO41" s="16">
        <f>IF(ISNA(VLOOKUP(A41,'Données projet'!$A$217:$I$237,6,0)),0%,VLOOKUP(A41,'Données projet'!$A$217:$I$237,6,0)*VLOOKUP('Données projet'!$B$16,Paramètres!$A$1:$I$88,7,0))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projet'!$B$16,Paramètres!$A$1:$I$88,3,0)*0.475*44/12</f>
        <v>#N/A</v>
      </c>
      <c r="FR41" s="21" t="e">
        <f>EXP(-LN(2)/25)*FR40+(1-EXP(-LN(2)/25))/(LN(2)/25)*Calculateur!FM41*Calculateur!FO41*VLOOKUP('Données projet'!$B$16,Paramètres!$A$1:$I$88,3,0)*0.475*44/12</f>
        <v>#N/A</v>
      </c>
      <c r="FS41" s="21" t="e">
        <f>EXP(-LN(2)/2)*FS40+(1-EXP(-LN(2)/2))/(LN(2)/2)*FM41*FP41*VLOOKUP('Données projet'!$B$16,Paramètres!$A$1:$I$88,3,0)*0.475*44/12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projet'!$B$17,Paramètres!$A$1:$I$88,3,0)*VLOOKUP('Données projet'!$B$17,Paramètres!$A$1:$I$88,5,0)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projet'!$B$17,Paramètres!$A$1:$I$88,7,0))</f>
        <v>0</v>
      </c>
      <c r="GJ41" s="16">
        <f>IF(ISNA(VLOOKUP(A41,'Données projet'!$A$243:$I$263,6,0)),0%,VLOOKUP(A41,'Données projet'!$A$243:$I$263,6,0)*VLOOKUP('Données projet'!$B$17,Paramètres!$A$1:$I$88,7,0))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projet'!$B$17,Paramètres!$A$1:$I$88,3,0)*0.475*44/12</f>
        <v>#N/A</v>
      </c>
      <c r="GM41" s="21" t="e">
        <f>EXP(-LN(2)/25)*GM40+(1-EXP(-LN(2)/25))/(LN(2)/25)*Calculateur!GH41*Calculateur!GJ41*VLOOKUP('Données projet'!$B$17,Paramètres!$A$1:$I$88,3,0)*0.475*44/12</f>
        <v>#N/A</v>
      </c>
      <c r="GN41" s="21" t="e">
        <f>EXP(-LN(2)/2)*GN40+(1-EXP(-LN(2)/2))/(LN(2)/2)*GH41*GK41*VLOOKUP('Données projet'!$B$17,Paramètres!$A$1:$I$88,3,0)*0.475*44/12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projet'!$B$18,Paramètres!$A$1:$I$88,3,0)*VLOOKUP('Données projet'!$B$18,Paramètres!$A$1:$I$88,5,0)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projet'!$B$18,Paramètres!$A$1:$I$88,7,0))</f>
        <v>0</v>
      </c>
      <c r="HE41" s="16">
        <f>IF(ISNA(VLOOKUP(A41,'Données projet'!$A$269:$I$289,6,0)),0%,VLOOKUP(A41,'Données projet'!$A$269:$I$289,6,0)*VLOOKUP('Données projet'!$B$18,Paramètres!$A$1:$I$88,7,0))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projet'!$B$18,Paramètres!$A$1:$I$88,3,0)*0.475*44/12</f>
        <v>#N/A</v>
      </c>
      <c r="HH41" s="21" t="e">
        <f>EXP(-LN(2)/25)*HH40+(1-EXP(-LN(2)/25))/(LN(2)/25)*Calculateur!HC41*Calculateur!HE41*VLOOKUP('Données projet'!$B$18,Paramètres!$A$1:$I$88,3,0)*0.475*44/12</f>
        <v>#N/A</v>
      </c>
      <c r="HI41" s="21" t="e">
        <f>EXP(-LN(2)/2)*HI40+(1-EXP(-LN(2)/2))/(LN(2)/2)*HC41*HF41*VLOOKUP('Données projet'!$B$18,Paramètres!$A$1:$I$88,3,0)*0.475*44/12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12.833333333333334</v>
      </c>
      <c r="N42" s="13">
        <f>IF('Données projet'!$A$36&gt;35,N41+M42-V41,IF(A42&lt;'Données projet'!$A$36,$K$205^A42,IF(A42='Données projet'!$A$36,'Données projet'!$B$36,N41+M42-V41)))</f>
        <v>262.16666666666674</v>
      </c>
      <c r="O42" s="13">
        <f>N42*VLOOKUP('Données projet'!$B$9,Paramètres!$A$1:$I$88,3,0)*VLOOKUP('Données projet'!$B$9,Paramètres!$A$1:$I$88,5,0)</f>
        <v>156.77566666666672</v>
      </c>
      <c r="P42" s="13">
        <f t="shared" si="33"/>
        <v>40.114398592763365</v>
      </c>
      <c r="Q42" s="20">
        <f t="shared" si="53"/>
        <v>342.9168636601741</v>
      </c>
      <c r="R42" s="59">
        <f t="shared" si="0"/>
        <v>636.25019699350742</v>
      </c>
      <c r="S42" s="59">
        <f ca="1">AVERAGE(OFFSET($R$3,0,0,'Données projet'!$E$9+1,1))-AVERAGE(OFFSET($H$3,0,0,'Données projet'!$E$9+1,1))</f>
        <v>195.73441209602686</v>
      </c>
      <c r="T42" s="59">
        <f t="shared" si="34"/>
        <v>219.19129224309006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projet'!$B$9,Paramètres!$A$1:$I$88,7,0))</f>
        <v>0</v>
      </c>
      <c r="X42" s="16">
        <f>IF(ISNA(VLOOKUP(A42,'Données projet'!$A$35:$I$55,6,0)),0%,VLOOKUP(A42,'Données projet'!$A$35:$I$55,6,0)*VLOOKUP('Données projet'!$B$9,Paramètres!$A$1:$I$88,7,0))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projet'!$B$9,Paramètres!$A$1:$I$88,3,0)*0.475*44/12</f>
        <v>12.762290123316346</v>
      </c>
      <c r="AA42" s="21">
        <f>EXP(-LN(2)/25)*AA41+(1-EXP(-LN(2)/25))/(LN(2)/25)*Calculateur!V42*Calculateur!X42*VLOOKUP('Données projet'!$B$9,Paramètres!$A$1:$I$88,3,0)*0.475*44/12</f>
        <v>11.031138571322613</v>
      </c>
      <c r="AB42" s="21">
        <f>EXP(-LN(2)/2)*AB41+(1-EXP(-LN(2)/2))/(LN(2)/2)*V42*Y42*VLOOKUP('Données projet'!$B$9,Paramètres!$A$1:$I$88,3,0)*0.475*44/12</f>
        <v>1.7532870959645309E-3</v>
      </c>
      <c r="AC42" s="22">
        <f t="shared" si="3"/>
        <v>23.795181981734924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13.7</v>
      </c>
      <c r="AI42" s="13">
        <f>IF('Données projet'!$A$62&gt;35,AI41+AH42-AQ41,IF(A42&lt;'Données projet'!$A$62,$AF$205^A42,IF(A42='Données projet'!$A$62,'Données projet'!$B$62,AI41+AH42-AQ41)))</f>
        <v>271.2999999999999</v>
      </c>
      <c r="AJ42" s="13">
        <f>AI42*VLOOKUP('Données projet'!$B$10,Paramètres!$A$1:$I$88,3,0)*VLOOKUP('Données projet'!$B$10,Paramètres!$A$1:$I$88,5,0)</f>
        <v>162.23739999999995</v>
      </c>
      <c r="AK42" s="13">
        <f t="shared" si="35"/>
        <v>41.346758630600348</v>
      </c>
      <c r="AL42" s="20">
        <f t="shared" si="4"/>
        <v>354.57574294829556</v>
      </c>
      <c r="AM42" s="59">
        <f t="shared" si="5"/>
        <v>647.90907628162881</v>
      </c>
      <c r="AN42" s="59">
        <f ca="1">AVERAGE(OFFSET($AM$3,0,0,'Données projet'!$E$10+1,1))-AVERAGE(OFFSET($H$3,0,0,'Données projet'!$E$10+1,1))</f>
        <v>246.59447135626942</v>
      </c>
      <c r="AO42" s="59">
        <f t="shared" si="36"/>
        <v>262.00382544285367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projet'!$B$10,Paramètres!$A$1:$I$88,7,0))</f>
        <v>0</v>
      </c>
      <c r="AS42" s="16">
        <f>IF(ISNA(VLOOKUP(A42,'Données projet'!$A$61:$I$81,6,0)),0%,VLOOKUP(A42,'Données projet'!$A$61:$I$81,6,0)*VLOOKUP('Données projet'!$B$10,Paramètres!$A$1:$I$88,7,0))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projet'!$B$10,Paramètres!$A$1:$I$88,3,0)*0.475*44/12</f>
        <v>0</v>
      </c>
      <c r="AV42" s="21">
        <f>EXP(-LN(2)/25)*AV41+(1-EXP(-LN(2)/25))/(LN(2)/25)*Calculateur!AQ42*Calculateur!AS42*VLOOKUP('Données projet'!$B$10,Paramètres!$A$1:$I$88,3,0)*0.475*44/12</f>
        <v>10.011691034324382</v>
      </c>
      <c r="AW42" s="21">
        <f>EXP(-LN(2)/2)*AW41+(1-EXP(-LN(2)/2))/(LN(2)/2)*AQ42*AT42*VLOOKUP('Données projet'!$B$10,Paramètres!$A$1:$I$88,3,0)*0.475*44/12</f>
        <v>1.0486994549995845</v>
      </c>
      <c r="AX42" s="21">
        <f t="shared" si="6"/>
        <v>11.060390489323966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22</v>
      </c>
      <c r="BD42" s="12">
        <f>IF('Données projet'!$A$88&gt;35,BD41+BC42-BL41,IF(A42&lt;'Données projet'!$A$88,$BA$205^A42,IF(A42='Données projet'!$A$88,'Données projet'!$B$88,BD41+BC42-BL41)))</f>
        <v>406.99999999999989</v>
      </c>
      <c r="BE42" s="13">
        <f>BD42*VLOOKUP('Données projet'!$B$11,Paramètres!$A$1:$I$88,3,0)*VLOOKUP('Données projet'!$B$11,Paramètres!$A$1:$I$88,5,0)</f>
        <v>227.51299999999995</v>
      </c>
      <c r="BF42" s="13">
        <f t="shared" si="37"/>
        <v>55.744594200664011</v>
      </c>
      <c r="BG42" s="20">
        <f t="shared" si="7"/>
        <v>493.34030989948968</v>
      </c>
      <c r="BH42" s="59">
        <f t="shared" si="8"/>
        <v>786.673643232823</v>
      </c>
      <c r="BI42" s="59">
        <f ca="1">AVERAGE(OFFSET($BH$3,0,0,'Données projet'!$E$11+1,1))-AVERAGE(OFFSET($H$3,0,0,'Données projet'!$E$11+1,1))</f>
        <v>355.96253323046608</v>
      </c>
      <c r="BJ42" s="59">
        <f t="shared" si="38"/>
        <v>366.8380442809696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projet'!$B$11,Paramètres!$A$1:$I$88,7,0))</f>
        <v>0</v>
      </c>
      <c r="BN42" s="16">
        <f>IF(ISNA(VLOOKUP(A42,'Données projet'!$A$87:$I$107,6,0)),0%,VLOOKUP(A42,'Données projet'!$A$87:$I$107,6,0)*VLOOKUP('Données projet'!$B$11,Paramètres!$A$1:$I$88,7,0))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projet'!$B$11,Paramètres!$A$1:$I$88,3,0)*0.475*44/12</f>
        <v>0</v>
      </c>
      <c r="BQ42" s="21">
        <f>EXP(-LN(2)/25)*BQ41+(1-EXP(-LN(2)/25))/(LN(2)/25)*Calculateur!BL42*Calculateur!BN42*VLOOKUP('Données projet'!$B$11,Paramètres!$A$1:$I$88,3,0)*0.475*44/12</f>
        <v>17.725835892291013</v>
      </c>
      <c r="BR42" s="21">
        <f>EXP(-LN(2)/2)*BR41+(1-EXP(-LN(2)/2))/(LN(2)/2)*BL42*BO42*VLOOKUP('Données projet'!$B$11,Paramètres!$A$1:$I$88,3,0)*0.475*44/12</f>
        <v>1.6214602343143281</v>
      </c>
      <c r="BS42" s="22">
        <f t="shared" si="9"/>
        <v>19.34729612660534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10.199999999999999</v>
      </c>
      <c r="BY42" s="12">
        <f>IF('Données projet'!$A$114&gt;35,BY41+BX42-CG41,IF(A42&lt;'Données projet'!$A$114,$BV$205^A42,IF(A42='Données projet'!$A$114,'Données projet'!$B$114,BY41+BX42-CG41)))</f>
        <v>209.79999999999987</v>
      </c>
      <c r="BZ42" s="13">
        <f>BY42*VLOOKUP('Données projet'!$B$12,Paramètres!$A$1:$I$88,3,0)*VLOOKUP('Données projet'!$B$12,Paramètres!$A$1:$I$88,5,0)</f>
        <v>137.46095999999991</v>
      </c>
      <c r="CA42" s="13">
        <f t="shared" si="39"/>
        <v>35.714728952321252</v>
      </c>
      <c r="CB42" s="20">
        <f t="shared" si="10"/>
        <v>301.61432492529269</v>
      </c>
      <c r="CC42" s="59">
        <f t="shared" si="11"/>
        <v>594.94765825862601</v>
      </c>
      <c r="CD42" s="59">
        <f ca="1">AVERAGE(OFFSET($CC$3,0,0,'Données projet'!$E$12+1,1))-AVERAGE(OFFSET($H$3,0,0,'Données projet'!$E$12+1,1))</f>
        <v>180.90147430936133</v>
      </c>
      <c r="CE42" s="59">
        <f t="shared" si="40"/>
        <v>226.87949199830018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projet'!$B$12,Paramètres!$A$1:$I$88,7,0))</f>
        <v>0</v>
      </c>
      <c r="CI42" s="16">
        <f>IF(ISNA(VLOOKUP(A42,'Données projet'!$A$113:$I$133,6,0)),0%,VLOOKUP(A42,'Données projet'!$A$113:$I$133,6,0)*VLOOKUP('Données projet'!$B$12,Paramètres!$A$1:$I$88,7,0))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projet'!$B$12,Paramètres!$A$1:$I$88,3,0)*0.475*44/12</f>
        <v>0</v>
      </c>
      <c r="CL42" s="21">
        <f>EXP(-LN(2)/25)*CL41+(1-EXP(-LN(2)/25))/(LN(2)/25)*Calculateur!CG42*Calculateur!CI42*VLOOKUP('Données projet'!$B$12,Paramètres!$A$1:$I$88,3,0)*0.475*44/12</f>
        <v>5.3532773420041497</v>
      </c>
      <c r="CM42" s="21">
        <f>EXP(-LN(2)/2)*CM41+(1-EXP(-LN(2)/2))/(LN(2)/2)*CG42*CJ42*VLOOKUP('Données projet'!$B$12,Paramètres!$A$1:$I$88,3,0)*0.475*44/12</f>
        <v>0.39166909126372867</v>
      </c>
      <c r="CN42" s="22">
        <f t="shared" si="12"/>
        <v>5.7449464332678781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5.6843418860808015E-14</v>
      </c>
      <c r="CU42" s="17">
        <f>CT42*VLOOKUP('Données projet'!$B$13,Paramètres!$A$1:$I$88,3,0)*VLOOKUP('Données projet'!$B$13,Paramètres!$A$1:$I$88,5,0)</f>
        <v>2.8908289095852525E-14</v>
      </c>
      <c r="CV42" s="13">
        <f t="shared" si="41"/>
        <v>5.0177780569126974E-13</v>
      </c>
      <c r="CW42" s="20">
        <f t="shared" si="13"/>
        <v>9.2427828175423786E-13</v>
      </c>
      <c r="CX42" s="59">
        <f t="shared" si="14"/>
        <v>293.33333333333422</v>
      </c>
      <c r="CY42" s="59">
        <f ca="1">AVERAGE(OFFSET($CX$3,0,0,'Données projet'!$E$13+1,1))-AVERAGE(OFFSET($H$3,0,0,'Données projet'!$E$13+1,1))</f>
        <v>133.08385802816008</v>
      </c>
      <c r="CZ42" s="59">
        <f t="shared" si="42"/>
        <v>316.59112511251385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projet'!$B$13,Paramètres!$A$1:$I$88,7,0))</f>
        <v>0</v>
      </c>
      <c r="DD42" s="16">
        <f>IF(ISNA(VLOOKUP(A42,'Données projet'!$A$139:$I$159,6,0)),0%,VLOOKUP(A42,'Données projet'!$A$139:$I$159,6,0)*VLOOKUP('Données projet'!$B$13,Paramètres!$A$1:$I$88,7,0))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projet'!$B$13,Paramètres!$A$1:$I$88,3,0)*0.475*44/12</f>
        <v>60.417923106421149</v>
      </c>
      <c r="DG42" s="21">
        <f>EXP(-LN(2)/25)*DG41+(1-EXP(-LN(2)/25))/(LN(2)/25)*Calculateur!DB42*Calculateur!DD42*VLOOKUP('Données projet'!$B$13,Paramètres!$A$1:$I$88,3,0)*0.475*44/12</f>
        <v>0</v>
      </c>
      <c r="DH42" s="21">
        <f>EXP(-LN(2)/2)*DH41+(1-EXP(-LN(2)/2))/(LN(2)/2)*DB42*DE42*VLOOKUP('Données projet'!$B$13,Paramètres!$A$1:$I$88,3,0)*0.475*44/12</f>
        <v>0.24989169983695184</v>
      </c>
      <c r="DI42" s="22">
        <f t="shared" si="15"/>
        <v>60.6678148062581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projet'!$B$14,Paramètres!$A$1:$I$88,3,0)*VLOOKUP('Données projet'!$B$14,Paramètres!$A$1:$I$88,5,0)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projet'!$B$14,Paramètres!$A$1:$I$88,7,0))</f>
        <v>0</v>
      </c>
      <c r="DY42" s="16">
        <f>IF(ISNA(VLOOKUP(A42,'Données projet'!$A$165:$I$185,6,0)),0%,VLOOKUP(A42,'Données projet'!$A$165:$I$185,6,0)*VLOOKUP('Données projet'!$B$14,Paramètres!$A$1:$I$88,7,0))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projet'!$B$14,Paramètres!$A$1:$I$88,3,0)*0.475*44/12</f>
        <v>#N/A</v>
      </c>
      <c r="EB42" s="21" t="e">
        <f>EXP(-LN(2)/25)*EB41+(1-EXP(-LN(2)/25))/(LN(2)/25)*Calculateur!DW42*Calculateur!DY42*VLOOKUP('Données projet'!$B$14,Paramètres!$A$1:$I$88,3,0)*0.475*44/12</f>
        <v>#N/A</v>
      </c>
      <c r="EC42" s="21" t="e">
        <f>EXP(-LN(2)/2)*EC41+(1-EXP(-LN(2)/2))/(LN(2)/2)*DW42*DZ42*VLOOKUP('Données projet'!$B$14,Paramètres!$A$1:$I$88,3,0)*0.475*44/12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projet'!$B$15,Paramètres!$A$1:$I$88,3,0)*VLOOKUP('Données projet'!$B$15,Paramètres!$A$1:$I$88,5,0)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projet'!$B$15,Paramètres!$A$1:$I$88,7,0))</f>
        <v>0</v>
      </c>
      <c r="ET42" s="16">
        <f>IF(ISNA(VLOOKUP(A42,'Données projet'!$A$191:$I$211,6,0)),0%,VLOOKUP(A42,'Données projet'!$A$191:$I$211,6,0)*VLOOKUP('Données projet'!$B$15,Paramètres!$A$1:$I$88,7,0))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projet'!$B$15,Paramètres!$A$1:$I$88,3,0)*0.475*44/12</f>
        <v>#N/A</v>
      </c>
      <c r="EW42" s="21" t="e">
        <f>EXP(-LN(2)/25)*EW41+(1-EXP(-LN(2)/25))/(LN(2)/25)*Calculateur!ER42*Calculateur!ET42*VLOOKUP('Données projet'!$B$15,Paramètres!$A$1:$I$88,3,0)*0.475*44/12</f>
        <v>#N/A</v>
      </c>
      <c r="EX42" s="21" t="e">
        <f>EXP(-LN(2)/2)*EX41+(1-EXP(-LN(2)/2))/(LN(2)/2)*ER42*EU42*VLOOKUP('Données projet'!$B$15,Paramètres!$A$1:$I$88,3,0)*0.475*44/12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projet'!$B$16,Paramètres!$A$1:$I$88,3,0)*VLOOKUP('Données projet'!$B$16,Paramètres!$A$1:$I$88,5,0)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projet'!$B$16,Paramètres!$A$1:$I$88,7,0))</f>
        <v>0</v>
      </c>
      <c r="FO42" s="16">
        <f>IF(ISNA(VLOOKUP(A42,'Données projet'!$A$217:$I$237,6,0)),0%,VLOOKUP(A42,'Données projet'!$A$217:$I$237,6,0)*VLOOKUP('Données projet'!$B$16,Paramètres!$A$1:$I$88,7,0))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projet'!$B$16,Paramètres!$A$1:$I$88,3,0)*0.475*44/12</f>
        <v>#N/A</v>
      </c>
      <c r="FR42" s="21" t="e">
        <f>EXP(-LN(2)/25)*FR41+(1-EXP(-LN(2)/25))/(LN(2)/25)*Calculateur!FM42*Calculateur!FO42*VLOOKUP('Données projet'!$B$16,Paramètres!$A$1:$I$88,3,0)*0.475*44/12</f>
        <v>#N/A</v>
      </c>
      <c r="FS42" s="21" t="e">
        <f>EXP(-LN(2)/2)*FS41+(1-EXP(-LN(2)/2))/(LN(2)/2)*FM42*FP42*VLOOKUP('Données projet'!$B$16,Paramètres!$A$1:$I$88,3,0)*0.475*44/12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projet'!$B$17,Paramètres!$A$1:$I$88,3,0)*VLOOKUP('Données projet'!$B$17,Paramètres!$A$1:$I$88,5,0)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projet'!$B$17,Paramètres!$A$1:$I$88,7,0))</f>
        <v>0</v>
      </c>
      <c r="GJ42" s="16">
        <f>IF(ISNA(VLOOKUP(A42,'Données projet'!$A$243:$I$263,6,0)),0%,VLOOKUP(A42,'Données projet'!$A$243:$I$263,6,0)*VLOOKUP('Données projet'!$B$17,Paramètres!$A$1:$I$88,7,0))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projet'!$B$17,Paramètres!$A$1:$I$88,3,0)*0.475*44/12</f>
        <v>#N/A</v>
      </c>
      <c r="GM42" s="21" t="e">
        <f>EXP(-LN(2)/25)*GM41+(1-EXP(-LN(2)/25))/(LN(2)/25)*Calculateur!GH42*Calculateur!GJ42*VLOOKUP('Données projet'!$B$17,Paramètres!$A$1:$I$88,3,0)*0.475*44/12</f>
        <v>#N/A</v>
      </c>
      <c r="GN42" s="21" t="e">
        <f>EXP(-LN(2)/2)*GN41+(1-EXP(-LN(2)/2))/(LN(2)/2)*GH42*GK42*VLOOKUP('Données projet'!$B$17,Paramètres!$A$1:$I$88,3,0)*0.475*44/12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projet'!$B$18,Paramètres!$A$1:$I$88,3,0)*VLOOKUP('Données projet'!$B$18,Paramètres!$A$1:$I$88,5,0)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projet'!$B$18,Paramètres!$A$1:$I$88,7,0))</f>
        <v>0</v>
      </c>
      <c r="HE42" s="16">
        <f>IF(ISNA(VLOOKUP(A42,'Données projet'!$A$269:$I$289,6,0)),0%,VLOOKUP(A42,'Données projet'!$A$269:$I$289,6,0)*VLOOKUP('Données projet'!$B$18,Paramètres!$A$1:$I$88,7,0))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projet'!$B$18,Paramètres!$A$1:$I$88,3,0)*0.475*44/12</f>
        <v>#N/A</v>
      </c>
      <c r="HH42" s="21" t="e">
        <f>EXP(-LN(2)/25)*HH41+(1-EXP(-LN(2)/25))/(LN(2)/25)*Calculateur!HC42*Calculateur!HE42*VLOOKUP('Données projet'!$B$18,Paramètres!$A$1:$I$88,3,0)*0.475*44/12</f>
        <v>#N/A</v>
      </c>
      <c r="HI42" s="21" t="e">
        <f>EXP(-LN(2)/2)*HI41+(1-EXP(-LN(2)/2))/(LN(2)/2)*HC42*HF42*VLOOKUP('Données projet'!$B$18,Paramètres!$A$1:$I$88,3,0)*0.475*44/12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275</v>
      </c>
      <c r="L43" s="12">
        <f>VLOOKUP(A43,'Données projet'!$A$35:$I$55,9,0)</f>
        <v>12.833333333333334</v>
      </c>
      <c r="M43" s="12">
        <f t="array" ref="M43">INDEX(L:L,MIN(IF(ISNUMBER(L43:L239),ROW(L43:L239),"")))</f>
        <v>12.833333333333334</v>
      </c>
      <c r="N43" s="13">
        <f>IF('Données projet'!$A$36&gt;35,N42+M43-V42,IF(A43&lt;'Données projet'!$A$36,$K$205^A43,IF(A43='Données projet'!$A$36,'Données projet'!$B$36,N42+M43-V42)))</f>
        <v>275.00000000000006</v>
      </c>
      <c r="O43" s="13">
        <f>N43*VLOOKUP('Données projet'!$B$9,Paramètres!$A$1:$I$88,3,0)*VLOOKUP('Données projet'!$B$9,Paramètres!$A$1:$I$88,5,0)</f>
        <v>164.45000000000005</v>
      </c>
      <c r="P43" s="13">
        <f t="shared" si="33"/>
        <v>41.844617207687371</v>
      </c>
      <c r="Q43" s="20">
        <f t="shared" si="53"/>
        <v>359.29645830338887</v>
      </c>
      <c r="R43" s="59">
        <f t="shared" si="0"/>
        <v>652.62979163672219</v>
      </c>
      <c r="S43" s="59">
        <f ca="1">AVERAGE(OFFSET($R$3,0,0,'Données projet'!$E$9+1,1))-AVERAGE(OFFSET($H$3,0,0,'Données projet'!$E$9+1,1))</f>
        <v>195.73441209602686</v>
      </c>
      <c r="T43" s="59">
        <f t="shared" si="34"/>
        <v>219.19129224309006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41</v>
      </c>
      <c r="W43" s="16">
        <f>IF(ISNA(VLOOKUP(A43,'Données projet'!$A$35:$I$55,5,0)),0%,VLOOKUP(A43,'Données projet'!$A$35:$I$55,5,0)*VLOOKUP('Données projet'!$B$9,Paramètres!$A$1:$I$88,7,0))</f>
        <v>0</v>
      </c>
      <c r="X43" s="16">
        <f>IF(ISNA(VLOOKUP(A43,'Données projet'!$A$35:$I$55,6,0)),0%,VLOOKUP(A43,'Données projet'!$A$35:$I$55,6,0)*VLOOKUP('Données projet'!$B$9,Paramètres!$A$1:$I$88,7,0))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projet'!$B$9,Paramètres!$A$1:$I$88,3,0)*0.475*44/12</f>
        <v>12.512029398226458</v>
      </c>
      <c r="AA43" s="21">
        <f>EXP(-LN(2)/25)*AA42+(1-EXP(-LN(2)/25))/(LN(2)/25)*Calculateur!V43*Calculateur!X43*VLOOKUP('Données projet'!$B$9,Paramètres!$A$1:$I$88,3,0)*0.475*44/12</f>
        <v>10.729491506987431</v>
      </c>
      <c r="AB43" s="21">
        <f>EXP(-LN(2)/2)*AB42+(1-EXP(-LN(2)/2))/(LN(2)/2)*V43*Y43*VLOOKUP('Données projet'!$B$9,Paramètres!$A$1:$I$88,3,0)*0.475*44/12</f>
        <v>1.2397611949233889E-3</v>
      </c>
      <c r="AC43" s="22">
        <f t="shared" si="3"/>
        <v>23.242760666408813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285</v>
      </c>
      <c r="AG43" s="12">
        <f>VLOOKUP(A43,'Données projet'!$A$61:$I$81,9,0)</f>
        <v>13.7</v>
      </c>
      <c r="AH43" s="12">
        <f t="array" ref="AH43">INDEX(AG:AG,MIN(IF(ISNUMBER(AG43:AG239),ROW(AG43:AG239),"")))</f>
        <v>13.7</v>
      </c>
      <c r="AI43" s="13">
        <f>IF('Données projet'!$A$62&gt;35,AI42+AH43-AQ42,IF(A43&lt;'Données projet'!$A$62,$AF$205^A43,IF(A43='Données projet'!$A$62,'Données projet'!$B$62,AI42+AH43-AQ42)))</f>
        <v>284.99999999999989</v>
      </c>
      <c r="AJ43" s="13">
        <f>AI43*VLOOKUP('Données projet'!$B$10,Paramètres!$A$1:$I$88,3,0)*VLOOKUP('Données projet'!$B$10,Paramètres!$A$1:$I$88,5,0)</f>
        <v>170.42999999999995</v>
      </c>
      <c r="AK43" s="13">
        <f t="shared" si="35"/>
        <v>43.186315117079396</v>
      </c>
      <c r="AL43" s="20">
        <f t="shared" si="4"/>
        <v>372.04841549557983</v>
      </c>
      <c r="AM43" s="59">
        <f t="shared" si="5"/>
        <v>665.38174882891315</v>
      </c>
      <c r="AN43" s="59">
        <f ca="1">AVERAGE(OFFSET($AM$3,0,0,'Données projet'!$E$10+1,1))-AVERAGE(OFFSET($H$3,0,0,'Données projet'!$E$10+1,1))</f>
        <v>246.59447135626942</v>
      </c>
      <c r="AO43" s="59">
        <f t="shared" si="36"/>
        <v>262.00382544285367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projet'!$B$10,Paramètres!$A$1:$I$88,7,0))</f>
        <v>0</v>
      </c>
      <c r="AS43" s="16">
        <f>IF(ISNA(VLOOKUP(A43,'Données projet'!$A$61:$I$81,6,0)),0%,VLOOKUP(A43,'Données projet'!$A$61:$I$81,6,0)*VLOOKUP('Données projet'!$B$10,Paramètres!$A$1:$I$88,7,0))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projet'!$B$10,Paramètres!$A$1:$I$88,3,0)*0.475*44/12</f>
        <v>0</v>
      </c>
      <c r="AV43" s="21">
        <f>EXP(-LN(2)/25)*AV42+(1-EXP(-LN(2)/25))/(LN(2)/25)*Calculateur!AQ43*Calculateur!AS43*VLOOKUP('Données projet'!$B$10,Paramètres!$A$1:$I$88,3,0)*0.475*44/12</f>
        <v>9.737920816498832</v>
      </c>
      <c r="AW43" s="21">
        <f>EXP(-LN(2)/2)*AW42+(1-EXP(-LN(2)/2))/(LN(2)/2)*AQ43*AT43*VLOOKUP('Données projet'!$B$10,Paramètres!$A$1:$I$88,3,0)*0.475*44/12</f>
        <v>0.74154249605684286</v>
      </c>
      <c r="AX43" s="21">
        <f t="shared" si="6"/>
        <v>10.479463312555675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429</v>
      </c>
      <c r="BB43" s="12">
        <f>VLOOKUP(A43,'Données projet'!$A$87:$I$107,9,0)</f>
        <v>22</v>
      </c>
      <c r="BC43" s="12">
        <f t="array" ref="BC43">INDEX(BB:BB,MIN(IF(ISNUMBER(BB43:BB239),ROW(BB43:BB239),"")))</f>
        <v>22</v>
      </c>
      <c r="BD43" s="12">
        <f>IF('Données projet'!$A$88&gt;35,BD42+BC43-BL42,IF(A43&lt;'Données projet'!$A$88,$BA$205^A43,IF(A43='Données projet'!$A$88,'Données projet'!$B$88,BD42+BC43-BL42)))</f>
        <v>428.99999999999989</v>
      </c>
      <c r="BE43" s="13">
        <f>BD43*VLOOKUP('Données projet'!$B$11,Paramètres!$A$1:$I$88,3,0)*VLOOKUP('Données projet'!$B$11,Paramètres!$A$1:$I$88,5,0)</f>
        <v>239.81099999999992</v>
      </c>
      <c r="BF43" s="13">
        <f t="shared" si="37"/>
        <v>58.398864347229804</v>
      </c>
      <c r="BG43" s="20">
        <f t="shared" si="7"/>
        <v>519.3821804047584</v>
      </c>
      <c r="BH43" s="59">
        <f t="shared" si="8"/>
        <v>812.71551373809166</v>
      </c>
      <c r="BI43" s="59">
        <f ca="1">AVERAGE(OFFSET($BH$3,0,0,'Données projet'!$E$11+1,1))-AVERAGE(OFFSET($H$3,0,0,'Données projet'!$E$11+1,1))</f>
        <v>355.96253323046608</v>
      </c>
      <c r="BJ43" s="59">
        <f t="shared" si="38"/>
        <v>366.8380442809696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112</v>
      </c>
      <c r="BM43" s="16">
        <f>IF(ISNA(VLOOKUP(A43,'Données projet'!$A$87:$I$107,5,0)),0%,VLOOKUP(A43,'Données projet'!$A$87:$I$107,5,0)*VLOOKUP('Données projet'!$B$11,Paramètres!$A$1:$I$88,7,0))</f>
        <v>0</v>
      </c>
      <c r="BN43" s="16">
        <f>IF(ISNA(VLOOKUP(A43,'Données projet'!$A$87:$I$107,6,0)),0%,VLOOKUP(A43,'Données projet'!$A$87:$I$107,6,0)*VLOOKUP('Données projet'!$B$11,Paramètres!$A$1:$I$88,7,0))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projet'!$B$11,Paramètres!$A$1:$I$88,3,0)*0.475*44/12</f>
        <v>0</v>
      </c>
      <c r="BQ43" s="21">
        <f>EXP(-LN(2)/25)*BQ42+(1-EXP(-LN(2)/25))/(LN(2)/25)*Calculateur!BL43*Calculateur!BN43*VLOOKUP('Données projet'!$B$11,Paramètres!$A$1:$I$88,3,0)*0.475*44/12</f>
        <v>17.241121977655119</v>
      </c>
      <c r="BR43" s="21">
        <f>EXP(-LN(2)/2)*BR42+(1-EXP(-LN(2)/2))/(LN(2)/2)*BL43*BO43*VLOOKUP('Données projet'!$B$11,Paramètres!$A$1:$I$88,3,0)*0.475*44/12</f>
        <v>1.1465455271079896</v>
      </c>
      <c r="BS43" s="22">
        <f t="shared" si="9"/>
        <v>18.387667504763108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220</v>
      </c>
      <c r="BW43" s="12">
        <f>VLOOKUP(A43,'Données projet'!$A$113:$I$133,9,0)</f>
        <v>10.199999999999999</v>
      </c>
      <c r="BX43" s="12">
        <f t="array" ref="BX43">INDEX(BW:BW,MIN(IF(ISNUMBER(BW43:BW239),ROW(BW43:BW239),"")))</f>
        <v>10.199999999999999</v>
      </c>
      <c r="BY43" s="12">
        <f>IF('Données projet'!$A$114&gt;35,BY42+BX43-CG42,IF(A43&lt;'Données projet'!$A$114,$BV$205^A43,IF(A43='Données projet'!$A$114,'Données projet'!$B$114,BY42+BX43-CG42)))</f>
        <v>219.99999999999986</v>
      </c>
      <c r="BZ43" s="13">
        <f>BY43*VLOOKUP('Données projet'!$B$12,Paramètres!$A$1:$I$88,3,0)*VLOOKUP('Données projet'!$B$12,Paramètres!$A$1:$I$88,5,0)</f>
        <v>144.14399999999989</v>
      </c>
      <c r="CA43" s="13">
        <f t="shared" si="39"/>
        <v>37.244720006976216</v>
      </c>
      <c r="CB43" s="20">
        <f t="shared" si="10"/>
        <v>315.91868734548342</v>
      </c>
      <c r="CC43" s="59">
        <f t="shared" si="11"/>
        <v>609.25202067881673</v>
      </c>
      <c r="CD43" s="59">
        <f ca="1">AVERAGE(OFFSET($CC$3,0,0,'Données projet'!$E$12+1,1))-AVERAGE(OFFSET($H$3,0,0,'Données projet'!$E$12+1,1))</f>
        <v>180.90147430936133</v>
      </c>
      <c r="CE43" s="59">
        <f t="shared" si="40"/>
        <v>226.87949199830018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projet'!$B$12,Paramètres!$A$1:$I$88,7,0))</f>
        <v>0</v>
      </c>
      <c r="CI43" s="16">
        <f>IF(ISNA(VLOOKUP(A43,'Données projet'!$A$113:$I$133,6,0)),0%,VLOOKUP(A43,'Données projet'!$A$113:$I$133,6,0)*VLOOKUP('Données projet'!$B$12,Paramètres!$A$1:$I$88,7,0))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projet'!$B$12,Paramètres!$A$1:$I$88,3,0)*0.475*44/12</f>
        <v>0</v>
      </c>
      <c r="CL43" s="21">
        <f>EXP(-LN(2)/25)*CL42+(1-EXP(-LN(2)/25))/(LN(2)/25)*Calculateur!CG43*Calculateur!CI43*VLOOKUP('Données projet'!$B$12,Paramètres!$A$1:$I$88,3,0)*0.475*44/12</f>
        <v>5.2068916915704255</v>
      </c>
      <c r="CM43" s="21">
        <f>EXP(-LN(2)/2)*CM42+(1-EXP(-LN(2)/2))/(LN(2)/2)*CG43*CJ43*VLOOKUP('Données projet'!$B$12,Paramètres!$A$1:$I$88,3,0)*0.475*44/12</f>
        <v>0.2769518704137553</v>
      </c>
      <c r="CN43" s="22">
        <f t="shared" si="12"/>
        <v>5.4838435619841812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5.6843418860808015E-14</v>
      </c>
      <c r="CU43" s="17">
        <f>CT43*VLOOKUP('Données projet'!$B$13,Paramètres!$A$1:$I$88,3,0)*VLOOKUP('Données projet'!$B$13,Paramètres!$A$1:$I$88,5,0)</f>
        <v>2.8908289095852525E-14</v>
      </c>
      <c r="CV43" s="13">
        <f t="shared" si="41"/>
        <v>5.0177780569126974E-13</v>
      </c>
      <c r="CW43" s="20">
        <f t="shared" si="13"/>
        <v>9.2427828175423786E-13</v>
      </c>
      <c r="CX43" s="59">
        <f t="shared" si="14"/>
        <v>293.33333333333422</v>
      </c>
      <c r="CY43" s="59">
        <f ca="1">AVERAGE(OFFSET($CX$3,0,0,'Données projet'!$E$13+1,1))-AVERAGE(OFFSET($H$3,0,0,'Données projet'!$E$13+1,1))</f>
        <v>133.08385802816008</v>
      </c>
      <c r="CZ43" s="59">
        <f t="shared" si="42"/>
        <v>316.59112511251385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projet'!$B$13,Paramètres!$A$1:$I$88,7,0))</f>
        <v>0</v>
      </c>
      <c r="DD43" s="16">
        <f>IF(ISNA(VLOOKUP(A43,'Données projet'!$A$139:$I$159,6,0)),0%,VLOOKUP(A43,'Données projet'!$A$139:$I$159,6,0)*VLOOKUP('Données projet'!$B$13,Paramètres!$A$1:$I$88,7,0))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projet'!$B$13,Paramètres!$A$1:$I$88,3,0)*0.475*44/12</f>
        <v>59.233164485598564</v>
      </c>
      <c r="DG43" s="21">
        <f>EXP(-LN(2)/25)*DG42+(1-EXP(-LN(2)/25))/(LN(2)/25)*Calculateur!DB43*Calculateur!DD43*VLOOKUP('Données projet'!$B$13,Paramètres!$A$1:$I$88,3,0)*0.475*44/12</f>
        <v>0</v>
      </c>
      <c r="DH43" s="21">
        <f>EXP(-LN(2)/2)*DH42+(1-EXP(-LN(2)/2))/(LN(2)/2)*DB43*DE43*VLOOKUP('Données projet'!$B$13,Paramètres!$A$1:$I$88,3,0)*0.475*44/12</f>
        <v>0.17670011551694192</v>
      </c>
      <c r="DI43" s="22">
        <f t="shared" si="15"/>
        <v>59.409864601115508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projet'!$B$14,Paramètres!$A$1:$I$88,3,0)*VLOOKUP('Données projet'!$B$14,Paramètres!$A$1:$I$88,5,0)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projet'!$B$14,Paramètres!$A$1:$I$88,7,0))</f>
        <v>0</v>
      </c>
      <c r="DY43" s="16">
        <f>IF(ISNA(VLOOKUP(A43,'Données projet'!$A$165:$I$185,6,0)),0%,VLOOKUP(A43,'Données projet'!$A$165:$I$185,6,0)*VLOOKUP('Données projet'!$B$14,Paramètres!$A$1:$I$88,7,0))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projet'!$B$14,Paramètres!$A$1:$I$88,3,0)*0.475*44/12</f>
        <v>#N/A</v>
      </c>
      <c r="EB43" s="21" t="e">
        <f>EXP(-LN(2)/25)*EB42+(1-EXP(-LN(2)/25))/(LN(2)/25)*Calculateur!DW43*Calculateur!DY43*VLOOKUP('Données projet'!$B$14,Paramètres!$A$1:$I$88,3,0)*0.475*44/12</f>
        <v>#N/A</v>
      </c>
      <c r="EC43" s="21" t="e">
        <f>EXP(-LN(2)/2)*EC42+(1-EXP(-LN(2)/2))/(LN(2)/2)*DW43*DZ43*VLOOKUP('Données projet'!$B$14,Paramètres!$A$1:$I$88,3,0)*0.475*44/12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projet'!$B$15,Paramètres!$A$1:$I$88,3,0)*VLOOKUP('Données projet'!$B$15,Paramètres!$A$1:$I$88,5,0)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projet'!$B$15,Paramètres!$A$1:$I$88,7,0))</f>
        <v>0</v>
      </c>
      <c r="ET43" s="16">
        <f>IF(ISNA(VLOOKUP(A43,'Données projet'!$A$191:$I$211,6,0)),0%,VLOOKUP(A43,'Données projet'!$A$191:$I$211,6,0)*VLOOKUP('Données projet'!$B$15,Paramètres!$A$1:$I$88,7,0))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projet'!$B$15,Paramètres!$A$1:$I$88,3,0)*0.475*44/12</f>
        <v>#N/A</v>
      </c>
      <c r="EW43" s="21" t="e">
        <f>EXP(-LN(2)/25)*EW42+(1-EXP(-LN(2)/25))/(LN(2)/25)*Calculateur!ER43*Calculateur!ET43*VLOOKUP('Données projet'!$B$15,Paramètres!$A$1:$I$88,3,0)*0.475*44/12</f>
        <v>#N/A</v>
      </c>
      <c r="EX43" s="21" t="e">
        <f>EXP(-LN(2)/2)*EX42+(1-EXP(-LN(2)/2))/(LN(2)/2)*ER43*EU43*VLOOKUP('Données projet'!$B$15,Paramètres!$A$1:$I$88,3,0)*0.475*44/12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projet'!$B$16,Paramètres!$A$1:$I$88,3,0)*VLOOKUP('Données projet'!$B$16,Paramètres!$A$1:$I$88,5,0)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projet'!$B$16,Paramètres!$A$1:$I$88,7,0))</f>
        <v>0</v>
      </c>
      <c r="FO43" s="16">
        <f>IF(ISNA(VLOOKUP(A43,'Données projet'!$A$217:$I$237,6,0)),0%,VLOOKUP(A43,'Données projet'!$A$217:$I$237,6,0)*VLOOKUP('Données projet'!$B$16,Paramètres!$A$1:$I$88,7,0))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projet'!$B$16,Paramètres!$A$1:$I$88,3,0)*0.475*44/12</f>
        <v>#N/A</v>
      </c>
      <c r="FR43" s="21" t="e">
        <f>EXP(-LN(2)/25)*FR42+(1-EXP(-LN(2)/25))/(LN(2)/25)*Calculateur!FM43*Calculateur!FO43*VLOOKUP('Données projet'!$B$16,Paramètres!$A$1:$I$88,3,0)*0.475*44/12</f>
        <v>#N/A</v>
      </c>
      <c r="FS43" s="21" t="e">
        <f>EXP(-LN(2)/2)*FS42+(1-EXP(-LN(2)/2))/(LN(2)/2)*FM43*FP43*VLOOKUP('Données projet'!$B$16,Paramètres!$A$1:$I$88,3,0)*0.475*44/12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projet'!$B$17,Paramètres!$A$1:$I$88,3,0)*VLOOKUP('Données projet'!$B$17,Paramètres!$A$1:$I$88,5,0)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projet'!$B$17,Paramètres!$A$1:$I$88,7,0))</f>
        <v>0</v>
      </c>
      <c r="GJ43" s="16">
        <f>IF(ISNA(VLOOKUP(A43,'Données projet'!$A$243:$I$263,6,0)),0%,VLOOKUP(A43,'Données projet'!$A$243:$I$263,6,0)*VLOOKUP('Données projet'!$B$17,Paramètres!$A$1:$I$88,7,0))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projet'!$B$17,Paramètres!$A$1:$I$88,3,0)*0.475*44/12</f>
        <v>#N/A</v>
      </c>
      <c r="GM43" s="21" t="e">
        <f>EXP(-LN(2)/25)*GM42+(1-EXP(-LN(2)/25))/(LN(2)/25)*Calculateur!GH43*Calculateur!GJ43*VLOOKUP('Données projet'!$B$17,Paramètres!$A$1:$I$88,3,0)*0.475*44/12</f>
        <v>#N/A</v>
      </c>
      <c r="GN43" s="21" t="e">
        <f>EXP(-LN(2)/2)*GN42+(1-EXP(-LN(2)/2))/(LN(2)/2)*GH43*GK43*VLOOKUP('Données projet'!$B$17,Paramètres!$A$1:$I$88,3,0)*0.475*44/12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projet'!$B$18,Paramètres!$A$1:$I$88,3,0)*VLOOKUP('Données projet'!$B$18,Paramètres!$A$1:$I$88,5,0)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projet'!$B$18,Paramètres!$A$1:$I$88,7,0))</f>
        <v>0</v>
      </c>
      <c r="HE43" s="16">
        <f>IF(ISNA(VLOOKUP(A43,'Données projet'!$A$269:$I$289,6,0)),0%,VLOOKUP(A43,'Données projet'!$A$269:$I$289,6,0)*VLOOKUP('Données projet'!$B$18,Paramètres!$A$1:$I$88,7,0))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projet'!$B$18,Paramètres!$A$1:$I$88,3,0)*0.475*44/12</f>
        <v>#N/A</v>
      </c>
      <c r="HH43" s="21" t="e">
        <f>EXP(-LN(2)/25)*HH42+(1-EXP(-LN(2)/25))/(LN(2)/25)*Calculateur!HC43*Calculateur!HE43*VLOOKUP('Données projet'!$B$18,Paramètres!$A$1:$I$88,3,0)*0.475*44/12</f>
        <v>#N/A</v>
      </c>
      <c r="HI43" s="21" t="e">
        <f>EXP(-LN(2)/2)*HI42+(1-EXP(-LN(2)/2))/(LN(2)/2)*HC43*HF43*VLOOKUP('Données projet'!$B$18,Paramètres!$A$1:$I$88,3,0)*0.475*44/12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9.8333333333333339</v>
      </c>
      <c r="N44" s="13">
        <f>IF('Données projet'!$A$36&gt;35,N43+M44-V43,IF(A44&lt;'Données projet'!$A$36,$K$205^A44,IF(A44='Données projet'!$A$36,'Données projet'!$B$36,N43+M44-V43)))</f>
        <v>243.83333333333337</v>
      </c>
      <c r="O44" s="13">
        <f>N44*VLOOKUP('Données projet'!$B$9,Paramètres!$A$1:$I$88,3,0)*VLOOKUP('Données projet'!$B$9,Paramètres!$A$1:$I$88,5,0)</f>
        <v>145.81233333333336</v>
      </c>
      <c r="P44" s="13">
        <f t="shared" si="33"/>
        <v>37.625360763194948</v>
      </c>
      <c r="Q44" s="20">
        <f t="shared" si="53"/>
        <v>319.4873172181201</v>
      </c>
      <c r="R44" s="59">
        <f t="shared" si="0"/>
        <v>612.82065055145335</v>
      </c>
      <c r="S44" s="59">
        <f ca="1">AVERAGE(OFFSET($R$3,0,0,'Données projet'!$E$9+1,1))-AVERAGE(OFFSET($H$3,0,0,'Données projet'!$E$9+1,1))</f>
        <v>195.73441209602686</v>
      </c>
      <c r="T44" s="59">
        <f t="shared" si="34"/>
        <v>219.19129224309006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projet'!$B$9,Paramètres!$A$1:$I$88,7,0))</f>
        <v>0</v>
      </c>
      <c r="X44" s="16">
        <f>IF(ISNA(VLOOKUP(A44,'Données projet'!$A$35:$I$55,6,0)),0%,VLOOKUP(A44,'Données projet'!$A$35:$I$55,6,0)*VLOOKUP('Données projet'!$B$9,Paramètres!$A$1:$I$88,7,0))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projet'!$B$9,Paramètres!$A$1:$I$88,3,0)*0.475*44/12</f>
        <v>12.266676133311615</v>
      </c>
      <c r="AA44" s="21">
        <f>EXP(-LN(2)/25)*AA43+(1-EXP(-LN(2)/25))/(LN(2)/25)*Calculateur!V44*Calculateur!X44*VLOOKUP('Données projet'!$B$9,Paramètres!$A$1:$I$88,3,0)*0.475*44/12</f>
        <v>10.436092997489425</v>
      </c>
      <c r="AB44" s="21">
        <f>EXP(-LN(2)/2)*AB43+(1-EXP(-LN(2)/2))/(LN(2)/2)*V44*Y44*VLOOKUP('Données projet'!$B$9,Paramètres!$A$1:$I$88,3,0)*0.475*44/12</f>
        <v>8.7664354798226544E-4</v>
      </c>
      <c r="AC44" s="22">
        <f t="shared" si="3"/>
        <v>22.70364577434902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12.8</v>
      </c>
      <c r="AI44" s="13">
        <f>IF('Données projet'!$A$62&gt;35,AI43+AH44-AQ43,IF(A44&lt;'Données projet'!$A$62,$AF$205^A44,IF(A44='Données projet'!$A$62,'Données projet'!$B$62,AI43+AH44-AQ43)))</f>
        <v>227.7999999999999</v>
      </c>
      <c r="AJ44" s="13">
        <f>AI44*VLOOKUP('Données projet'!$B$10,Paramètres!$A$1:$I$88,3,0)*VLOOKUP('Données projet'!$B$10,Paramètres!$A$1:$I$88,5,0)</f>
        <v>136.22439999999995</v>
      </c>
      <c r="AK44" s="13">
        <f t="shared" si="35"/>
        <v>35.430697151629076</v>
      </c>
      <c r="AL44" s="20">
        <f t="shared" si="4"/>
        <v>298.96596087242057</v>
      </c>
      <c r="AM44" s="59">
        <f t="shared" si="5"/>
        <v>592.29929420575388</v>
      </c>
      <c r="AN44" s="59">
        <f ca="1">AVERAGE(OFFSET($AM$3,0,0,'Données projet'!$E$10+1,1))-AVERAGE(OFFSET($H$3,0,0,'Données projet'!$E$10+1,1))</f>
        <v>246.59447135626942</v>
      </c>
      <c r="AO44" s="59">
        <f t="shared" si="36"/>
        <v>262.00382544285367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projet'!$B$10,Paramètres!$A$1:$I$88,7,0))</f>
        <v>0</v>
      </c>
      <c r="AS44" s="16">
        <f>IF(ISNA(VLOOKUP(A44,'Données projet'!$A$61:$I$81,6,0)),0%,VLOOKUP(A44,'Données projet'!$A$61:$I$81,6,0)*VLOOKUP('Données projet'!$B$10,Paramètres!$A$1:$I$88,7,0))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projet'!$B$10,Paramètres!$A$1:$I$88,3,0)*0.475*44/12</f>
        <v>0</v>
      </c>
      <c r="AV44" s="21">
        <f>EXP(-LN(2)/25)*AV43+(1-EXP(-LN(2)/25))/(LN(2)/25)*Calculateur!AQ44*Calculateur!AS44*VLOOKUP('Données projet'!$B$10,Paramètres!$A$1:$I$88,3,0)*0.475*44/12</f>
        <v>9.4716368596766713</v>
      </c>
      <c r="AW44" s="21">
        <f>EXP(-LN(2)/2)*AW43+(1-EXP(-LN(2)/2))/(LN(2)/2)*AQ44*AT44*VLOOKUP('Données projet'!$B$10,Paramètres!$A$1:$I$88,3,0)*0.475*44/12</f>
        <v>0.52434972749979225</v>
      </c>
      <c r="AX44" s="21">
        <f t="shared" si="6"/>
        <v>9.9959865871764642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19.2</v>
      </c>
      <c r="BD44" s="12">
        <f>IF('Données projet'!$A$88&gt;35,BD43+BC44-BL43,IF(A44&lt;'Données projet'!$A$88,$BA$205^A44,IF(A44='Données projet'!$A$88,'Données projet'!$B$88,BD43+BC44-BL43)))</f>
        <v>336.19999999999987</v>
      </c>
      <c r="BE44" s="13">
        <f>BD44*VLOOKUP('Données projet'!$B$11,Paramètres!$A$1:$I$88,3,0)*VLOOKUP('Données projet'!$B$11,Paramètres!$A$1:$I$88,5,0)</f>
        <v>187.93579999999994</v>
      </c>
      <c r="BF44" s="13">
        <f t="shared" si="37"/>
        <v>47.083297807364765</v>
      </c>
      <c r="BG44" s="20">
        <f t="shared" si="7"/>
        <v>409.3249286811602</v>
      </c>
      <c r="BH44" s="59">
        <f t="shared" si="8"/>
        <v>702.65826201449352</v>
      </c>
      <c r="BI44" s="59">
        <f ca="1">AVERAGE(OFFSET($BH$3,0,0,'Données projet'!$E$11+1,1))-AVERAGE(OFFSET($H$3,0,0,'Données projet'!$E$11+1,1))</f>
        <v>355.96253323046608</v>
      </c>
      <c r="BJ44" s="59">
        <f t="shared" si="38"/>
        <v>366.8380442809696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projet'!$B$11,Paramètres!$A$1:$I$88,7,0))</f>
        <v>0</v>
      </c>
      <c r="BN44" s="16">
        <f>IF(ISNA(VLOOKUP(A44,'Données projet'!$A$87:$I$107,6,0)),0%,VLOOKUP(A44,'Données projet'!$A$87:$I$107,6,0)*VLOOKUP('Données projet'!$B$11,Paramètres!$A$1:$I$88,7,0))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projet'!$B$11,Paramètres!$A$1:$I$88,3,0)*0.475*44/12</f>
        <v>0</v>
      </c>
      <c r="BQ44" s="21">
        <f>EXP(-LN(2)/25)*BQ43+(1-EXP(-LN(2)/25))/(LN(2)/25)*Calculateur!BL44*Calculateur!BN44*VLOOKUP('Données projet'!$B$11,Paramètres!$A$1:$I$88,3,0)*0.475*44/12</f>
        <v>16.769662590504939</v>
      </c>
      <c r="BR44" s="21">
        <f>EXP(-LN(2)/2)*BR43+(1-EXP(-LN(2)/2))/(LN(2)/2)*BL44*BO44*VLOOKUP('Données projet'!$B$11,Paramètres!$A$1:$I$88,3,0)*0.475*44/12</f>
        <v>0.81073011715716403</v>
      </c>
      <c r="BS44" s="22">
        <f t="shared" si="9"/>
        <v>17.580392707662103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7.7</v>
      </c>
      <c r="BY44" s="12">
        <f>IF('Données projet'!$A$114&gt;35,BY43+BX44-CG43,IF(A44&lt;'Données projet'!$A$114,$BV$205^A44,IF(A44='Données projet'!$A$114,'Données projet'!$B$114,BY43+BX44-CG43)))</f>
        <v>171.69999999999985</v>
      </c>
      <c r="BZ44" s="13">
        <f>BY44*VLOOKUP('Données projet'!$B$12,Paramètres!$A$1:$I$88,3,0)*VLOOKUP('Données projet'!$B$12,Paramètres!$A$1:$I$88,5,0)</f>
        <v>112.4978399999999</v>
      </c>
      <c r="CA44" s="13">
        <f t="shared" si="39"/>
        <v>29.918723887031341</v>
      </c>
      <c r="CB44" s="20">
        <f t="shared" si="10"/>
        <v>248.04218210324606</v>
      </c>
      <c r="CC44" s="59">
        <f t="shared" si="11"/>
        <v>541.37551543657935</v>
      </c>
      <c r="CD44" s="59">
        <f ca="1">AVERAGE(OFFSET($CC$3,0,0,'Données projet'!$E$12+1,1))-AVERAGE(OFFSET($H$3,0,0,'Données projet'!$E$12+1,1))</f>
        <v>180.90147430936133</v>
      </c>
      <c r="CE44" s="59">
        <f t="shared" si="40"/>
        <v>226.87949199830018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projet'!$B$12,Paramètres!$A$1:$I$88,7,0))</f>
        <v>0</v>
      </c>
      <c r="CI44" s="16">
        <f>IF(ISNA(VLOOKUP(A44,'Données projet'!$A$113:$I$133,6,0)),0%,VLOOKUP(A44,'Données projet'!$A$113:$I$133,6,0)*VLOOKUP('Données projet'!$B$12,Paramètres!$A$1:$I$88,7,0))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projet'!$B$12,Paramètres!$A$1:$I$88,3,0)*0.475*44/12</f>
        <v>0</v>
      </c>
      <c r="CL44" s="21">
        <f>EXP(-LN(2)/25)*CL43+(1-EXP(-LN(2)/25))/(LN(2)/25)*Calculateur!CG44*Calculateur!CI44*VLOOKUP('Données projet'!$B$12,Paramètres!$A$1:$I$88,3,0)*0.475*44/12</f>
        <v>5.0645089644458983</v>
      </c>
      <c r="CM44" s="21">
        <f>EXP(-LN(2)/2)*CM43+(1-EXP(-LN(2)/2))/(LN(2)/2)*CG44*CJ44*VLOOKUP('Données projet'!$B$12,Paramètres!$A$1:$I$88,3,0)*0.475*44/12</f>
        <v>0.19583454563186434</v>
      </c>
      <c r="CN44" s="22">
        <f t="shared" si="12"/>
        <v>5.2603435100777629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5.6843418860808015E-14</v>
      </c>
      <c r="CU44" s="17">
        <f>CT44*VLOOKUP('Données projet'!$B$13,Paramètres!$A$1:$I$88,3,0)*VLOOKUP('Données projet'!$B$13,Paramètres!$A$1:$I$88,5,0)</f>
        <v>2.8908289095852525E-14</v>
      </c>
      <c r="CV44" s="13">
        <f t="shared" si="41"/>
        <v>5.0177780569126974E-13</v>
      </c>
      <c r="CW44" s="20">
        <f t="shared" si="13"/>
        <v>9.2427828175423786E-13</v>
      </c>
      <c r="CX44" s="59">
        <f t="shared" si="14"/>
        <v>293.33333333333422</v>
      </c>
      <c r="CY44" s="59">
        <f ca="1">AVERAGE(OFFSET($CX$3,0,0,'Données projet'!$E$13+1,1))-AVERAGE(OFFSET($H$3,0,0,'Données projet'!$E$13+1,1))</f>
        <v>133.08385802816008</v>
      </c>
      <c r="CZ44" s="59">
        <f t="shared" si="42"/>
        <v>316.59112511251385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projet'!$B$13,Paramètres!$A$1:$I$88,7,0))</f>
        <v>0</v>
      </c>
      <c r="DD44" s="16">
        <f>IF(ISNA(VLOOKUP(A44,'Données projet'!$A$139:$I$159,6,0)),0%,VLOOKUP(A44,'Données projet'!$A$139:$I$159,6,0)*VLOOKUP('Données projet'!$B$13,Paramètres!$A$1:$I$88,7,0))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projet'!$B$13,Paramètres!$A$1:$I$88,3,0)*0.475*44/12</f>
        <v>58.071638258698904</v>
      </c>
      <c r="DG44" s="21">
        <f>EXP(-LN(2)/25)*DG43+(1-EXP(-LN(2)/25))/(LN(2)/25)*Calculateur!DB44*Calculateur!DD44*VLOOKUP('Données projet'!$B$13,Paramètres!$A$1:$I$88,3,0)*0.475*44/12</f>
        <v>0</v>
      </c>
      <c r="DH44" s="21">
        <f>EXP(-LN(2)/2)*DH43+(1-EXP(-LN(2)/2))/(LN(2)/2)*DB44*DE44*VLOOKUP('Données projet'!$B$13,Paramètres!$A$1:$I$88,3,0)*0.475*44/12</f>
        <v>0.12494584991847593</v>
      </c>
      <c r="DI44" s="22">
        <f t="shared" si="15"/>
        <v>58.19658410861738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projet'!$B$14,Paramètres!$A$1:$I$88,3,0)*VLOOKUP('Données projet'!$B$14,Paramètres!$A$1:$I$88,5,0)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projet'!$B$14,Paramètres!$A$1:$I$88,7,0))</f>
        <v>0</v>
      </c>
      <c r="DY44" s="16">
        <f>IF(ISNA(VLOOKUP(A44,'Données projet'!$A$165:$I$185,6,0)),0%,VLOOKUP(A44,'Données projet'!$A$165:$I$185,6,0)*VLOOKUP('Données projet'!$B$14,Paramètres!$A$1:$I$88,7,0))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projet'!$B$14,Paramètres!$A$1:$I$88,3,0)*0.475*44/12</f>
        <v>#N/A</v>
      </c>
      <c r="EB44" s="21" t="e">
        <f>EXP(-LN(2)/25)*EB43+(1-EXP(-LN(2)/25))/(LN(2)/25)*Calculateur!DW44*Calculateur!DY44*VLOOKUP('Données projet'!$B$14,Paramètres!$A$1:$I$88,3,0)*0.475*44/12</f>
        <v>#N/A</v>
      </c>
      <c r="EC44" s="21" t="e">
        <f>EXP(-LN(2)/2)*EC43+(1-EXP(-LN(2)/2))/(LN(2)/2)*DW44*DZ44*VLOOKUP('Données projet'!$B$14,Paramètres!$A$1:$I$88,3,0)*0.475*44/12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projet'!$B$15,Paramètres!$A$1:$I$88,3,0)*VLOOKUP('Données projet'!$B$15,Paramètres!$A$1:$I$88,5,0)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projet'!$B$15,Paramètres!$A$1:$I$88,7,0))</f>
        <v>0</v>
      </c>
      <c r="ET44" s="16">
        <f>IF(ISNA(VLOOKUP(A44,'Données projet'!$A$191:$I$211,6,0)),0%,VLOOKUP(A44,'Données projet'!$A$191:$I$211,6,0)*VLOOKUP('Données projet'!$B$15,Paramètres!$A$1:$I$88,7,0))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projet'!$B$15,Paramètres!$A$1:$I$88,3,0)*0.475*44/12</f>
        <v>#N/A</v>
      </c>
      <c r="EW44" s="21" t="e">
        <f>EXP(-LN(2)/25)*EW43+(1-EXP(-LN(2)/25))/(LN(2)/25)*Calculateur!ER44*Calculateur!ET44*VLOOKUP('Données projet'!$B$15,Paramètres!$A$1:$I$88,3,0)*0.475*44/12</f>
        <v>#N/A</v>
      </c>
      <c r="EX44" s="21" t="e">
        <f>EXP(-LN(2)/2)*EX43+(1-EXP(-LN(2)/2))/(LN(2)/2)*ER44*EU44*VLOOKUP('Données projet'!$B$15,Paramètres!$A$1:$I$88,3,0)*0.475*44/12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projet'!$B$16,Paramètres!$A$1:$I$88,3,0)*VLOOKUP('Données projet'!$B$16,Paramètres!$A$1:$I$88,5,0)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projet'!$B$16,Paramètres!$A$1:$I$88,7,0))</f>
        <v>0</v>
      </c>
      <c r="FO44" s="16">
        <f>IF(ISNA(VLOOKUP(A44,'Données projet'!$A$217:$I$237,6,0)),0%,VLOOKUP(A44,'Données projet'!$A$217:$I$237,6,0)*VLOOKUP('Données projet'!$B$16,Paramètres!$A$1:$I$88,7,0))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projet'!$B$16,Paramètres!$A$1:$I$88,3,0)*0.475*44/12</f>
        <v>#N/A</v>
      </c>
      <c r="FR44" s="21" t="e">
        <f>EXP(-LN(2)/25)*FR43+(1-EXP(-LN(2)/25))/(LN(2)/25)*Calculateur!FM44*Calculateur!FO44*VLOOKUP('Données projet'!$B$16,Paramètres!$A$1:$I$88,3,0)*0.475*44/12</f>
        <v>#N/A</v>
      </c>
      <c r="FS44" s="21" t="e">
        <f>EXP(-LN(2)/2)*FS43+(1-EXP(-LN(2)/2))/(LN(2)/2)*FM44*FP44*VLOOKUP('Données projet'!$B$16,Paramètres!$A$1:$I$88,3,0)*0.475*44/12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projet'!$B$17,Paramètres!$A$1:$I$88,3,0)*VLOOKUP('Données projet'!$B$17,Paramètres!$A$1:$I$88,5,0)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projet'!$B$17,Paramètres!$A$1:$I$88,7,0))</f>
        <v>0</v>
      </c>
      <c r="GJ44" s="16">
        <f>IF(ISNA(VLOOKUP(A44,'Données projet'!$A$243:$I$263,6,0)),0%,VLOOKUP(A44,'Données projet'!$A$243:$I$263,6,0)*VLOOKUP('Données projet'!$B$17,Paramètres!$A$1:$I$88,7,0))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projet'!$B$17,Paramètres!$A$1:$I$88,3,0)*0.475*44/12</f>
        <v>#N/A</v>
      </c>
      <c r="GM44" s="21" t="e">
        <f>EXP(-LN(2)/25)*GM43+(1-EXP(-LN(2)/25))/(LN(2)/25)*Calculateur!GH44*Calculateur!GJ44*VLOOKUP('Données projet'!$B$17,Paramètres!$A$1:$I$88,3,0)*0.475*44/12</f>
        <v>#N/A</v>
      </c>
      <c r="GN44" s="21" t="e">
        <f>EXP(-LN(2)/2)*GN43+(1-EXP(-LN(2)/2))/(LN(2)/2)*GH44*GK44*VLOOKUP('Données projet'!$B$17,Paramètres!$A$1:$I$88,3,0)*0.475*44/12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projet'!$B$18,Paramètres!$A$1:$I$88,3,0)*VLOOKUP('Données projet'!$B$18,Paramètres!$A$1:$I$88,5,0)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projet'!$B$18,Paramètres!$A$1:$I$88,7,0))</f>
        <v>0</v>
      </c>
      <c r="HE44" s="16">
        <f>IF(ISNA(VLOOKUP(A44,'Données projet'!$A$269:$I$289,6,0)),0%,VLOOKUP(A44,'Données projet'!$A$269:$I$289,6,0)*VLOOKUP('Données projet'!$B$18,Paramètres!$A$1:$I$88,7,0))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projet'!$B$18,Paramètres!$A$1:$I$88,3,0)*0.475*44/12</f>
        <v>#N/A</v>
      </c>
      <c r="HH44" s="21" t="e">
        <f>EXP(-LN(2)/25)*HH43+(1-EXP(-LN(2)/25))/(LN(2)/25)*Calculateur!HC44*Calculateur!HE44*VLOOKUP('Données projet'!$B$18,Paramètres!$A$1:$I$88,3,0)*0.475*44/12</f>
        <v>#N/A</v>
      </c>
      <c r="HI44" s="21" t="e">
        <f>EXP(-LN(2)/2)*HI43+(1-EXP(-LN(2)/2))/(LN(2)/2)*HC44*HF44*VLOOKUP('Données projet'!$B$18,Paramètres!$A$1:$I$88,3,0)*0.475*44/12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9.8333333333333339</v>
      </c>
      <c r="N45" s="13">
        <f>IF('Données projet'!$A$36&gt;35,N44+M45-V44,IF(A45&lt;'Données projet'!$A$36,$K$205^A45,IF(A45='Données projet'!$A$36,'Données projet'!$B$36,N44+M45-V44)))</f>
        <v>253.66666666666671</v>
      </c>
      <c r="O45" s="13">
        <f>N45*VLOOKUP('Données projet'!$B$9,Paramètres!$A$1:$I$88,3,0)*VLOOKUP('Données projet'!$B$9,Paramètres!$A$1:$I$88,5,0)</f>
        <v>151.6926666666667</v>
      </c>
      <c r="P45" s="13">
        <f t="shared" si="33"/>
        <v>38.96299861908853</v>
      </c>
      <c r="Q45" s="20">
        <f t="shared" si="53"/>
        <v>332.05861703935699</v>
      </c>
      <c r="R45" s="59">
        <f t="shared" si="0"/>
        <v>625.3919503726903</v>
      </c>
      <c r="S45" s="59">
        <f ca="1">AVERAGE(OFFSET($R$3,0,0,'Données projet'!$E$9+1,1))-AVERAGE(OFFSET($H$3,0,0,'Données projet'!$E$9+1,1))</f>
        <v>195.73441209602686</v>
      </c>
      <c r="T45" s="59">
        <f t="shared" si="34"/>
        <v>219.19129224309006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projet'!$B$9,Paramètres!$A$1:$I$88,7,0))</f>
        <v>0</v>
      </c>
      <c r="X45" s="16">
        <f>IF(ISNA(VLOOKUP(A45,'Données projet'!$A$35:$I$55,6,0)),0%,VLOOKUP(A45,'Données projet'!$A$35:$I$55,6,0)*VLOOKUP('Données projet'!$B$9,Paramètres!$A$1:$I$88,7,0))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projet'!$B$9,Paramètres!$A$1:$I$88,3,0)*0.475*44/12</f>
        <v>12.026134096271036</v>
      </c>
      <c r="AA45" s="21">
        <f>EXP(-LN(2)/25)*AA44+(1-EXP(-LN(2)/25))/(LN(2)/25)*Calculateur!V45*Calculateur!X45*VLOOKUP('Données projet'!$B$9,Paramètres!$A$1:$I$88,3,0)*0.475*44/12</f>
        <v>10.150717485662797</v>
      </c>
      <c r="AB45" s="21">
        <f>EXP(-LN(2)/2)*AB44+(1-EXP(-LN(2)/2))/(LN(2)/2)*V45*Y45*VLOOKUP('Données projet'!$B$9,Paramètres!$A$1:$I$88,3,0)*0.475*44/12</f>
        <v>6.1988059746169444E-4</v>
      </c>
      <c r="AC45" s="22">
        <f t="shared" si="3"/>
        <v>22.177471462531294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12.8</v>
      </c>
      <c r="AI45" s="13">
        <f>IF('Données projet'!$A$62&gt;35,AI44+AH45-AQ44,IF(A45&lt;'Données projet'!$A$62,$AF$205^A45,IF(A45='Données projet'!$A$62,'Données projet'!$B$62,AI44+AH45-AQ44)))</f>
        <v>240.59999999999991</v>
      </c>
      <c r="AJ45" s="13">
        <f>AI45*VLOOKUP('Données projet'!$B$10,Paramètres!$A$1:$I$88,3,0)*VLOOKUP('Données projet'!$B$10,Paramètres!$A$1:$I$88,5,0)</f>
        <v>143.87879999999996</v>
      </c>
      <c r="AK45" s="13">
        <f t="shared" si="35"/>
        <v>37.184165858158067</v>
      </c>
      <c r="AL45" s="20">
        <f t="shared" si="4"/>
        <v>315.35133220295853</v>
      </c>
      <c r="AM45" s="59">
        <f t="shared" si="5"/>
        <v>608.68466553629185</v>
      </c>
      <c r="AN45" s="59">
        <f ca="1">AVERAGE(OFFSET($AM$3,0,0,'Données projet'!$E$10+1,1))-AVERAGE(OFFSET($H$3,0,0,'Données projet'!$E$10+1,1))</f>
        <v>246.59447135626942</v>
      </c>
      <c r="AO45" s="59">
        <f t="shared" si="36"/>
        <v>262.00382544285367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projet'!$B$10,Paramètres!$A$1:$I$88,7,0))</f>
        <v>0</v>
      </c>
      <c r="AS45" s="16">
        <f>IF(ISNA(VLOOKUP(A45,'Données projet'!$A$61:$I$81,6,0)),0%,VLOOKUP(A45,'Données projet'!$A$61:$I$81,6,0)*VLOOKUP('Données projet'!$B$10,Paramètres!$A$1:$I$88,7,0))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projet'!$B$10,Paramètres!$A$1:$I$88,3,0)*0.475*44/12</f>
        <v>0</v>
      </c>
      <c r="AV45" s="21">
        <f>EXP(-LN(2)/25)*AV44+(1-EXP(-LN(2)/25))/(LN(2)/25)*Calculateur!AQ45*Calculateur!AS45*VLOOKUP('Données projet'!$B$10,Paramètres!$A$1:$I$88,3,0)*0.475*44/12</f>
        <v>9.2126344516570775</v>
      </c>
      <c r="AW45" s="21">
        <f>EXP(-LN(2)/2)*AW44+(1-EXP(-LN(2)/2))/(LN(2)/2)*AQ45*AT45*VLOOKUP('Données projet'!$B$10,Paramètres!$A$1:$I$88,3,0)*0.475*44/12</f>
        <v>0.37077124802842143</v>
      </c>
      <c r="AX45" s="21">
        <f t="shared" si="6"/>
        <v>9.5834056996854997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19.2</v>
      </c>
      <c r="BD45" s="12">
        <f>IF('Données projet'!$A$88&gt;35,BD44+BC45-BL44,IF(A45&lt;'Données projet'!$A$88,$BA$205^A45,IF(A45='Données projet'!$A$88,'Données projet'!$B$88,BD44+BC45-BL44)))</f>
        <v>355.39999999999986</v>
      </c>
      <c r="BE45" s="13">
        <f>BD45*VLOOKUP('Données projet'!$B$11,Paramètres!$A$1:$I$88,3,0)*VLOOKUP('Données projet'!$B$11,Paramètres!$A$1:$I$88,5,0)</f>
        <v>198.66859999999994</v>
      </c>
      <c r="BF45" s="13">
        <f t="shared" si="37"/>
        <v>49.451452656287465</v>
      </c>
      <c r="BG45" s="20">
        <f t="shared" si="7"/>
        <v>432.14242504303388</v>
      </c>
      <c r="BH45" s="59">
        <f t="shared" si="8"/>
        <v>725.47575837636714</v>
      </c>
      <c r="BI45" s="59">
        <f ca="1">AVERAGE(OFFSET($BH$3,0,0,'Données projet'!$E$11+1,1))-AVERAGE(OFFSET($H$3,0,0,'Données projet'!$E$11+1,1))</f>
        <v>355.96253323046608</v>
      </c>
      <c r="BJ45" s="59">
        <f t="shared" si="38"/>
        <v>366.8380442809696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projet'!$B$11,Paramètres!$A$1:$I$88,7,0))</f>
        <v>0</v>
      </c>
      <c r="BN45" s="16">
        <f>IF(ISNA(VLOOKUP(A45,'Données projet'!$A$87:$I$107,6,0)),0%,VLOOKUP(A45,'Données projet'!$A$87:$I$107,6,0)*VLOOKUP('Données projet'!$B$11,Paramètres!$A$1:$I$88,7,0))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projet'!$B$11,Paramètres!$A$1:$I$88,3,0)*0.475*44/12</f>
        <v>0</v>
      </c>
      <c r="BQ45" s="21">
        <f>EXP(-LN(2)/25)*BQ44+(1-EXP(-LN(2)/25))/(LN(2)/25)*Calculateur!BL45*Calculateur!BN45*VLOOKUP('Données projet'!$B$11,Paramètres!$A$1:$I$88,3,0)*0.475*44/12</f>
        <v>16.311095285089355</v>
      </c>
      <c r="BR45" s="21">
        <f>EXP(-LN(2)/2)*BR44+(1-EXP(-LN(2)/2))/(LN(2)/2)*BL45*BO45*VLOOKUP('Données projet'!$B$11,Paramètres!$A$1:$I$88,3,0)*0.475*44/12</f>
        <v>0.57327276355399481</v>
      </c>
      <c r="BS45" s="22">
        <f t="shared" si="9"/>
        <v>16.884368048643349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7.7</v>
      </c>
      <c r="BY45" s="12">
        <f>IF('Données projet'!$A$114&gt;35,BY44+BX45-CG44,IF(A45&lt;'Données projet'!$A$114,$BV$205^A45,IF(A45='Données projet'!$A$114,'Données projet'!$B$114,BY44+BX45-CG44)))</f>
        <v>179.39999999999984</v>
      </c>
      <c r="BZ45" s="13">
        <f>BY45*VLOOKUP('Données projet'!$B$12,Paramètres!$A$1:$I$88,3,0)*VLOOKUP('Données projet'!$B$12,Paramètres!$A$1:$I$88,5,0)</f>
        <v>117.5428799999999</v>
      </c>
      <c r="CA45" s="13">
        <f t="shared" si="39"/>
        <v>31.101228198889196</v>
      </c>
      <c r="CB45" s="20">
        <f t="shared" si="10"/>
        <v>258.88848844639847</v>
      </c>
      <c r="CC45" s="59">
        <f t="shared" si="11"/>
        <v>552.22182177973173</v>
      </c>
      <c r="CD45" s="59">
        <f ca="1">AVERAGE(OFFSET($CC$3,0,0,'Données projet'!$E$12+1,1))-AVERAGE(OFFSET($H$3,0,0,'Données projet'!$E$12+1,1))</f>
        <v>180.90147430936133</v>
      </c>
      <c r="CE45" s="59">
        <f t="shared" si="40"/>
        <v>226.87949199830018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projet'!$B$12,Paramètres!$A$1:$I$88,7,0))</f>
        <v>0</v>
      </c>
      <c r="CI45" s="16">
        <f>IF(ISNA(VLOOKUP(A45,'Données projet'!$A$113:$I$133,6,0)),0%,VLOOKUP(A45,'Données projet'!$A$113:$I$133,6,0)*VLOOKUP('Données projet'!$B$12,Paramètres!$A$1:$I$88,7,0))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projet'!$B$12,Paramètres!$A$1:$I$88,3,0)*0.475*44/12</f>
        <v>0</v>
      </c>
      <c r="CL45" s="21">
        <f>EXP(-LN(2)/25)*CL44+(1-EXP(-LN(2)/25))/(LN(2)/25)*Calculateur!CG45*Calculateur!CI45*VLOOKUP('Données projet'!$B$12,Paramètres!$A$1:$I$88,3,0)*0.475*44/12</f>
        <v>4.9260197004821737</v>
      </c>
      <c r="CM45" s="21">
        <f>EXP(-LN(2)/2)*CM44+(1-EXP(-LN(2)/2))/(LN(2)/2)*CG45*CJ45*VLOOKUP('Données projet'!$B$12,Paramètres!$A$1:$I$88,3,0)*0.475*44/12</f>
        <v>0.13847593520687765</v>
      </c>
      <c r="CN45" s="22">
        <f t="shared" si="12"/>
        <v>5.0644956356890516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5.6843418860808015E-14</v>
      </c>
      <c r="CU45" s="17">
        <f>CT45*VLOOKUP('Données projet'!$B$13,Paramètres!$A$1:$I$88,3,0)*VLOOKUP('Données projet'!$B$13,Paramètres!$A$1:$I$88,5,0)</f>
        <v>2.8908289095852525E-14</v>
      </c>
      <c r="CV45" s="13">
        <f t="shared" si="41"/>
        <v>5.0177780569126974E-13</v>
      </c>
      <c r="CW45" s="20">
        <f t="shared" si="13"/>
        <v>9.2427828175423786E-13</v>
      </c>
      <c r="CX45" s="59">
        <f t="shared" si="14"/>
        <v>293.33333333333422</v>
      </c>
      <c r="CY45" s="59">
        <f ca="1">AVERAGE(OFFSET($CX$3,0,0,'Données projet'!$E$13+1,1))-AVERAGE(OFFSET($H$3,0,0,'Données projet'!$E$13+1,1))</f>
        <v>133.08385802816008</v>
      </c>
      <c r="CZ45" s="59">
        <f t="shared" si="42"/>
        <v>316.59112511251385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projet'!$B$13,Paramètres!$A$1:$I$88,7,0))</f>
        <v>0</v>
      </c>
      <c r="DD45" s="16">
        <f>IF(ISNA(VLOOKUP(A45,'Données projet'!$A$139:$I$159,6,0)),0%,VLOOKUP(A45,'Données projet'!$A$139:$I$159,6,0)*VLOOKUP('Données projet'!$B$13,Paramètres!$A$1:$I$88,7,0))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projet'!$B$13,Paramètres!$A$1:$I$88,3,0)*0.475*44/12</f>
        <v>56.9328888526477</v>
      </c>
      <c r="DG45" s="21">
        <f>EXP(-LN(2)/25)*DG44+(1-EXP(-LN(2)/25))/(LN(2)/25)*Calculateur!DB45*Calculateur!DD45*VLOOKUP('Données projet'!$B$13,Paramètres!$A$1:$I$88,3,0)*0.475*44/12</f>
        <v>0</v>
      </c>
      <c r="DH45" s="21">
        <f>EXP(-LN(2)/2)*DH44+(1-EXP(-LN(2)/2))/(LN(2)/2)*DB45*DE45*VLOOKUP('Données projet'!$B$13,Paramètres!$A$1:$I$88,3,0)*0.475*44/12</f>
        <v>8.8350057758470976E-2</v>
      </c>
      <c r="DI45" s="22">
        <f t="shared" si="15"/>
        <v>57.021238910406169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projet'!$B$14,Paramètres!$A$1:$I$88,3,0)*VLOOKUP('Données projet'!$B$14,Paramètres!$A$1:$I$88,5,0)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projet'!$B$14,Paramètres!$A$1:$I$88,7,0))</f>
        <v>0</v>
      </c>
      <c r="DY45" s="16">
        <f>IF(ISNA(VLOOKUP(A45,'Données projet'!$A$165:$I$185,6,0)),0%,VLOOKUP(A45,'Données projet'!$A$165:$I$185,6,0)*VLOOKUP('Données projet'!$B$14,Paramètres!$A$1:$I$88,7,0))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projet'!$B$14,Paramètres!$A$1:$I$88,3,0)*0.475*44/12</f>
        <v>#N/A</v>
      </c>
      <c r="EB45" s="21" t="e">
        <f>EXP(-LN(2)/25)*EB44+(1-EXP(-LN(2)/25))/(LN(2)/25)*Calculateur!DW45*Calculateur!DY45*VLOOKUP('Données projet'!$B$14,Paramètres!$A$1:$I$88,3,0)*0.475*44/12</f>
        <v>#N/A</v>
      </c>
      <c r="EC45" s="21" t="e">
        <f>EXP(-LN(2)/2)*EC44+(1-EXP(-LN(2)/2))/(LN(2)/2)*DW45*DZ45*VLOOKUP('Données projet'!$B$14,Paramètres!$A$1:$I$88,3,0)*0.475*44/12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projet'!$B$15,Paramètres!$A$1:$I$88,3,0)*VLOOKUP('Données projet'!$B$15,Paramètres!$A$1:$I$88,5,0)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projet'!$B$15,Paramètres!$A$1:$I$88,7,0))</f>
        <v>0</v>
      </c>
      <c r="ET45" s="16">
        <f>IF(ISNA(VLOOKUP(A45,'Données projet'!$A$191:$I$211,6,0)),0%,VLOOKUP(A45,'Données projet'!$A$191:$I$211,6,0)*VLOOKUP('Données projet'!$B$15,Paramètres!$A$1:$I$88,7,0))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projet'!$B$15,Paramètres!$A$1:$I$88,3,0)*0.475*44/12</f>
        <v>#N/A</v>
      </c>
      <c r="EW45" s="21" t="e">
        <f>EXP(-LN(2)/25)*EW44+(1-EXP(-LN(2)/25))/(LN(2)/25)*Calculateur!ER45*Calculateur!ET45*VLOOKUP('Données projet'!$B$15,Paramètres!$A$1:$I$88,3,0)*0.475*44/12</f>
        <v>#N/A</v>
      </c>
      <c r="EX45" s="21" t="e">
        <f>EXP(-LN(2)/2)*EX44+(1-EXP(-LN(2)/2))/(LN(2)/2)*ER45*EU45*VLOOKUP('Données projet'!$B$15,Paramètres!$A$1:$I$88,3,0)*0.475*44/12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projet'!$B$16,Paramètres!$A$1:$I$88,3,0)*VLOOKUP('Données projet'!$B$16,Paramètres!$A$1:$I$88,5,0)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projet'!$B$16,Paramètres!$A$1:$I$88,7,0))</f>
        <v>0</v>
      </c>
      <c r="FO45" s="16">
        <f>IF(ISNA(VLOOKUP(A45,'Données projet'!$A$217:$I$237,6,0)),0%,VLOOKUP(A45,'Données projet'!$A$217:$I$237,6,0)*VLOOKUP('Données projet'!$B$16,Paramètres!$A$1:$I$88,7,0))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projet'!$B$16,Paramètres!$A$1:$I$88,3,0)*0.475*44/12</f>
        <v>#N/A</v>
      </c>
      <c r="FR45" s="21" t="e">
        <f>EXP(-LN(2)/25)*FR44+(1-EXP(-LN(2)/25))/(LN(2)/25)*Calculateur!FM45*Calculateur!FO45*VLOOKUP('Données projet'!$B$16,Paramètres!$A$1:$I$88,3,0)*0.475*44/12</f>
        <v>#N/A</v>
      </c>
      <c r="FS45" s="21" t="e">
        <f>EXP(-LN(2)/2)*FS44+(1-EXP(-LN(2)/2))/(LN(2)/2)*FM45*FP45*VLOOKUP('Données projet'!$B$16,Paramètres!$A$1:$I$88,3,0)*0.475*44/12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projet'!$B$17,Paramètres!$A$1:$I$88,3,0)*VLOOKUP('Données projet'!$B$17,Paramètres!$A$1:$I$88,5,0)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projet'!$B$17,Paramètres!$A$1:$I$88,7,0))</f>
        <v>0</v>
      </c>
      <c r="GJ45" s="16">
        <f>IF(ISNA(VLOOKUP(A45,'Données projet'!$A$243:$I$263,6,0)),0%,VLOOKUP(A45,'Données projet'!$A$243:$I$263,6,0)*VLOOKUP('Données projet'!$B$17,Paramètres!$A$1:$I$88,7,0))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projet'!$B$17,Paramètres!$A$1:$I$88,3,0)*0.475*44/12</f>
        <v>#N/A</v>
      </c>
      <c r="GM45" s="21" t="e">
        <f>EXP(-LN(2)/25)*GM44+(1-EXP(-LN(2)/25))/(LN(2)/25)*Calculateur!GH45*Calculateur!GJ45*VLOOKUP('Données projet'!$B$17,Paramètres!$A$1:$I$88,3,0)*0.475*44/12</f>
        <v>#N/A</v>
      </c>
      <c r="GN45" s="21" t="e">
        <f>EXP(-LN(2)/2)*GN44+(1-EXP(-LN(2)/2))/(LN(2)/2)*GH45*GK45*VLOOKUP('Données projet'!$B$17,Paramètres!$A$1:$I$88,3,0)*0.475*44/12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projet'!$B$18,Paramètres!$A$1:$I$88,3,0)*VLOOKUP('Données projet'!$B$18,Paramètres!$A$1:$I$88,5,0)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projet'!$B$18,Paramètres!$A$1:$I$88,7,0))</f>
        <v>0</v>
      </c>
      <c r="HE45" s="16">
        <f>IF(ISNA(VLOOKUP(A45,'Données projet'!$A$269:$I$289,6,0)),0%,VLOOKUP(A45,'Données projet'!$A$269:$I$289,6,0)*VLOOKUP('Données projet'!$B$18,Paramètres!$A$1:$I$88,7,0))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projet'!$B$18,Paramètres!$A$1:$I$88,3,0)*0.475*44/12</f>
        <v>#N/A</v>
      </c>
      <c r="HH45" s="21" t="e">
        <f>EXP(-LN(2)/25)*HH44+(1-EXP(-LN(2)/25))/(LN(2)/25)*Calculateur!HC45*Calculateur!HE45*VLOOKUP('Données projet'!$B$18,Paramètres!$A$1:$I$88,3,0)*0.475*44/12</f>
        <v>#N/A</v>
      </c>
      <c r="HI45" s="21" t="e">
        <f>EXP(-LN(2)/2)*HI44+(1-EXP(-LN(2)/2))/(LN(2)/2)*HC45*HF45*VLOOKUP('Données projet'!$B$18,Paramètres!$A$1:$I$88,3,0)*0.475*44/12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9.8333333333333339</v>
      </c>
      <c r="N46" s="13">
        <f>IF('Données projet'!$A$36&gt;35,N45+M46-V45,IF(A46&lt;'Données projet'!$A$36,$K$205^A46,IF(A46='Données projet'!$A$36,'Données projet'!$B$36,N45+M46-V45)))</f>
        <v>263.50000000000006</v>
      </c>
      <c r="O46" s="13">
        <f>N46*VLOOKUP('Données projet'!$B$9,Paramètres!$A$1:$I$88,3,0)*VLOOKUP('Données projet'!$B$9,Paramètres!$A$1:$I$88,5,0)</f>
        <v>157.57300000000006</v>
      </c>
      <c r="P46" s="13">
        <f t="shared" si="33"/>
        <v>40.294612761030372</v>
      </c>
      <c r="Q46" s="20">
        <f t="shared" si="53"/>
        <v>344.61942555879472</v>
      </c>
      <c r="R46" s="59">
        <f t="shared" si="0"/>
        <v>637.95275889212803</v>
      </c>
      <c r="S46" s="59">
        <f ca="1">AVERAGE(OFFSET($R$3,0,0,'Données projet'!$E$9+1,1))-AVERAGE(OFFSET($H$3,0,0,'Données projet'!$E$9+1,1))</f>
        <v>195.73441209602686</v>
      </c>
      <c r="T46" s="59">
        <f t="shared" si="34"/>
        <v>219.19129224309006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projet'!$B$9,Paramètres!$A$1:$I$88,7,0))</f>
        <v>0</v>
      </c>
      <c r="X46" s="16">
        <f>IF(ISNA(VLOOKUP(A46,'Données projet'!$A$35:$I$55,6,0)),0%,VLOOKUP(A46,'Données projet'!$A$35:$I$55,6,0)*VLOOKUP('Données projet'!$B$9,Paramètres!$A$1:$I$88,7,0))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projet'!$B$9,Paramètres!$A$1:$I$88,3,0)*0.475*44/12</f>
        <v>11.790308941860667</v>
      </c>
      <c r="AA46" s="21">
        <f>EXP(-LN(2)/25)*AA45+(1-EXP(-LN(2)/25))/(LN(2)/25)*Calculateur!V46*Calculateur!X46*VLOOKUP('Données projet'!$B$9,Paramètres!$A$1:$I$88,3,0)*0.475*44/12</f>
        <v>9.873145582214315</v>
      </c>
      <c r="AB46" s="21">
        <f>EXP(-LN(2)/2)*AB45+(1-EXP(-LN(2)/2))/(LN(2)/2)*V46*Y46*VLOOKUP('Données projet'!$B$9,Paramètres!$A$1:$I$88,3,0)*0.475*44/12</f>
        <v>4.3832177399113272E-4</v>
      </c>
      <c r="AC46" s="22">
        <f t="shared" si="3"/>
        <v>21.663892845848974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12.8</v>
      </c>
      <c r="AI46" s="13">
        <f>IF('Données projet'!$A$62&gt;35,AI45+AH46-AQ45,IF(A46&lt;'Données projet'!$A$62,$AF$205^A46,IF(A46='Données projet'!$A$62,'Données projet'!$B$62,AI45+AH46-AQ45)))</f>
        <v>253.39999999999992</v>
      </c>
      <c r="AJ46" s="13">
        <f>AI46*VLOOKUP('Données projet'!$B$10,Paramètres!$A$1:$I$88,3,0)*VLOOKUP('Données projet'!$B$10,Paramètres!$A$1:$I$88,5,0)</f>
        <v>151.53319999999997</v>
      </c>
      <c r="AK46" s="13">
        <f t="shared" si="35"/>
        <v>38.926804334954284</v>
      </c>
      <c r="AL46" s="20">
        <f t="shared" si="4"/>
        <v>331.71784088337864</v>
      </c>
      <c r="AM46" s="59">
        <f t="shared" si="5"/>
        <v>625.05117421671196</v>
      </c>
      <c r="AN46" s="59">
        <f ca="1">AVERAGE(OFFSET($AM$3,0,0,'Données projet'!$E$10+1,1))-AVERAGE(OFFSET($H$3,0,0,'Données projet'!$E$10+1,1))</f>
        <v>246.59447135626942</v>
      </c>
      <c r="AO46" s="59">
        <f t="shared" si="36"/>
        <v>262.00382544285367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projet'!$B$10,Paramètres!$A$1:$I$88,7,0))</f>
        <v>0</v>
      </c>
      <c r="AS46" s="16">
        <f>IF(ISNA(VLOOKUP(A46,'Données projet'!$A$61:$I$81,6,0)),0%,VLOOKUP(A46,'Données projet'!$A$61:$I$81,6,0)*VLOOKUP('Données projet'!$B$10,Paramètres!$A$1:$I$88,7,0))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projet'!$B$10,Paramètres!$A$1:$I$88,3,0)*0.475*44/12</f>
        <v>0</v>
      </c>
      <c r="AV46" s="21">
        <f>EXP(-LN(2)/25)*AV45+(1-EXP(-LN(2)/25))/(LN(2)/25)*Calculateur!AQ46*Calculateur!AS46*VLOOKUP('Données projet'!$B$10,Paramètres!$A$1:$I$88,3,0)*0.475*44/12</f>
        <v>8.9607144781051247</v>
      </c>
      <c r="AW46" s="21">
        <f>EXP(-LN(2)/2)*AW45+(1-EXP(-LN(2)/2))/(LN(2)/2)*AQ46*AT46*VLOOKUP('Données projet'!$B$10,Paramètres!$A$1:$I$88,3,0)*0.475*44/12</f>
        <v>0.26217486374989613</v>
      </c>
      <c r="AX46" s="21">
        <f t="shared" si="6"/>
        <v>9.2228893418550211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19.2</v>
      </c>
      <c r="BD46" s="12">
        <f>IF('Données projet'!$A$88&gt;35,BD45+BC46-BL45,IF(A46&lt;'Données projet'!$A$88,$BA$205^A46,IF(A46='Données projet'!$A$88,'Données projet'!$B$88,BD45+BC46-BL45)))</f>
        <v>374.59999999999985</v>
      </c>
      <c r="BE46" s="13">
        <f>BD46*VLOOKUP('Données projet'!$B$11,Paramètres!$A$1:$I$88,3,0)*VLOOKUP('Données projet'!$B$11,Paramètres!$A$1:$I$88,5,0)</f>
        <v>209.40139999999994</v>
      </c>
      <c r="BF46" s="13">
        <f t="shared" si="37"/>
        <v>51.804754813749405</v>
      </c>
      <c r="BG46" s="20">
        <f t="shared" si="7"/>
        <v>454.93405296728002</v>
      </c>
      <c r="BH46" s="59">
        <f t="shared" si="8"/>
        <v>748.26738630061334</v>
      </c>
      <c r="BI46" s="59">
        <f ca="1">AVERAGE(OFFSET($BH$3,0,0,'Données projet'!$E$11+1,1))-AVERAGE(OFFSET($H$3,0,0,'Données projet'!$E$11+1,1))</f>
        <v>355.96253323046608</v>
      </c>
      <c r="BJ46" s="59">
        <f t="shared" si="38"/>
        <v>366.8380442809696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projet'!$B$11,Paramètres!$A$1:$I$88,7,0))</f>
        <v>0</v>
      </c>
      <c r="BN46" s="16">
        <f>IF(ISNA(VLOOKUP(A46,'Données projet'!$A$87:$I$107,6,0)),0%,VLOOKUP(A46,'Données projet'!$A$87:$I$107,6,0)*VLOOKUP('Données projet'!$B$11,Paramètres!$A$1:$I$88,7,0))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projet'!$B$11,Paramètres!$A$1:$I$88,3,0)*0.475*44/12</f>
        <v>0</v>
      </c>
      <c r="BQ46" s="21">
        <f>EXP(-LN(2)/25)*BQ45+(1-EXP(-LN(2)/25))/(LN(2)/25)*Calculateur!BL46*Calculateur!BN46*VLOOKUP('Données projet'!$B$11,Paramètres!$A$1:$I$88,3,0)*0.475*44/12</f>
        <v>15.865067526755364</v>
      </c>
      <c r="BR46" s="21">
        <f>EXP(-LN(2)/2)*BR45+(1-EXP(-LN(2)/2))/(LN(2)/2)*BL46*BO46*VLOOKUP('Données projet'!$B$11,Paramètres!$A$1:$I$88,3,0)*0.475*44/12</f>
        <v>0.40536505857858202</v>
      </c>
      <c r="BS46" s="22">
        <f t="shared" si="9"/>
        <v>16.270432585333946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7.7</v>
      </c>
      <c r="BY46" s="12">
        <f>IF('Données projet'!$A$114&gt;35,BY45+BX46-CG45,IF(A46&lt;'Données projet'!$A$114,$BV$205^A46,IF(A46='Données projet'!$A$114,'Données projet'!$B$114,BY45+BX46-CG45)))</f>
        <v>187.09999999999982</v>
      </c>
      <c r="BZ46" s="13">
        <f>BY46*VLOOKUP('Données projet'!$B$12,Paramètres!$A$1:$I$88,3,0)*VLOOKUP('Données projet'!$B$12,Paramètres!$A$1:$I$88,5,0)</f>
        <v>122.58791999999988</v>
      </c>
      <c r="CA46" s="13">
        <f t="shared" si="39"/>
        <v>32.277837556704284</v>
      </c>
      <c r="CB46" s="20">
        <f t="shared" si="10"/>
        <v>269.7245277445931</v>
      </c>
      <c r="CC46" s="59">
        <f t="shared" si="11"/>
        <v>563.05786107792642</v>
      </c>
      <c r="CD46" s="59">
        <f ca="1">AVERAGE(OFFSET($CC$3,0,0,'Données projet'!$E$12+1,1))-AVERAGE(OFFSET($H$3,0,0,'Données projet'!$E$12+1,1))</f>
        <v>180.90147430936133</v>
      </c>
      <c r="CE46" s="59">
        <f t="shared" si="40"/>
        <v>226.87949199830018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projet'!$B$12,Paramètres!$A$1:$I$88,7,0))</f>
        <v>0</v>
      </c>
      <c r="CI46" s="16">
        <f>IF(ISNA(VLOOKUP(A46,'Données projet'!$A$113:$I$133,6,0)),0%,VLOOKUP(A46,'Données projet'!$A$113:$I$133,6,0)*VLOOKUP('Données projet'!$B$12,Paramètres!$A$1:$I$88,7,0))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projet'!$B$12,Paramètres!$A$1:$I$88,3,0)*0.475*44/12</f>
        <v>0</v>
      </c>
      <c r="CL46" s="21">
        <f>EXP(-LN(2)/25)*CL45+(1-EXP(-LN(2)/25))/(LN(2)/25)*Calculateur!CG46*Calculateur!CI46*VLOOKUP('Données projet'!$B$12,Paramètres!$A$1:$I$88,3,0)*0.475*44/12</f>
        <v>4.7913174327243713</v>
      </c>
      <c r="CM46" s="21">
        <f>EXP(-LN(2)/2)*CM45+(1-EXP(-LN(2)/2))/(LN(2)/2)*CG46*CJ46*VLOOKUP('Données projet'!$B$12,Paramètres!$A$1:$I$88,3,0)*0.475*44/12</f>
        <v>9.7917272815932169E-2</v>
      </c>
      <c r="CN46" s="22">
        <f t="shared" si="12"/>
        <v>4.8892347055403036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5.6843418860808015E-14</v>
      </c>
      <c r="CU46" s="17">
        <f>CT46*VLOOKUP('Données projet'!$B$13,Paramètres!$A$1:$I$88,3,0)*VLOOKUP('Données projet'!$B$13,Paramètres!$A$1:$I$88,5,0)</f>
        <v>2.8908289095852525E-14</v>
      </c>
      <c r="CV46" s="13">
        <f t="shared" si="41"/>
        <v>5.0177780569126974E-13</v>
      </c>
      <c r="CW46" s="20">
        <f t="shared" si="13"/>
        <v>9.2427828175423786E-13</v>
      </c>
      <c r="CX46" s="59">
        <f t="shared" si="14"/>
        <v>293.33333333333422</v>
      </c>
      <c r="CY46" s="59">
        <f ca="1">AVERAGE(OFFSET($CX$3,0,0,'Données projet'!$E$13+1,1))-AVERAGE(OFFSET($H$3,0,0,'Données projet'!$E$13+1,1))</f>
        <v>133.08385802816008</v>
      </c>
      <c r="CZ46" s="59">
        <f t="shared" si="42"/>
        <v>316.59112511251385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projet'!$B$13,Paramètres!$A$1:$I$88,7,0))</f>
        <v>0</v>
      </c>
      <c r="DD46" s="16">
        <f>IF(ISNA(VLOOKUP(A46,'Données projet'!$A$139:$I$159,6,0)),0%,VLOOKUP(A46,'Données projet'!$A$139:$I$159,6,0)*VLOOKUP('Données projet'!$B$13,Paramètres!$A$1:$I$88,7,0))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projet'!$B$13,Paramètres!$A$1:$I$88,3,0)*0.475*44/12</f>
        <v>55.816469627880608</v>
      </c>
      <c r="DG46" s="21">
        <f>EXP(-LN(2)/25)*DG45+(1-EXP(-LN(2)/25))/(LN(2)/25)*Calculateur!DB46*Calculateur!DD46*VLOOKUP('Données projet'!$B$13,Paramètres!$A$1:$I$88,3,0)*0.475*44/12</f>
        <v>0</v>
      </c>
      <c r="DH46" s="21">
        <f>EXP(-LN(2)/2)*DH45+(1-EXP(-LN(2)/2))/(LN(2)/2)*DB46*DE46*VLOOKUP('Données projet'!$B$13,Paramètres!$A$1:$I$88,3,0)*0.475*44/12</f>
        <v>6.2472924959237973E-2</v>
      </c>
      <c r="DI46" s="22">
        <f t="shared" si="15"/>
        <v>55.878942552839845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projet'!$B$14,Paramètres!$A$1:$I$88,3,0)*VLOOKUP('Données projet'!$B$14,Paramètres!$A$1:$I$88,5,0)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projet'!$B$14,Paramètres!$A$1:$I$88,7,0))</f>
        <v>0</v>
      </c>
      <c r="DY46" s="16">
        <f>IF(ISNA(VLOOKUP(A46,'Données projet'!$A$165:$I$185,6,0)),0%,VLOOKUP(A46,'Données projet'!$A$165:$I$185,6,0)*VLOOKUP('Données projet'!$B$14,Paramètres!$A$1:$I$88,7,0))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projet'!$B$14,Paramètres!$A$1:$I$88,3,0)*0.475*44/12</f>
        <v>#N/A</v>
      </c>
      <c r="EB46" s="21" t="e">
        <f>EXP(-LN(2)/25)*EB45+(1-EXP(-LN(2)/25))/(LN(2)/25)*Calculateur!DW46*Calculateur!DY46*VLOOKUP('Données projet'!$B$14,Paramètres!$A$1:$I$88,3,0)*0.475*44/12</f>
        <v>#N/A</v>
      </c>
      <c r="EC46" s="21" t="e">
        <f>EXP(-LN(2)/2)*EC45+(1-EXP(-LN(2)/2))/(LN(2)/2)*DW46*DZ46*VLOOKUP('Données projet'!$B$14,Paramètres!$A$1:$I$88,3,0)*0.475*44/12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projet'!$B$15,Paramètres!$A$1:$I$88,3,0)*VLOOKUP('Données projet'!$B$15,Paramètres!$A$1:$I$88,5,0)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projet'!$B$15,Paramètres!$A$1:$I$88,7,0))</f>
        <v>0</v>
      </c>
      <c r="ET46" s="16">
        <f>IF(ISNA(VLOOKUP(A46,'Données projet'!$A$191:$I$211,6,0)),0%,VLOOKUP(A46,'Données projet'!$A$191:$I$211,6,0)*VLOOKUP('Données projet'!$B$15,Paramètres!$A$1:$I$88,7,0))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projet'!$B$15,Paramètres!$A$1:$I$88,3,0)*0.475*44/12</f>
        <v>#N/A</v>
      </c>
      <c r="EW46" s="21" t="e">
        <f>EXP(-LN(2)/25)*EW45+(1-EXP(-LN(2)/25))/(LN(2)/25)*Calculateur!ER46*Calculateur!ET46*VLOOKUP('Données projet'!$B$15,Paramètres!$A$1:$I$88,3,0)*0.475*44/12</f>
        <v>#N/A</v>
      </c>
      <c r="EX46" s="21" t="e">
        <f>EXP(-LN(2)/2)*EX45+(1-EXP(-LN(2)/2))/(LN(2)/2)*ER46*EU46*VLOOKUP('Données projet'!$B$15,Paramètres!$A$1:$I$88,3,0)*0.475*44/12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projet'!$B$16,Paramètres!$A$1:$I$88,3,0)*VLOOKUP('Données projet'!$B$16,Paramètres!$A$1:$I$88,5,0)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projet'!$B$16,Paramètres!$A$1:$I$88,7,0))</f>
        <v>0</v>
      </c>
      <c r="FO46" s="16">
        <f>IF(ISNA(VLOOKUP(A46,'Données projet'!$A$217:$I$237,6,0)),0%,VLOOKUP(A46,'Données projet'!$A$217:$I$237,6,0)*VLOOKUP('Données projet'!$B$16,Paramètres!$A$1:$I$88,7,0))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projet'!$B$16,Paramètres!$A$1:$I$88,3,0)*0.475*44/12</f>
        <v>#N/A</v>
      </c>
      <c r="FR46" s="21" t="e">
        <f>EXP(-LN(2)/25)*FR45+(1-EXP(-LN(2)/25))/(LN(2)/25)*Calculateur!FM46*Calculateur!FO46*VLOOKUP('Données projet'!$B$16,Paramètres!$A$1:$I$88,3,0)*0.475*44/12</f>
        <v>#N/A</v>
      </c>
      <c r="FS46" s="21" t="e">
        <f>EXP(-LN(2)/2)*FS45+(1-EXP(-LN(2)/2))/(LN(2)/2)*FM46*FP46*VLOOKUP('Données projet'!$B$16,Paramètres!$A$1:$I$88,3,0)*0.475*44/12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projet'!$B$17,Paramètres!$A$1:$I$88,3,0)*VLOOKUP('Données projet'!$B$17,Paramètres!$A$1:$I$88,5,0)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projet'!$B$17,Paramètres!$A$1:$I$88,7,0))</f>
        <v>0</v>
      </c>
      <c r="GJ46" s="16">
        <f>IF(ISNA(VLOOKUP(A46,'Données projet'!$A$243:$I$263,6,0)),0%,VLOOKUP(A46,'Données projet'!$A$243:$I$263,6,0)*VLOOKUP('Données projet'!$B$17,Paramètres!$A$1:$I$88,7,0))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projet'!$B$17,Paramètres!$A$1:$I$88,3,0)*0.475*44/12</f>
        <v>#N/A</v>
      </c>
      <c r="GM46" s="21" t="e">
        <f>EXP(-LN(2)/25)*GM45+(1-EXP(-LN(2)/25))/(LN(2)/25)*Calculateur!GH46*Calculateur!GJ46*VLOOKUP('Données projet'!$B$17,Paramètres!$A$1:$I$88,3,0)*0.475*44/12</f>
        <v>#N/A</v>
      </c>
      <c r="GN46" s="21" t="e">
        <f>EXP(-LN(2)/2)*GN45+(1-EXP(-LN(2)/2))/(LN(2)/2)*GH46*GK46*VLOOKUP('Données projet'!$B$17,Paramètres!$A$1:$I$88,3,0)*0.475*44/12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projet'!$B$18,Paramètres!$A$1:$I$88,3,0)*VLOOKUP('Données projet'!$B$18,Paramètres!$A$1:$I$88,5,0)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projet'!$B$18,Paramètres!$A$1:$I$88,7,0))</f>
        <v>0</v>
      </c>
      <c r="HE46" s="16">
        <f>IF(ISNA(VLOOKUP(A46,'Données projet'!$A$269:$I$289,6,0)),0%,VLOOKUP(A46,'Données projet'!$A$269:$I$289,6,0)*VLOOKUP('Données projet'!$B$18,Paramètres!$A$1:$I$88,7,0))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projet'!$B$18,Paramètres!$A$1:$I$88,3,0)*0.475*44/12</f>
        <v>#N/A</v>
      </c>
      <c r="HH46" s="21" t="e">
        <f>EXP(-LN(2)/25)*HH45+(1-EXP(-LN(2)/25))/(LN(2)/25)*Calculateur!HC46*Calculateur!HE46*VLOOKUP('Données projet'!$B$18,Paramètres!$A$1:$I$88,3,0)*0.475*44/12</f>
        <v>#N/A</v>
      </c>
      <c r="HI46" s="21" t="e">
        <f>EXP(-LN(2)/2)*HI45+(1-EXP(-LN(2)/2))/(LN(2)/2)*HC46*HF46*VLOOKUP('Données projet'!$B$18,Paramètres!$A$1:$I$88,3,0)*0.475*44/12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9.8333333333333339</v>
      </c>
      <c r="N47" s="13">
        <f>IF('Données projet'!$A$36&gt;35,N46+M47-V46,IF(A47&lt;'Données projet'!$A$36,$K$205^A47,IF(A47='Données projet'!$A$36,'Données projet'!$B$36,N46+M47-V46)))</f>
        <v>273.33333333333337</v>
      </c>
      <c r="O47" s="13">
        <f>N47*VLOOKUP('Données projet'!$B$9,Paramètres!$A$1:$I$88,3,0)*VLOOKUP('Données projet'!$B$9,Paramètres!$A$1:$I$88,5,0)</f>
        <v>163.45333333333338</v>
      </c>
      <c r="P47" s="13">
        <f t="shared" si="33"/>
        <v>41.620453722976563</v>
      </c>
      <c r="Q47" s="20">
        <f t="shared" si="53"/>
        <v>357.17017912307307</v>
      </c>
      <c r="R47" s="59">
        <f t="shared" si="0"/>
        <v>650.50351245640638</v>
      </c>
      <c r="S47" s="59">
        <f ca="1">AVERAGE(OFFSET($R$3,0,0,'Données projet'!$E$9+1,1))-AVERAGE(OFFSET($H$3,0,0,'Données projet'!$E$9+1,1))</f>
        <v>195.73441209602686</v>
      </c>
      <c r="T47" s="59">
        <f t="shared" si="34"/>
        <v>219.19129224309006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projet'!$B$9,Paramètres!$A$1:$I$88,7,0))</f>
        <v>0</v>
      </c>
      <c r="X47" s="16">
        <f>IF(ISNA(VLOOKUP(A47,'Données projet'!$A$35:$I$55,6,0)),0%,VLOOKUP(A47,'Données projet'!$A$35:$I$55,6,0)*VLOOKUP('Données projet'!$B$9,Paramètres!$A$1:$I$88,7,0))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projet'!$B$9,Paramètres!$A$1:$I$88,3,0)*0.475*44/12</f>
        <v>11.559108174889145</v>
      </c>
      <c r="AA47" s="21">
        <f>EXP(-LN(2)/25)*AA46+(1-EXP(-LN(2)/25))/(LN(2)/25)*Calculateur!V47*Calculateur!X47*VLOOKUP('Données projet'!$B$9,Paramètres!$A$1:$I$88,3,0)*0.475*44/12</f>
        <v>9.6031638970625046</v>
      </c>
      <c r="AB47" s="21">
        <f>EXP(-LN(2)/2)*AB46+(1-EXP(-LN(2)/2))/(LN(2)/2)*V47*Y47*VLOOKUP('Données projet'!$B$9,Paramètres!$A$1:$I$88,3,0)*0.475*44/12</f>
        <v>3.0994029873084722E-4</v>
      </c>
      <c r="AC47" s="22">
        <f t="shared" si="3"/>
        <v>21.162582012250379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12.8</v>
      </c>
      <c r="AI47" s="13">
        <f>IF('Données projet'!$A$62&gt;35,AI46+AH47-AQ46,IF(A47&lt;'Données projet'!$A$62,$AF$205^A47,IF(A47='Données projet'!$A$62,'Données projet'!$B$62,AI46+AH47-AQ46)))</f>
        <v>266.19999999999993</v>
      </c>
      <c r="AJ47" s="13">
        <f>AI47*VLOOKUP('Données projet'!$B$10,Paramètres!$A$1:$I$88,3,0)*VLOOKUP('Données projet'!$B$10,Paramètres!$A$1:$I$88,5,0)</f>
        <v>159.18759999999997</v>
      </c>
      <c r="AK47" s="13">
        <f t="shared" si="35"/>
        <v>40.659222067351315</v>
      </c>
      <c r="AL47" s="20">
        <f t="shared" si="4"/>
        <v>348.06654843397018</v>
      </c>
      <c r="AM47" s="59">
        <f t="shared" si="5"/>
        <v>641.39988176730344</v>
      </c>
      <c r="AN47" s="59">
        <f ca="1">AVERAGE(OFFSET($AM$3,0,0,'Données projet'!$E$10+1,1))-AVERAGE(OFFSET($H$3,0,0,'Données projet'!$E$10+1,1))</f>
        <v>246.59447135626942</v>
      </c>
      <c r="AO47" s="59">
        <f t="shared" si="36"/>
        <v>262.00382544285367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projet'!$B$10,Paramètres!$A$1:$I$88,7,0))</f>
        <v>0</v>
      </c>
      <c r="AS47" s="16">
        <f>IF(ISNA(VLOOKUP(A47,'Données projet'!$A$61:$I$81,6,0)),0%,VLOOKUP(A47,'Données projet'!$A$61:$I$81,6,0)*VLOOKUP('Données projet'!$B$10,Paramètres!$A$1:$I$88,7,0))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projet'!$B$10,Paramètres!$A$1:$I$88,3,0)*0.475*44/12</f>
        <v>0</v>
      </c>
      <c r="AV47" s="21">
        <f>EXP(-LN(2)/25)*AV46+(1-EXP(-LN(2)/25))/(LN(2)/25)*Calculateur!AQ47*Calculateur!AS47*VLOOKUP('Données projet'!$B$10,Paramètres!$A$1:$I$88,3,0)*0.475*44/12</f>
        <v>8.7156832694778448</v>
      </c>
      <c r="AW47" s="21">
        <f>EXP(-LN(2)/2)*AW46+(1-EXP(-LN(2)/2))/(LN(2)/2)*AQ47*AT47*VLOOKUP('Données projet'!$B$10,Paramètres!$A$1:$I$88,3,0)*0.475*44/12</f>
        <v>0.18538562401421071</v>
      </c>
      <c r="AX47" s="21">
        <f t="shared" si="6"/>
        <v>8.9010688934920559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19.2</v>
      </c>
      <c r="BD47" s="12">
        <f>IF('Données projet'!$A$88&gt;35,BD46+BC47-BL46,IF(A47&lt;'Données projet'!$A$88,$BA$205^A47,IF(A47='Données projet'!$A$88,'Données projet'!$B$88,BD46+BC47-BL46)))</f>
        <v>393.79999999999984</v>
      </c>
      <c r="BE47" s="13">
        <f>BD47*VLOOKUP('Données projet'!$B$11,Paramètres!$A$1:$I$88,3,0)*VLOOKUP('Données projet'!$B$11,Paramètres!$A$1:$I$88,5,0)</f>
        <v>220.13419999999991</v>
      </c>
      <c r="BF47" s="13">
        <f t="shared" si="37"/>
        <v>54.144052392262886</v>
      </c>
      <c r="BG47" s="20">
        <f t="shared" si="7"/>
        <v>477.701289583191</v>
      </c>
      <c r="BH47" s="59">
        <f t="shared" si="8"/>
        <v>771.03462291652431</v>
      </c>
      <c r="BI47" s="59">
        <f ca="1">AVERAGE(OFFSET($BH$3,0,0,'Données projet'!$E$11+1,1))-AVERAGE(OFFSET($H$3,0,0,'Données projet'!$E$11+1,1))</f>
        <v>355.96253323046608</v>
      </c>
      <c r="BJ47" s="59">
        <f t="shared" si="38"/>
        <v>366.8380442809696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projet'!$B$11,Paramètres!$A$1:$I$88,7,0))</f>
        <v>0</v>
      </c>
      <c r="BN47" s="16">
        <f>IF(ISNA(VLOOKUP(A47,'Données projet'!$A$87:$I$107,6,0)),0%,VLOOKUP(A47,'Données projet'!$A$87:$I$107,6,0)*VLOOKUP('Données projet'!$B$11,Paramètres!$A$1:$I$88,7,0))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projet'!$B$11,Paramètres!$A$1:$I$88,3,0)*0.475*44/12</f>
        <v>0</v>
      </c>
      <c r="BQ47" s="21">
        <f>EXP(-LN(2)/25)*BQ46+(1-EXP(-LN(2)/25))/(LN(2)/25)*Calculateur!BL47*Calculateur!BN47*VLOOKUP('Données projet'!$B$11,Paramètres!$A$1:$I$88,3,0)*0.475*44/12</f>
        <v>15.431236420928597</v>
      </c>
      <c r="BR47" s="21">
        <f>EXP(-LN(2)/2)*BR46+(1-EXP(-LN(2)/2))/(LN(2)/2)*BL47*BO47*VLOOKUP('Données projet'!$B$11,Paramètres!$A$1:$I$88,3,0)*0.475*44/12</f>
        <v>0.28663638177699741</v>
      </c>
      <c r="BS47" s="22">
        <f t="shared" si="9"/>
        <v>15.717872802705594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7.7</v>
      </c>
      <c r="BY47" s="12">
        <f>IF('Données projet'!$A$114&gt;35,BY46+BX47-CG46,IF(A47&lt;'Données projet'!$A$114,$BV$205^A47,IF(A47='Données projet'!$A$114,'Données projet'!$B$114,BY46+BX47-CG46)))</f>
        <v>194.79999999999981</v>
      </c>
      <c r="BZ47" s="13">
        <f>BY47*VLOOKUP('Données projet'!$B$12,Paramètres!$A$1:$I$88,3,0)*VLOOKUP('Données projet'!$B$12,Paramètres!$A$1:$I$88,5,0)</f>
        <v>127.63295999999987</v>
      </c>
      <c r="CA47" s="13">
        <f t="shared" si="39"/>
        <v>33.448822311133696</v>
      </c>
      <c r="CB47" s="20">
        <f t="shared" si="10"/>
        <v>280.55077085855766</v>
      </c>
      <c r="CC47" s="59">
        <f t="shared" si="11"/>
        <v>573.88410419189097</v>
      </c>
      <c r="CD47" s="59">
        <f ca="1">AVERAGE(OFFSET($CC$3,0,0,'Données projet'!$E$12+1,1))-AVERAGE(OFFSET($H$3,0,0,'Données projet'!$E$12+1,1))</f>
        <v>180.90147430936133</v>
      </c>
      <c r="CE47" s="59">
        <f t="shared" si="40"/>
        <v>226.87949199830018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projet'!$B$12,Paramètres!$A$1:$I$88,7,0))</f>
        <v>0</v>
      </c>
      <c r="CI47" s="16">
        <f>IF(ISNA(VLOOKUP(A47,'Données projet'!$A$113:$I$133,6,0)),0%,VLOOKUP(A47,'Données projet'!$A$113:$I$133,6,0)*VLOOKUP('Données projet'!$B$12,Paramètres!$A$1:$I$88,7,0))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projet'!$B$12,Paramètres!$A$1:$I$88,3,0)*0.475*44/12</f>
        <v>0</v>
      </c>
      <c r="CL47" s="21">
        <f>EXP(-LN(2)/25)*CL46+(1-EXP(-LN(2)/25))/(LN(2)/25)*Calculateur!CG47*Calculateur!CI47*VLOOKUP('Données projet'!$B$12,Paramètres!$A$1:$I$88,3,0)*0.475*44/12</f>
        <v>4.6602986055620903</v>
      </c>
      <c r="CM47" s="21">
        <f>EXP(-LN(2)/2)*CM46+(1-EXP(-LN(2)/2))/(LN(2)/2)*CG47*CJ47*VLOOKUP('Données projet'!$B$12,Paramètres!$A$1:$I$88,3,0)*0.475*44/12</f>
        <v>6.9237967603438824E-2</v>
      </c>
      <c r="CN47" s="22">
        <f t="shared" si="12"/>
        <v>4.7295365731655288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5.6843418860808015E-14</v>
      </c>
      <c r="CU47" s="17">
        <f>CT47*VLOOKUP('Données projet'!$B$13,Paramètres!$A$1:$I$88,3,0)*VLOOKUP('Données projet'!$B$13,Paramètres!$A$1:$I$88,5,0)</f>
        <v>2.8908289095852525E-14</v>
      </c>
      <c r="CV47" s="13">
        <f t="shared" si="41"/>
        <v>5.0177780569126974E-13</v>
      </c>
      <c r="CW47" s="20">
        <f t="shared" si="13"/>
        <v>9.2427828175423786E-13</v>
      </c>
      <c r="CX47" s="59">
        <f t="shared" si="14"/>
        <v>293.33333333333422</v>
      </c>
      <c r="CY47" s="59">
        <f ca="1">AVERAGE(OFFSET($CX$3,0,0,'Données projet'!$E$13+1,1))-AVERAGE(OFFSET($H$3,0,0,'Données projet'!$E$13+1,1))</f>
        <v>133.08385802816008</v>
      </c>
      <c r="CZ47" s="59">
        <f t="shared" si="42"/>
        <v>316.59112511251385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projet'!$B$13,Paramètres!$A$1:$I$88,7,0))</f>
        <v>0</v>
      </c>
      <c r="DD47" s="16">
        <f>IF(ISNA(VLOOKUP(A47,'Données projet'!$A$139:$I$159,6,0)),0%,VLOOKUP(A47,'Données projet'!$A$139:$I$159,6,0)*VLOOKUP('Données projet'!$B$13,Paramètres!$A$1:$I$88,7,0))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projet'!$B$13,Paramètres!$A$1:$I$88,3,0)*0.475*44/12</f>
        <v>54.721942703162711</v>
      </c>
      <c r="DG47" s="21">
        <f>EXP(-LN(2)/25)*DG46+(1-EXP(-LN(2)/25))/(LN(2)/25)*Calculateur!DB47*Calculateur!DD47*VLOOKUP('Données projet'!$B$13,Paramètres!$A$1:$I$88,3,0)*0.475*44/12</f>
        <v>0</v>
      </c>
      <c r="DH47" s="21">
        <f>EXP(-LN(2)/2)*DH46+(1-EXP(-LN(2)/2))/(LN(2)/2)*DB47*DE47*VLOOKUP('Données projet'!$B$13,Paramètres!$A$1:$I$88,3,0)*0.475*44/12</f>
        <v>4.4175028879235495E-2</v>
      </c>
      <c r="DI47" s="22">
        <f t="shared" si="15"/>
        <v>54.766117732041948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projet'!$B$14,Paramètres!$A$1:$I$88,3,0)*VLOOKUP('Données projet'!$B$14,Paramètres!$A$1:$I$88,5,0)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projet'!$B$14,Paramètres!$A$1:$I$88,7,0))</f>
        <v>0</v>
      </c>
      <c r="DY47" s="16">
        <f>IF(ISNA(VLOOKUP(A47,'Données projet'!$A$165:$I$185,6,0)),0%,VLOOKUP(A47,'Données projet'!$A$165:$I$185,6,0)*VLOOKUP('Données projet'!$B$14,Paramètres!$A$1:$I$88,7,0))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projet'!$B$14,Paramètres!$A$1:$I$88,3,0)*0.475*44/12</f>
        <v>#N/A</v>
      </c>
      <c r="EB47" s="21" t="e">
        <f>EXP(-LN(2)/25)*EB46+(1-EXP(-LN(2)/25))/(LN(2)/25)*Calculateur!DW47*Calculateur!DY47*VLOOKUP('Données projet'!$B$14,Paramètres!$A$1:$I$88,3,0)*0.475*44/12</f>
        <v>#N/A</v>
      </c>
      <c r="EC47" s="21" t="e">
        <f>EXP(-LN(2)/2)*EC46+(1-EXP(-LN(2)/2))/(LN(2)/2)*DW47*DZ47*VLOOKUP('Données projet'!$B$14,Paramètres!$A$1:$I$88,3,0)*0.475*44/12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projet'!$B$15,Paramètres!$A$1:$I$88,3,0)*VLOOKUP('Données projet'!$B$15,Paramètres!$A$1:$I$88,5,0)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projet'!$B$15,Paramètres!$A$1:$I$88,7,0))</f>
        <v>0</v>
      </c>
      <c r="ET47" s="16">
        <f>IF(ISNA(VLOOKUP(A47,'Données projet'!$A$191:$I$211,6,0)),0%,VLOOKUP(A47,'Données projet'!$A$191:$I$211,6,0)*VLOOKUP('Données projet'!$B$15,Paramètres!$A$1:$I$88,7,0))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projet'!$B$15,Paramètres!$A$1:$I$88,3,0)*0.475*44/12</f>
        <v>#N/A</v>
      </c>
      <c r="EW47" s="21" t="e">
        <f>EXP(-LN(2)/25)*EW46+(1-EXP(-LN(2)/25))/(LN(2)/25)*Calculateur!ER47*Calculateur!ET47*VLOOKUP('Données projet'!$B$15,Paramètres!$A$1:$I$88,3,0)*0.475*44/12</f>
        <v>#N/A</v>
      </c>
      <c r="EX47" s="21" t="e">
        <f>EXP(-LN(2)/2)*EX46+(1-EXP(-LN(2)/2))/(LN(2)/2)*ER47*EU47*VLOOKUP('Données projet'!$B$15,Paramètres!$A$1:$I$88,3,0)*0.475*44/12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projet'!$B$16,Paramètres!$A$1:$I$88,3,0)*VLOOKUP('Données projet'!$B$16,Paramètres!$A$1:$I$88,5,0)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projet'!$B$16,Paramètres!$A$1:$I$88,7,0))</f>
        <v>0</v>
      </c>
      <c r="FO47" s="16">
        <f>IF(ISNA(VLOOKUP(A47,'Données projet'!$A$217:$I$237,6,0)),0%,VLOOKUP(A47,'Données projet'!$A$217:$I$237,6,0)*VLOOKUP('Données projet'!$B$16,Paramètres!$A$1:$I$88,7,0))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projet'!$B$16,Paramètres!$A$1:$I$88,3,0)*0.475*44/12</f>
        <v>#N/A</v>
      </c>
      <c r="FR47" s="21" t="e">
        <f>EXP(-LN(2)/25)*FR46+(1-EXP(-LN(2)/25))/(LN(2)/25)*Calculateur!FM47*Calculateur!FO47*VLOOKUP('Données projet'!$B$16,Paramètres!$A$1:$I$88,3,0)*0.475*44/12</f>
        <v>#N/A</v>
      </c>
      <c r="FS47" s="21" t="e">
        <f>EXP(-LN(2)/2)*FS46+(1-EXP(-LN(2)/2))/(LN(2)/2)*FM47*FP47*VLOOKUP('Données projet'!$B$16,Paramètres!$A$1:$I$88,3,0)*0.475*44/12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projet'!$B$17,Paramètres!$A$1:$I$88,3,0)*VLOOKUP('Données projet'!$B$17,Paramètres!$A$1:$I$88,5,0)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projet'!$B$17,Paramètres!$A$1:$I$88,7,0))</f>
        <v>0</v>
      </c>
      <c r="GJ47" s="16">
        <f>IF(ISNA(VLOOKUP(A47,'Données projet'!$A$243:$I$263,6,0)),0%,VLOOKUP(A47,'Données projet'!$A$243:$I$263,6,0)*VLOOKUP('Données projet'!$B$17,Paramètres!$A$1:$I$88,7,0))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projet'!$B$17,Paramètres!$A$1:$I$88,3,0)*0.475*44/12</f>
        <v>#N/A</v>
      </c>
      <c r="GM47" s="21" t="e">
        <f>EXP(-LN(2)/25)*GM46+(1-EXP(-LN(2)/25))/(LN(2)/25)*Calculateur!GH47*Calculateur!GJ47*VLOOKUP('Données projet'!$B$17,Paramètres!$A$1:$I$88,3,0)*0.475*44/12</f>
        <v>#N/A</v>
      </c>
      <c r="GN47" s="21" t="e">
        <f>EXP(-LN(2)/2)*GN46+(1-EXP(-LN(2)/2))/(LN(2)/2)*GH47*GK47*VLOOKUP('Données projet'!$B$17,Paramètres!$A$1:$I$88,3,0)*0.475*44/12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projet'!$B$18,Paramètres!$A$1:$I$88,3,0)*VLOOKUP('Données projet'!$B$18,Paramètres!$A$1:$I$88,5,0)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projet'!$B$18,Paramètres!$A$1:$I$88,7,0))</f>
        <v>0</v>
      </c>
      <c r="HE47" s="16">
        <f>IF(ISNA(VLOOKUP(A47,'Données projet'!$A$269:$I$289,6,0)),0%,VLOOKUP(A47,'Données projet'!$A$269:$I$289,6,0)*VLOOKUP('Données projet'!$B$18,Paramètres!$A$1:$I$88,7,0))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projet'!$B$18,Paramètres!$A$1:$I$88,3,0)*0.475*44/12</f>
        <v>#N/A</v>
      </c>
      <c r="HH47" s="21" t="e">
        <f>EXP(-LN(2)/25)*HH46+(1-EXP(-LN(2)/25))/(LN(2)/25)*Calculateur!HC47*Calculateur!HE47*VLOOKUP('Données projet'!$B$18,Paramètres!$A$1:$I$88,3,0)*0.475*44/12</f>
        <v>#N/A</v>
      </c>
      <c r="HI47" s="21" t="e">
        <f>EXP(-LN(2)/2)*HI46+(1-EXP(-LN(2)/2))/(LN(2)/2)*HC47*HF47*VLOOKUP('Données projet'!$B$18,Paramètres!$A$1:$I$88,3,0)*0.475*44/12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9.8333333333333339</v>
      </c>
      <c r="N48" s="13">
        <f>IF('Données projet'!$A$36&gt;35,N47+M48-V47,IF(A48&lt;'Données projet'!$A$36,$K$205^A48,IF(A48='Données projet'!$A$36,'Données projet'!$B$36,N47+M48-V47)))</f>
        <v>283.16666666666669</v>
      </c>
      <c r="O48" s="13">
        <f>N48*VLOOKUP('Données projet'!$B$9,Paramètres!$A$1:$I$88,3,0)*VLOOKUP('Données projet'!$B$9,Paramètres!$A$1:$I$88,5,0)</f>
        <v>169.33366666666672</v>
      </c>
      <c r="P48" s="13">
        <f t="shared" si="33"/>
        <v>42.940752990888512</v>
      </c>
      <c r="Q48" s="20">
        <f t="shared" si="53"/>
        <v>369.7112809035753</v>
      </c>
      <c r="R48" s="59">
        <f t="shared" si="0"/>
        <v>663.04461423690861</v>
      </c>
      <c r="S48" s="59">
        <f ca="1">AVERAGE(OFFSET($R$3,0,0,'Données projet'!$E$9+1,1))-AVERAGE(OFFSET($H$3,0,0,'Données projet'!$E$9+1,1))</f>
        <v>195.73441209602686</v>
      </c>
      <c r="T48" s="59">
        <f t="shared" si="34"/>
        <v>219.19129224309006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projet'!$B$9,Paramètres!$A$1:$I$88,7,0))</f>
        <v>0</v>
      </c>
      <c r="X48" s="16">
        <f>IF(ISNA(VLOOKUP(A48,'Données projet'!$A$35:$I$55,6,0)),0%,VLOOKUP(A48,'Données projet'!$A$35:$I$55,6,0)*VLOOKUP('Données projet'!$B$9,Paramètres!$A$1:$I$88,7,0))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projet'!$B$9,Paramètres!$A$1:$I$88,3,0)*0.475*44/12</f>
        <v>11.332441113939391</v>
      </c>
      <c r="AA48" s="21">
        <f>EXP(-LN(2)/25)*AA47+(1-EXP(-LN(2)/25))/(LN(2)/25)*Calculateur!V48*Calculateur!X48*VLOOKUP('Données projet'!$B$9,Paramètres!$A$1:$I$88,3,0)*0.475*44/12</f>
        <v>9.340564875288889</v>
      </c>
      <c r="AB48" s="21">
        <f>EXP(-LN(2)/2)*AB47+(1-EXP(-LN(2)/2))/(LN(2)/2)*V48*Y48*VLOOKUP('Données projet'!$B$9,Paramètres!$A$1:$I$88,3,0)*0.475*44/12</f>
        <v>2.1916088699556636E-4</v>
      </c>
      <c r="AC48" s="22">
        <f t="shared" si="3"/>
        <v>20.673225150115275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12.8</v>
      </c>
      <c r="AI48" s="13">
        <f>IF('Données projet'!$A$62&gt;35,AI47+AH48-AQ47,IF(A48&lt;'Données projet'!$A$62,$AF$205^A48,IF(A48='Données projet'!$A$62,'Données projet'!$B$62,AI47+AH48-AQ47)))</f>
        <v>278.99999999999994</v>
      </c>
      <c r="AJ48" s="13">
        <f>AI48*VLOOKUP('Données projet'!$B$10,Paramètres!$A$1:$I$88,3,0)*VLOOKUP('Données projet'!$B$10,Paramètres!$A$1:$I$88,5,0)</f>
        <v>166.84199999999998</v>
      </c>
      <c r="AK48" s="13">
        <f t="shared" si="35"/>
        <v>42.381966615760334</v>
      </c>
      <c r="AL48" s="20">
        <f t="shared" si="4"/>
        <v>364.39840852244924</v>
      </c>
      <c r="AM48" s="59">
        <f t="shared" si="5"/>
        <v>657.7317418557825</v>
      </c>
      <c r="AN48" s="59">
        <f ca="1">AVERAGE(OFFSET($AM$3,0,0,'Données projet'!$E$10+1,1))-AVERAGE(OFFSET($H$3,0,0,'Données projet'!$E$10+1,1))</f>
        <v>246.59447135626942</v>
      </c>
      <c r="AO48" s="59">
        <f t="shared" si="36"/>
        <v>262.00382544285367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projet'!$B$10,Paramètres!$A$1:$I$88,7,0))</f>
        <v>0</v>
      </c>
      <c r="AS48" s="16">
        <f>IF(ISNA(VLOOKUP(A48,'Données projet'!$A$61:$I$81,6,0)),0%,VLOOKUP(A48,'Données projet'!$A$61:$I$81,6,0)*VLOOKUP('Données projet'!$B$10,Paramètres!$A$1:$I$88,7,0))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projet'!$B$10,Paramètres!$A$1:$I$88,3,0)*0.475*44/12</f>
        <v>0</v>
      </c>
      <c r="AV48" s="21">
        <f>EXP(-LN(2)/25)*AV47+(1-EXP(-LN(2)/25))/(LN(2)/25)*Calculateur!AQ48*Calculateur!AS48*VLOOKUP('Données projet'!$B$10,Paramètres!$A$1:$I$88,3,0)*0.475*44/12</f>
        <v>8.4773524521361097</v>
      </c>
      <c r="AW48" s="21">
        <f>EXP(-LN(2)/2)*AW47+(1-EXP(-LN(2)/2))/(LN(2)/2)*AQ48*AT48*VLOOKUP('Données projet'!$B$10,Paramètres!$A$1:$I$88,3,0)*0.475*44/12</f>
        <v>0.13108743187494806</v>
      </c>
      <c r="AX48" s="21">
        <f t="shared" si="6"/>
        <v>8.608439884011057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19.2</v>
      </c>
      <c r="BD48" s="12">
        <f>IF('Données projet'!$A$88&gt;35,BD47+BC48-BL47,IF(A48&lt;'Données projet'!$A$88,$BA$205^A48,IF(A48='Données projet'!$A$88,'Données projet'!$B$88,BD47+BC48-BL47)))</f>
        <v>412.99999999999983</v>
      </c>
      <c r="BE48" s="13">
        <f>BD48*VLOOKUP('Données projet'!$B$11,Paramètres!$A$1:$I$88,3,0)*VLOOKUP('Données projet'!$B$11,Paramètres!$A$1:$I$88,5,0)</f>
        <v>230.8669999999999</v>
      </c>
      <c r="BF48" s="13">
        <f t="shared" si="37"/>
        <v>56.470106131334084</v>
      </c>
      <c r="BG48" s="20">
        <f t="shared" si="7"/>
        <v>500.44545984540667</v>
      </c>
      <c r="BH48" s="59">
        <f t="shared" si="8"/>
        <v>793.77879317873999</v>
      </c>
      <c r="BI48" s="59">
        <f ca="1">AVERAGE(OFFSET($BH$3,0,0,'Données projet'!$E$11+1,1))-AVERAGE(OFFSET($H$3,0,0,'Données projet'!$E$11+1,1))</f>
        <v>355.96253323046608</v>
      </c>
      <c r="BJ48" s="59">
        <f t="shared" si="38"/>
        <v>366.8380442809696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projet'!$B$11,Paramètres!$A$1:$I$88,7,0))</f>
        <v>0</v>
      </c>
      <c r="BN48" s="16">
        <f>IF(ISNA(VLOOKUP(A48,'Données projet'!$A$87:$I$107,6,0)),0%,VLOOKUP(A48,'Données projet'!$A$87:$I$107,6,0)*VLOOKUP('Données projet'!$B$11,Paramètres!$A$1:$I$88,7,0))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projet'!$B$11,Paramètres!$A$1:$I$88,3,0)*0.475*44/12</f>
        <v>0</v>
      </c>
      <c r="BQ48" s="21">
        <f>EXP(-LN(2)/25)*BQ47+(1-EXP(-LN(2)/25))/(LN(2)/25)*Calculateur!BL48*Calculateur!BN48*VLOOKUP('Données projet'!$B$11,Paramètres!$A$1:$I$88,3,0)*0.475*44/12</f>
        <v>15.00926844950485</v>
      </c>
      <c r="BR48" s="21">
        <f>EXP(-LN(2)/2)*BR47+(1-EXP(-LN(2)/2))/(LN(2)/2)*BL48*BO48*VLOOKUP('Données projet'!$B$11,Paramètres!$A$1:$I$88,3,0)*0.475*44/12</f>
        <v>0.20268252928929101</v>
      </c>
      <c r="BS48" s="22">
        <f t="shared" si="9"/>
        <v>15.211950978794141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7.7</v>
      </c>
      <c r="BY48" s="12">
        <f>IF('Données projet'!$A$114&gt;35,BY47+BX48-CG47,IF(A48&lt;'Données projet'!$A$114,$BV$205^A48,IF(A48='Données projet'!$A$114,'Données projet'!$B$114,BY47+BX48-CG47)))</f>
        <v>202.4999999999998</v>
      </c>
      <c r="BZ48" s="13">
        <f>BY48*VLOOKUP('Données projet'!$B$12,Paramètres!$A$1:$I$88,3,0)*VLOOKUP('Données projet'!$B$12,Paramètres!$A$1:$I$88,5,0)</f>
        <v>132.67799999999986</v>
      </c>
      <c r="CA48" s="13">
        <f t="shared" si="39"/>
        <v>34.614430230203716</v>
      </c>
      <c r="CB48" s="20">
        <f t="shared" si="10"/>
        <v>291.3676493176045</v>
      </c>
      <c r="CC48" s="59">
        <f t="shared" si="11"/>
        <v>584.70098265093782</v>
      </c>
      <c r="CD48" s="59">
        <f ca="1">AVERAGE(OFFSET($CC$3,0,0,'Données projet'!$E$12+1,1))-AVERAGE(OFFSET($H$3,0,0,'Données projet'!$E$12+1,1))</f>
        <v>180.90147430936133</v>
      </c>
      <c r="CE48" s="59">
        <f t="shared" si="40"/>
        <v>226.87949199830018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projet'!$B$12,Paramètres!$A$1:$I$88,7,0))</f>
        <v>0</v>
      </c>
      <c r="CI48" s="16">
        <f>IF(ISNA(VLOOKUP(A48,'Données projet'!$A$113:$I$133,6,0)),0%,VLOOKUP(A48,'Données projet'!$A$113:$I$133,6,0)*VLOOKUP('Données projet'!$B$12,Paramètres!$A$1:$I$88,7,0))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projet'!$B$12,Paramètres!$A$1:$I$88,3,0)*0.475*44/12</f>
        <v>0</v>
      </c>
      <c r="CL48" s="21">
        <f>EXP(-LN(2)/25)*CL47+(1-EXP(-LN(2)/25))/(LN(2)/25)*Calculateur!CG48*Calculateur!CI48*VLOOKUP('Données projet'!$B$12,Paramètres!$A$1:$I$88,3,0)*0.475*44/12</f>
        <v>4.5328624951185423</v>
      </c>
      <c r="CM48" s="21">
        <f>EXP(-LN(2)/2)*CM47+(1-EXP(-LN(2)/2))/(LN(2)/2)*CG48*CJ48*VLOOKUP('Données projet'!$B$12,Paramètres!$A$1:$I$88,3,0)*0.475*44/12</f>
        <v>4.8958636407966084E-2</v>
      </c>
      <c r="CN48" s="22">
        <f t="shared" si="12"/>
        <v>4.5818211315265085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5.6843418860808015E-14</v>
      </c>
      <c r="CU48" s="17">
        <f>CT48*VLOOKUP('Données projet'!$B$13,Paramètres!$A$1:$I$88,3,0)*VLOOKUP('Données projet'!$B$13,Paramètres!$A$1:$I$88,5,0)</f>
        <v>2.8908289095852525E-14</v>
      </c>
      <c r="CV48" s="13">
        <f t="shared" si="41"/>
        <v>5.0177780569126974E-13</v>
      </c>
      <c r="CW48" s="20">
        <f t="shared" si="13"/>
        <v>9.2427828175423786E-13</v>
      </c>
      <c r="CX48" s="59">
        <f t="shared" si="14"/>
        <v>293.33333333333422</v>
      </c>
      <c r="CY48" s="59">
        <f ca="1">AVERAGE(OFFSET($CX$3,0,0,'Données projet'!$E$13+1,1))-AVERAGE(OFFSET($H$3,0,0,'Données projet'!$E$13+1,1))</f>
        <v>133.08385802816008</v>
      </c>
      <c r="CZ48" s="59">
        <f t="shared" si="42"/>
        <v>316.59112511251385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projet'!$B$13,Paramètres!$A$1:$I$88,7,0))</f>
        <v>0</v>
      </c>
      <c r="DD48" s="16">
        <f>IF(ISNA(VLOOKUP(A48,'Données projet'!$A$139:$I$159,6,0)),0%,VLOOKUP(A48,'Données projet'!$A$139:$I$159,6,0)*VLOOKUP('Données projet'!$B$13,Paramètres!$A$1:$I$88,7,0))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projet'!$B$13,Paramètres!$A$1:$I$88,3,0)*0.475*44/12</f>
        <v>53.648878783843024</v>
      </c>
      <c r="DG48" s="21">
        <f>EXP(-LN(2)/25)*DG47+(1-EXP(-LN(2)/25))/(LN(2)/25)*Calculateur!DB48*Calculateur!DD48*VLOOKUP('Données projet'!$B$13,Paramètres!$A$1:$I$88,3,0)*0.475*44/12</f>
        <v>0</v>
      </c>
      <c r="DH48" s="21">
        <f>EXP(-LN(2)/2)*DH47+(1-EXP(-LN(2)/2))/(LN(2)/2)*DB48*DE48*VLOOKUP('Données projet'!$B$13,Paramètres!$A$1:$I$88,3,0)*0.475*44/12</f>
        <v>3.1236462479618993E-2</v>
      </c>
      <c r="DI48" s="22">
        <f t="shared" si="15"/>
        <v>53.680115246322643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projet'!$B$14,Paramètres!$A$1:$I$88,3,0)*VLOOKUP('Données projet'!$B$14,Paramètres!$A$1:$I$88,5,0)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projet'!$B$14,Paramètres!$A$1:$I$88,7,0))</f>
        <v>0</v>
      </c>
      <c r="DY48" s="16">
        <f>IF(ISNA(VLOOKUP(A48,'Données projet'!$A$165:$I$185,6,0)),0%,VLOOKUP(A48,'Données projet'!$A$165:$I$185,6,0)*VLOOKUP('Données projet'!$B$14,Paramètres!$A$1:$I$88,7,0))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projet'!$B$14,Paramètres!$A$1:$I$88,3,0)*0.475*44/12</f>
        <v>#N/A</v>
      </c>
      <c r="EB48" s="21" t="e">
        <f>EXP(-LN(2)/25)*EB47+(1-EXP(-LN(2)/25))/(LN(2)/25)*Calculateur!DW48*Calculateur!DY48*VLOOKUP('Données projet'!$B$14,Paramètres!$A$1:$I$88,3,0)*0.475*44/12</f>
        <v>#N/A</v>
      </c>
      <c r="EC48" s="21" t="e">
        <f>EXP(-LN(2)/2)*EC47+(1-EXP(-LN(2)/2))/(LN(2)/2)*DW48*DZ48*VLOOKUP('Données projet'!$B$14,Paramètres!$A$1:$I$88,3,0)*0.475*44/12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projet'!$B$15,Paramètres!$A$1:$I$88,3,0)*VLOOKUP('Données projet'!$B$15,Paramètres!$A$1:$I$88,5,0)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projet'!$B$15,Paramètres!$A$1:$I$88,7,0))</f>
        <v>0</v>
      </c>
      <c r="ET48" s="16">
        <f>IF(ISNA(VLOOKUP(A48,'Données projet'!$A$191:$I$211,6,0)),0%,VLOOKUP(A48,'Données projet'!$A$191:$I$211,6,0)*VLOOKUP('Données projet'!$B$15,Paramètres!$A$1:$I$88,7,0))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projet'!$B$15,Paramètres!$A$1:$I$88,3,0)*0.475*44/12</f>
        <v>#N/A</v>
      </c>
      <c r="EW48" s="21" t="e">
        <f>EXP(-LN(2)/25)*EW47+(1-EXP(-LN(2)/25))/(LN(2)/25)*Calculateur!ER48*Calculateur!ET48*VLOOKUP('Données projet'!$B$15,Paramètres!$A$1:$I$88,3,0)*0.475*44/12</f>
        <v>#N/A</v>
      </c>
      <c r="EX48" s="21" t="e">
        <f>EXP(-LN(2)/2)*EX47+(1-EXP(-LN(2)/2))/(LN(2)/2)*ER48*EU48*VLOOKUP('Données projet'!$B$15,Paramètres!$A$1:$I$88,3,0)*0.475*44/12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projet'!$B$16,Paramètres!$A$1:$I$88,3,0)*VLOOKUP('Données projet'!$B$16,Paramètres!$A$1:$I$88,5,0)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projet'!$B$16,Paramètres!$A$1:$I$88,7,0))</f>
        <v>0</v>
      </c>
      <c r="FO48" s="16">
        <f>IF(ISNA(VLOOKUP(A48,'Données projet'!$A$217:$I$237,6,0)),0%,VLOOKUP(A48,'Données projet'!$A$217:$I$237,6,0)*VLOOKUP('Données projet'!$B$16,Paramètres!$A$1:$I$88,7,0))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projet'!$B$16,Paramètres!$A$1:$I$88,3,0)*0.475*44/12</f>
        <v>#N/A</v>
      </c>
      <c r="FR48" s="21" t="e">
        <f>EXP(-LN(2)/25)*FR47+(1-EXP(-LN(2)/25))/(LN(2)/25)*Calculateur!FM48*Calculateur!FO48*VLOOKUP('Données projet'!$B$16,Paramètres!$A$1:$I$88,3,0)*0.475*44/12</f>
        <v>#N/A</v>
      </c>
      <c r="FS48" s="21" t="e">
        <f>EXP(-LN(2)/2)*FS47+(1-EXP(-LN(2)/2))/(LN(2)/2)*FM48*FP48*VLOOKUP('Données projet'!$B$16,Paramètres!$A$1:$I$88,3,0)*0.475*44/12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projet'!$B$17,Paramètres!$A$1:$I$88,3,0)*VLOOKUP('Données projet'!$B$17,Paramètres!$A$1:$I$88,5,0)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projet'!$B$17,Paramètres!$A$1:$I$88,7,0))</f>
        <v>0</v>
      </c>
      <c r="GJ48" s="16">
        <f>IF(ISNA(VLOOKUP(A48,'Données projet'!$A$243:$I$263,6,0)),0%,VLOOKUP(A48,'Données projet'!$A$243:$I$263,6,0)*VLOOKUP('Données projet'!$B$17,Paramètres!$A$1:$I$88,7,0))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projet'!$B$17,Paramètres!$A$1:$I$88,3,0)*0.475*44/12</f>
        <v>#N/A</v>
      </c>
      <c r="GM48" s="21" t="e">
        <f>EXP(-LN(2)/25)*GM47+(1-EXP(-LN(2)/25))/(LN(2)/25)*Calculateur!GH48*Calculateur!GJ48*VLOOKUP('Données projet'!$B$17,Paramètres!$A$1:$I$88,3,0)*0.475*44/12</f>
        <v>#N/A</v>
      </c>
      <c r="GN48" s="21" t="e">
        <f>EXP(-LN(2)/2)*GN47+(1-EXP(-LN(2)/2))/(LN(2)/2)*GH48*GK48*VLOOKUP('Données projet'!$B$17,Paramètres!$A$1:$I$88,3,0)*0.475*44/12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projet'!$B$18,Paramètres!$A$1:$I$88,3,0)*VLOOKUP('Données projet'!$B$18,Paramètres!$A$1:$I$88,5,0)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projet'!$B$18,Paramètres!$A$1:$I$88,7,0))</f>
        <v>0</v>
      </c>
      <c r="HE48" s="16">
        <f>IF(ISNA(VLOOKUP(A48,'Données projet'!$A$269:$I$289,6,0)),0%,VLOOKUP(A48,'Données projet'!$A$269:$I$289,6,0)*VLOOKUP('Données projet'!$B$18,Paramètres!$A$1:$I$88,7,0))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projet'!$B$18,Paramètres!$A$1:$I$88,3,0)*0.475*44/12</f>
        <v>#N/A</v>
      </c>
      <c r="HH48" s="21" t="e">
        <f>EXP(-LN(2)/25)*HH47+(1-EXP(-LN(2)/25))/(LN(2)/25)*Calculateur!HC48*Calculateur!HE48*VLOOKUP('Données projet'!$B$18,Paramètres!$A$1:$I$88,3,0)*0.475*44/12</f>
        <v>#N/A</v>
      </c>
      <c r="HI48" s="21" t="e">
        <f>EXP(-LN(2)/2)*HI47+(1-EXP(-LN(2)/2))/(LN(2)/2)*HC48*HF48*VLOOKUP('Données projet'!$B$18,Paramètres!$A$1:$I$88,3,0)*0.475*44/12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293</v>
      </c>
      <c r="L49" s="12">
        <f>VLOOKUP(A49,'Données projet'!$A$35:$I$55,9,0)</f>
        <v>9.8333333333333339</v>
      </c>
      <c r="M49" s="12">
        <f t="array" ref="M49">INDEX(L:L,MIN(IF(ISNUMBER(L49:L245),ROW(L49:L245),"")))</f>
        <v>9.8333333333333339</v>
      </c>
      <c r="N49" s="13">
        <f>IF('Données projet'!$A$36&gt;35,N48+M49-V48,IF(A49&lt;'Données projet'!$A$36,$K$205^A49,IF(A49='Données projet'!$A$36,'Données projet'!$B$36,N48+M49-V48)))</f>
        <v>293</v>
      </c>
      <c r="O49" s="13">
        <f>N49*VLOOKUP('Données projet'!$B$9,Paramètres!$A$1:$I$88,3,0)*VLOOKUP('Données projet'!$B$9,Paramètres!$A$1:$I$88,5,0)</f>
        <v>175.214</v>
      </c>
      <c r="P49" s="13">
        <f t="shared" si="33"/>
        <v>44.255725061661991</v>
      </c>
      <c r="Q49" s="20">
        <f t="shared" si="53"/>
        <v>382.24310448239459</v>
      </c>
      <c r="R49" s="59">
        <f t="shared" si="0"/>
        <v>675.5764378157279</v>
      </c>
      <c r="S49" s="59">
        <f ca="1">AVERAGE(OFFSET($R$3,0,0,'Données projet'!$E$9+1,1))-AVERAGE(OFFSET($H$3,0,0,'Données projet'!$E$9+1,1))</f>
        <v>195.73441209602686</v>
      </c>
      <c r="T49" s="59">
        <f t="shared" si="34"/>
        <v>219.19129224309006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29</v>
      </c>
      <c r="W49" s="16">
        <f>IF(ISNA(VLOOKUP(A49,'Données projet'!$A$35:$I$55,5,0)),0%,VLOOKUP(A49,'Données projet'!$A$35:$I$55,5,0)*VLOOKUP('Données projet'!$B$9,Paramètres!$A$1:$I$88,7,0))</f>
        <v>0</v>
      </c>
      <c r="X49" s="16">
        <f>IF(ISNA(VLOOKUP(A49,'Données projet'!$A$35:$I$55,6,0)),0%,VLOOKUP(A49,'Données projet'!$A$35:$I$55,6,0)*VLOOKUP('Données projet'!$B$9,Paramètres!$A$1:$I$88,7,0))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projet'!$B$9,Paramètres!$A$1:$I$88,3,0)*0.475*44/12</f>
        <v>11.110218855801605</v>
      </c>
      <c r="AA49" s="21">
        <f>EXP(-LN(2)/25)*AA48+(1-EXP(-LN(2)/25))/(LN(2)/25)*Calculateur!V49*Calculateur!X49*VLOOKUP('Données projet'!$B$9,Paramètres!$A$1:$I$88,3,0)*0.475*44/12</f>
        <v>9.0851466375751553</v>
      </c>
      <c r="AB49" s="21">
        <f>EXP(-LN(2)/2)*AB48+(1-EXP(-LN(2)/2))/(LN(2)/2)*V49*Y49*VLOOKUP('Données projet'!$B$9,Paramètres!$A$1:$I$88,3,0)*0.475*44/12</f>
        <v>1.5497014936542361E-4</v>
      </c>
      <c r="AC49" s="22">
        <f t="shared" si="3"/>
        <v>20.195520463526126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12.8</v>
      </c>
      <c r="AI49" s="13">
        <f>IF('Données projet'!$A$62&gt;35,AI48+AH49-AQ48,IF(A49&lt;'Données projet'!$A$62,$AF$205^A49,IF(A49='Données projet'!$A$62,'Données projet'!$B$62,AI48+AH49-AQ48)))</f>
        <v>291.79999999999995</v>
      </c>
      <c r="AJ49" s="13">
        <f>AI49*VLOOKUP('Données projet'!$B$10,Paramètres!$A$1:$I$88,3,0)*VLOOKUP('Données projet'!$B$10,Paramètres!$A$1:$I$88,5,0)</f>
        <v>174.49639999999999</v>
      </c>
      <c r="AK49" s="13">
        <f t="shared" si="35"/>
        <v>44.095532458716939</v>
      </c>
      <c r="AL49" s="20">
        <f t="shared" si="4"/>
        <v>380.71428236559865</v>
      </c>
      <c r="AM49" s="59">
        <f t="shared" si="5"/>
        <v>674.04761569893196</v>
      </c>
      <c r="AN49" s="59">
        <f ca="1">AVERAGE(OFFSET($AM$3,0,0,'Données projet'!$E$10+1,1))-AVERAGE(OFFSET($H$3,0,0,'Données projet'!$E$10+1,1))</f>
        <v>246.59447135626942</v>
      </c>
      <c r="AO49" s="59">
        <f t="shared" si="36"/>
        <v>262.00382544285367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projet'!$B$10,Paramètres!$A$1:$I$88,7,0))</f>
        <v>0</v>
      </c>
      <c r="AS49" s="16">
        <f>IF(ISNA(VLOOKUP(A49,'Données projet'!$A$61:$I$81,6,0)),0%,VLOOKUP(A49,'Données projet'!$A$61:$I$81,6,0)*VLOOKUP('Données projet'!$B$10,Paramètres!$A$1:$I$88,7,0))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projet'!$B$10,Paramètres!$A$1:$I$88,3,0)*0.475*44/12</f>
        <v>0</v>
      </c>
      <c r="AV49" s="21">
        <f>EXP(-LN(2)/25)*AV48+(1-EXP(-LN(2)/25))/(LN(2)/25)*Calculateur!AQ49*Calculateur!AS49*VLOOKUP('Données projet'!$B$10,Paramètres!$A$1:$I$88,3,0)*0.475*44/12</f>
        <v>8.2455388035278574</v>
      </c>
      <c r="AW49" s="21">
        <f>EXP(-LN(2)/2)*AW48+(1-EXP(-LN(2)/2))/(LN(2)/2)*AQ49*AT49*VLOOKUP('Données projet'!$B$10,Paramètres!$A$1:$I$88,3,0)*0.475*44/12</f>
        <v>9.2692812007105357E-2</v>
      </c>
      <c r="AX49" s="21">
        <f t="shared" si="6"/>
        <v>8.3382316155349621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19.2</v>
      </c>
      <c r="BD49" s="12">
        <f>IF('Données projet'!$A$88&gt;35,BD48+BC49-BL48,IF(A49&lt;'Données projet'!$A$88,$BA$205^A49,IF(A49='Données projet'!$A$88,'Données projet'!$B$88,BD48+BC49-BL48)))</f>
        <v>432.19999999999982</v>
      </c>
      <c r="BE49" s="13">
        <f>BD49*VLOOKUP('Données projet'!$B$11,Paramètres!$A$1:$I$88,3,0)*VLOOKUP('Données projet'!$B$11,Paramètres!$A$1:$I$88,5,0)</f>
        <v>241.5997999999999</v>
      </c>
      <c r="BF49" s="13">
        <f t="shared" si="37"/>
        <v>58.783602040793284</v>
      </c>
      <c r="BG49" s="20">
        <f t="shared" si="7"/>
        <v>523.16775855438141</v>
      </c>
      <c r="BH49" s="59">
        <f t="shared" si="8"/>
        <v>816.50109188771467</v>
      </c>
      <c r="BI49" s="59">
        <f ca="1">AVERAGE(OFFSET($BH$3,0,0,'Données projet'!$E$11+1,1))-AVERAGE(OFFSET($H$3,0,0,'Données projet'!$E$11+1,1))</f>
        <v>355.96253323046608</v>
      </c>
      <c r="BJ49" s="59">
        <f t="shared" si="38"/>
        <v>366.8380442809696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projet'!$B$11,Paramètres!$A$1:$I$88,7,0))</f>
        <v>0</v>
      </c>
      <c r="BN49" s="16">
        <f>IF(ISNA(VLOOKUP(A49,'Données projet'!$A$87:$I$107,6,0)),0%,VLOOKUP(A49,'Données projet'!$A$87:$I$107,6,0)*VLOOKUP('Données projet'!$B$11,Paramètres!$A$1:$I$88,7,0))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projet'!$B$11,Paramètres!$A$1:$I$88,3,0)*0.475*44/12</f>
        <v>0</v>
      </c>
      <c r="BQ49" s="21">
        <f>EXP(-LN(2)/25)*BQ48+(1-EXP(-LN(2)/25))/(LN(2)/25)*Calculateur!BL49*Calculateur!BN49*VLOOKUP('Données projet'!$B$11,Paramètres!$A$1:$I$88,3,0)*0.475*44/12</f>
        <v>14.598839214450017</v>
      </c>
      <c r="BR49" s="21">
        <f>EXP(-LN(2)/2)*BR48+(1-EXP(-LN(2)/2))/(LN(2)/2)*BL49*BO49*VLOOKUP('Données projet'!$B$11,Paramètres!$A$1:$I$88,3,0)*0.475*44/12</f>
        <v>0.1433181908884987</v>
      </c>
      <c r="BS49" s="22">
        <f t="shared" si="9"/>
        <v>14.742157405338515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7.7</v>
      </c>
      <c r="BY49" s="12">
        <f>IF('Données projet'!$A$114&gt;35,BY48+BX49-CG48,IF(A49&lt;'Données projet'!$A$114,$BV$205^A49,IF(A49='Données projet'!$A$114,'Données projet'!$B$114,BY48+BX49-CG48)))</f>
        <v>210.19999999999979</v>
      </c>
      <c r="BZ49" s="13">
        <f>BY49*VLOOKUP('Données projet'!$B$12,Paramètres!$A$1:$I$88,3,0)*VLOOKUP('Données projet'!$B$12,Paramètres!$A$1:$I$88,5,0)</f>
        <v>137.72303999999986</v>
      </c>
      <c r="CA49" s="13">
        <f t="shared" si="39"/>
        <v>35.774889172094682</v>
      </c>
      <c r="CB49" s="20">
        <f t="shared" si="10"/>
        <v>302.1755599747313</v>
      </c>
      <c r="CC49" s="59">
        <f t="shared" si="11"/>
        <v>595.50889330806467</v>
      </c>
      <c r="CD49" s="59">
        <f ca="1">AVERAGE(OFFSET($CC$3,0,0,'Données projet'!$E$12+1,1))-AVERAGE(OFFSET($H$3,0,0,'Données projet'!$E$12+1,1))</f>
        <v>180.90147430936133</v>
      </c>
      <c r="CE49" s="59">
        <f t="shared" si="40"/>
        <v>226.87949199830018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projet'!$B$12,Paramètres!$A$1:$I$88,7,0))</f>
        <v>0</v>
      </c>
      <c r="CI49" s="16">
        <f>IF(ISNA(VLOOKUP(A49,'Données projet'!$A$113:$I$133,6,0)),0%,VLOOKUP(A49,'Données projet'!$A$113:$I$133,6,0)*VLOOKUP('Données projet'!$B$12,Paramètres!$A$1:$I$88,7,0))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projet'!$B$12,Paramètres!$A$1:$I$88,3,0)*0.475*44/12</f>
        <v>0</v>
      </c>
      <c r="CL49" s="21">
        <f>EXP(-LN(2)/25)*CL48+(1-EXP(-LN(2)/25))/(LN(2)/25)*Calculateur!CG49*Calculateur!CI49*VLOOKUP('Données projet'!$B$12,Paramètres!$A$1:$I$88,3,0)*0.475*44/12</f>
        <v>4.4089111318166472</v>
      </c>
      <c r="CM49" s="21">
        <f>EXP(-LN(2)/2)*CM48+(1-EXP(-LN(2)/2))/(LN(2)/2)*CG49*CJ49*VLOOKUP('Données projet'!$B$12,Paramètres!$A$1:$I$88,3,0)*0.475*44/12</f>
        <v>3.4618983801719412E-2</v>
      </c>
      <c r="CN49" s="22">
        <f t="shared" si="12"/>
        <v>4.4435301156183664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5.6843418860808015E-14</v>
      </c>
      <c r="CU49" s="17">
        <f>CT49*VLOOKUP('Données projet'!$B$13,Paramètres!$A$1:$I$88,3,0)*VLOOKUP('Données projet'!$B$13,Paramètres!$A$1:$I$88,5,0)</f>
        <v>2.8908289095852525E-14</v>
      </c>
      <c r="CV49" s="13">
        <f t="shared" si="41"/>
        <v>5.0177780569126974E-13</v>
      </c>
      <c r="CW49" s="20">
        <f t="shared" si="13"/>
        <v>9.2427828175423786E-13</v>
      </c>
      <c r="CX49" s="59">
        <f t="shared" si="14"/>
        <v>293.33333333333422</v>
      </c>
      <c r="CY49" s="59">
        <f ca="1">AVERAGE(OFFSET($CX$3,0,0,'Données projet'!$E$13+1,1))-AVERAGE(OFFSET($H$3,0,0,'Données projet'!$E$13+1,1))</f>
        <v>133.08385802816008</v>
      </c>
      <c r="CZ49" s="59">
        <f t="shared" si="42"/>
        <v>316.59112511251385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projet'!$B$13,Paramètres!$A$1:$I$88,7,0))</f>
        <v>0</v>
      </c>
      <c r="DD49" s="16">
        <f>IF(ISNA(VLOOKUP(A49,'Données projet'!$A$139:$I$159,6,0)),0%,VLOOKUP(A49,'Données projet'!$A$139:$I$159,6,0)*VLOOKUP('Données projet'!$B$13,Paramètres!$A$1:$I$88,7,0))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projet'!$B$13,Paramètres!$A$1:$I$88,3,0)*0.475*44/12</f>
        <v>52.596856993476834</v>
      </c>
      <c r="DG49" s="21">
        <f>EXP(-LN(2)/25)*DG48+(1-EXP(-LN(2)/25))/(LN(2)/25)*Calculateur!DB49*Calculateur!DD49*VLOOKUP('Données projet'!$B$13,Paramètres!$A$1:$I$88,3,0)*0.475*44/12</f>
        <v>0</v>
      </c>
      <c r="DH49" s="21">
        <f>EXP(-LN(2)/2)*DH48+(1-EXP(-LN(2)/2))/(LN(2)/2)*DB49*DE49*VLOOKUP('Données projet'!$B$13,Paramètres!$A$1:$I$88,3,0)*0.475*44/12</f>
        <v>2.2087514439617751E-2</v>
      </c>
      <c r="DI49" s="22">
        <f t="shared" si="15"/>
        <v>52.618944507916453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projet'!$B$14,Paramètres!$A$1:$I$88,3,0)*VLOOKUP('Données projet'!$B$14,Paramètres!$A$1:$I$88,5,0)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projet'!$B$14,Paramètres!$A$1:$I$88,7,0))</f>
        <v>0</v>
      </c>
      <c r="DY49" s="16">
        <f>IF(ISNA(VLOOKUP(A49,'Données projet'!$A$165:$I$185,6,0)),0%,VLOOKUP(A49,'Données projet'!$A$165:$I$185,6,0)*VLOOKUP('Données projet'!$B$14,Paramètres!$A$1:$I$88,7,0))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projet'!$B$14,Paramètres!$A$1:$I$88,3,0)*0.475*44/12</f>
        <v>#N/A</v>
      </c>
      <c r="EB49" s="21" t="e">
        <f>EXP(-LN(2)/25)*EB48+(1-EXP(-LN(2)/25))/(LN(2)/25)*Calculateur!DW49*Calculateur!DY49*VLOOKUP('Données projet'!$B$14,Paramètres!$A$1:$I$88,3,0)*0.475*44/12</f>
        <v>#N/A</v>
      </c>
      <c r="EC49" s="21" t="e">
        <f>EXP(-LN(2)/2)*EC48+(1-EXP(-LN(2)/2))/(LN(2)/2)*DW49*DZ49*VLOOKUP('Données projet'!$B$14,Paramètres!$A$1:$I$88,3,0)*0.475*44/12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projet'!$B$15,Paramètres!$A$1:$I$88,3,0)*VLOOKUP('Données projet'!$B$15,Paramètres!$A$1:$I$88,5,0)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projet'!$B$15,Paramètres!$A$1:$I$88,7,0))</f>
        <v>0</v>
      </c>
      <c r="ET49" s="16">
        <f>IF(ISNA(VLOOKUP(A49,'Données projet'!$A$191:$I$211,6,0)),0%,VLOOKUP(A49,'Données projet'!$A$191:$I$211,6,0)*VLOOKUP('Données projet'!$B$15,Paramètres!$A$1:$I$88,7,0))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projet'!$B$15,Paramètres!$A$1:$I$88,3,0)*0.475*44/12</f>
        <v>#N/A</v>
      </c>
      <c r="EW49" s="21" t="e">
        <f>EXP(-LN(2)/25)*EW48+(1-EXP(-LN(2)/25))/(LN(2)/25)*Calculateur!ER49*Calculateur!ET49*VLOOKUP('Données projet'!$B$15,Paramètres!$A$1:$I$88,3,0)*0.475*44/12</f>
        <v>#N/A</v>
      </c>
      <c r="EX49" s="21" t="e">
        <f>EXP(-LN(2)/2)*EX48+(1-EXP(-LN(2)/2))/(LN(2)/2)*ER49*EU49*VLOOKUP('Données projet'!$B$15,Paramètres!$A$1:$I$88,3,0)*0.475*44/12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projet'!$B$16,Paramètres!$A$1:$I$88,3,0)*VLOOKUP('Données projet'!$B$16,Paramètres!$A$1:$I$88,5,0)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projet'!$B$16,Paramètres!$A$1:$I$88,7,0))</f>
        <v>0</v>
      </c>
      <c r="FO49" s="16">
        <f>IF(ISNA(VLOOKUP(A49,'Données projet'!$A$217:$I$237,6,0)),0%,VLOOKUP(A49,'Données projet'!$A$217:$I$237,6,0)*VLOOKUP('Données projet'!$B$16,Paramètres!$A$1:$I$88,7,0))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projet'!$B$16,Paramètres!$A$1:$I$88,3,0)*0.475*44/12</f>
        <v>#N/A</v>
      </c>
      <c r="FR49" s="21" t="e">
        <f>EXP(-LN(2)/25)*FR48+(1-EXP(-LN(2)/25))/(LN(2)/25)*Calculateur!FM49*Calculateur!FO49*VLOOKUP('Données projet'!$B$16,Paramètres!$A$1:$I$88,3,0)*0.475*44/12</f>
        <v>#N/A</v>
      </c>
      <c r="FS49" s="21" t="e">
        <f>EXP(-LN(2)/2)*FS48+(1-EXP(-LN(2)/2))/(LN(2)/2)*FM49*FP49*VLOOKUP('Données projet'!$B$16,Paramètres!$A$1:$I$88,3,0)*0.475*44/12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projet'!$B$17,Paramètres!$A$1:$I$88,3,0)*VLOOKUP('Données projet'!$B$17,Paramètres!$A$1:$I$88,5,0)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projet'!$B$17,Paramètres!$A$1:$I$88,7,0))</f>
        <v>0</v>
      </c>
      <c r="GJ49" s="16">
        <f>IF(ISNA(VLOOKUP(A49,'Données projet'!$A$243:$I$263,6,0)),0%,VLOOKUP(A49,'Données projet'!$A$243:$I$263,6,0)*VLOOKUP('Données projet'!$B$17,Paramètres!$A$1:$I$88,7,0))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projet'!$B$17,Paramètres!$A$1:$I$88,3,0)*0.475*44/12</f>
        <v>#N/A</v>
      </c>
      <c r="GM49" s="21" t="e">
        <f>EXP(-LN(2)/25)*GM48+(1-EXP(-LN(2)/25))/(LN(2)/25)*Calculateur!GH49*Calculateur!GJ49*VLOOKUP('Données projet'!$B$17,Paramètres!$A$1:$I$88,3,0)*0.475*44/12</f>
        <v>#N/A</v>
      </c>
      <c r="GN49" s="21" t="e">
        <f>EXP(-LN(2)/2)*GN48+(1-EXP(-LN(2)/2))/(LN(2)/2)*GH49*GK49*VLOOKUP('Données projet'!$B$17,Paramètres!$A$1:$I$88,3,0)*0.475*44/12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projet'!$B$18,Paramètres!$A$1:$I$88,3,0)*VLOOKUP('Données projet'!$B$18,Paramètres!$A$1:$I$88,5,0)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projet'!$B$18,Paramètres!$A$1:$I$88,7,0))</f>
        <v>0</v>
      </c>
      <c r="HE49" s="16">
        <f>IF(ISNA(VLOOKUP(A49,'Données projet'!$A$269:$I$289,6,0)),0%,VLOOKUP(A49,'Données projet'!$A$269:$I$289,6,0)*VLOOKUP('Données projet'!$B$18,Paramètres!$A$1:$I$88,7,0))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projet'!$B$18,Paramètres!$A$1:$I$88,3,0)*0.475*44/12</f>
        <v>#N/A</v>
      </c>
      <c r="HH49" s="21" t="e">
        <f>EXP(-LN(2)/25)*HH48+(1-EXP(-LN(2)/25))/(LN(2)/25)*Calculateur!HC49*Calculateur!HE49*VLOOKUP('Données projet'!$B$18,Paramètres!$A$1:$I$88,3,0)*0.475*44/12</f>
        <v>#N/A</v>
      </c>
      <c r="HI49" s="21" t="e">
        <f>EXP(-LN(2)/2)*HI48+(1-EXP(-LN(2)/2))/(LN(2)/2)*HC49*HF49*VLOOKUP('Données projet'!$B$18,Paramètres!$A$1:$I$88,3,0)*0.475*44/12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5.875</v>
      </c>
      <c r="N50" s="13">
        <f>IF('Données projet'!$A$36&gt;35,N49+M50-V49,IF(A50&lt;'Données projet'!$A$36,$K$205^A50,IF(A50='Données projet'!$A$36,'Données projet'!$B$36,N49+M50-V49)))</f>
        <v>269.875</v>
      </c>
      <c r="O50" s="13">
        <f>N50*VLOOKUP('Données projet'!$B$9,Paramètres!$A$1:$I$88,3,0)*VLOOKUP('Données projet'!$B$9,Paramètres!$A$1:$I$88,5,0)</f>
        <v>161.38525000000001</v>
      </c>
      <c r="P50" s="13">
        <f t="shared" si="33"/>
        <v>41.154805478559268</v>
      </c>
      <c r="Q50" s="20">
        <f t="shared" si="53"/>
        <v>352.75726329182407</v>
      </c>
      <c r="R50" s="59">
        <f t="shared" si="0"/>
        <v>646.09059662515733</v>
      </c>
      <c r="S50" s="59">
        <f ca="1">AVERAGE(OFFSET($R$3,0,0,'Données projet'!$E$9+1,1))-AVERAGE(OFFSET($H$3,0,0,'Données projet'!$E$9+1,1))</f>
        <v>195.73441209602686</v>
      </c>
      <c r="T50" s="59">
        <f t="shared" si="34"/>
        <v>219.19129224309006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projet'!$B$9,Paramètres!$A$1:$I$88,7,0))</f>
        <v>0</v>
      </c>
      <c r="X50" s="16">
        <f>IF(ISNA(VLOOKUP(A50,'Données projet'!$A$35:$I$55,6,0)),0%,VLOOKUP(A50,'Données projet'!$A$35:$I$55,6,0)*VLOOKUP('Données projet'!$B$9,Paramètres!$A$1:$I$88,7,0))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projet'!$B$9,Paramètres!$A$1:$I$88,3,0)*0.475*44/12</f>
        <v>10.892354240603707</v>
      </c>
      <c r="AA50" s="21">
        <f>EXP(-LN(2)/25)*AA49+(1-EXP(-LN(2)/25))/(LN(2)/25)*Calculateur!V50*Calculateur!X50*VLOOKUP('Données projet'!$B$9,Paramètres!$A$1:$I$88,3,0)*0.475*44/12</f>
        <v>8.8367128250035663</v>
      </c>
      <c r="AB50" s="21">
        <f>EXP(-LN(2)/2)*AB49+(1-EXP(-LN(2)/2))/(LN(2)/2)*V50*Y50*VLOOKUP('Données projet'!$B$9,Paramètres!$A$1:$I$88,3,0)*0.475*44/12</f>
        <v>1.0958044349778318E-4</v>
      </c>
      <c r="AC50" s="22">
        <f t="shared" si="3"/>
        <v>19.729176646050771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12.8</v>
      </c>
      <c r="AI50" s="13">
        <f>IF('Données projet'!$A$62&gt;35,AI49+AH50-AQ49,IF(A50&lt;'Données projet'!$A$62,$AF$205^A50,IF(A50='Données projet'!$A$62,'Données projet'!$B$62,AI49+AH50-AQ49)))</f>
        <v>304.59999999999997</v>
      </c>
      <c r="AJ50" s="13">
        <f>AI50*VLOOKUP('Données projet'!$B$10,Paramètres!$A$1:$I$88,3,0)*VLOOKUP('Données projet'!$B$10,Paramètres!$A$1:$I$88,5,0)</f>
        <v>182.15079999999998</v>
      </c>
      <c r="AK50" s="13">
        <f t="shared" si="35"/>
        <v>45.800368240506849</v>
      </c>
      <c r="AL50" s="20">
        <f t="shared" si="4"/>
        <v>397.01495135221603</v>
      </c>
      <c r="AM50" s="59">
        <f t="shared" si="5"/>
        <v>690.34828468554929</v>
      </c>
      <c r="AN50" s="59">
        <f ca="1">AVERAGE(OFFSET($AM$3,0,0,'Données projet'!$E$10+1,1))-AVERAGE(OFFSET($H$3,0,0,'Données projet'!$E$10+1,1))</f>
        <v>246.59447135626942</v>
      </c>
      <c r="AO50" s="59">
        <f t="shared" si="36"/>
        <v>262.00382544285367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projet'!$B$10,Paramètres!$A$1:$I$88,7,0))</f>
        <v>0</v>
      </c>
      <c r="AS50" s="16">
        <f>IF(ISNA(VLOOKUP(A50,'Données projet'!$A$61:$I$81,6,0)),0%,VLOOKUP(A50,'Données projet'!$A$61:$I$81,6,0)*VLOOKUP('Données projet'!$B$10,Paramètres!$A$1:$I$88,7,0))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projet'!$B$10,Paramètres!$A$1:$I$88,3,0)*0.475*44/12</f>
        <v>0</v>
      </c>
      <c r="AV50" s="21">
        <f>EXP(-LN(2)/25)*AV49+(1-EXP(-LN(2)/25))/(LN(2)/25)*Calculateur!AQ50*Calculateur!AS50*VLOOKUP('Données projet'!$B$10,Paramètres!$A$1:$I$88,3,0)*0.475*44/12</f>
        <v>8.0200641113313473</v>
      </c>
      <c r="AW50" s="21">
        <f>EXP(-LN(2)/2)*AW49+(1-EXP(-LN(2)/2))/(LN(2)/2)*AQ50*AT50*VLOOKUP('Données projet'!$B$10,Paramètres!$A$1:$I$88,3,0)*0.475*44/12</f>
        <v>6.5543715937474031E-2</v>
      </c>
      <c r="AX50" s="21">
        <f t="shared" si="6"/>
        <v>8.0856078272688219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19.2</v>
      </c>
      <c r="BD50" s="12">
        <f>IF('Données projet'!$A$88&gt;35,BD49+BC50-BL49,IF(A50&lt;'Données projet'!$A$88,$BA$205^A50,IF(A50='Données projet'!$A$88,'Données projet'!$B$88,BD49+BC50-BL49)))</f>
        <v>451.39999999999981</v>
      </c>
      <c r="BE50" s="13">
        <f>BD50*VLOOKUP('Données projet'!$B$11,Paramètres!$A$1:$I$88,3,0)*VLOOKUP('Données projet'!$B$11,Paramètres!$A$1:$I$88,5,0)</f>
        <v>252.3325999999999</v>
      </c>
      <c r="BF50" s="13">
        <f t="shared" si="37"/>
        <v>61.08516173401626</v>
      </c>
      <c r="BG50" s="20">
        <f t="shared" si="7"/>
        <v>545.86926835341148</v>
      </c>
      <c r="BH50" s="59">
        <f t="shared" si="8"/>
        <v>839.20260168674486</v>
      </c>
      <c r="BI50" s="59">
        <f ca="1">AVERAGE(OFFSET($BH$3,0,0,'Données projet'!$E$11+1,1))-AVERAGE(OFFSET($H$3,0,0,'Données projet'!$E$11+1,1))</f>
        <v>355.96253323046608</v>
      </c>
      <c r="BJ50" s="59">
        <f t="shared" si="38"/>
        <v>366.8380442809696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projet'!$B$11,Paramètres!$A$1:$I$88,7,0))</f>
        <v>0</v>
      </c>
      <c r="BN50" s="16">
        <f>IF(ISNA(VLOOKUP(A50,'Données projet'!$A$87:$I$107,6,0)),0%,VLOOKUP(A50,'Données projet'!$A$87:$I$107,6,0)*VLOOKUP('Données projet'!$B$11,Paramètres!$A$1:$I$88,7,0))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projet'!$B$11,Paramètres!$A$1:$I$88,3,0)*0.475*44/12</f>
        <v>0</v>
      </c>
      <c r="BQ50" s="21">
        <f>EXP(-LN(2)/25)*BQ49+(1-EXP(-LN(2)/25))/(LN(2)/25)*Calculateur!BL50*Calculateur!BN50*VLOOKUP('Données projet'!$B$11,Paramètres!$A$1:$I$88,3,0)*0.475*44/12</f>
        <v>14.199633188411292</v>
      </c>
      <c r="BR50" s="21">
        <f>EXP(-LN(2)/2)*BR49+(1-EXP(-LN(2)/2))/(LN(2)/2)*BL50*BO50*VLOOKUP('Données projet'!$B$11,Paramètres!$A$1:$I$88,3,0)*0.475*44/12</f>
        <v>0.1013412646446455</v>
      </c>
      <c r="BS50" s="22">
        <f t="shared" si="9"/>
        <v>14.300974453055938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7.7</v>
      </c>
      <c r="BY50" s="12">
        <f>IF('Données projet'!$A$114&gt;35,BY49+BX50-CG49,IF(A50&lt;'Données projet'!$A$114,$BV$205^A50,IF(A50='Données projet'!$A$114,'Données projet'!$B$114,BY49+BX50-CG49)))</f>
        <v>217.89999999999978</v>
      </c>
      <c r="BZ50" s="13">
        <f>BY50*VLOOKUP('Données projet'!$B$12,Paramètres!$A$1:$I$88,3,0)*VLOOKUP('Données projet'!$B$12,Paramètres!$A$1:$I$88,5,0)</f>
        <v>142.76807999999986</v>
      </c>
      <c r="CA50" s="13">
        <f t="shared" si="39"/>
        <v>36.930409355282819</v>
      </c>
      <c r="CB50" s="20">
        <f t="shared" si="10"/>
        <v>312.97486896045069</v>
      </c>
      <c r="CC50" s="59">
        <f t="shared" si="11"/>
        <v>606.30820229378401</v>
      </c>
      <c r="CD50" s="59">
        <f ca="1">AVERAGE(OFFSET($CC$3,0,0,'Données projet'!$E$12+1,1))-AVERAGE(OFFSET($H$3,0,0,'Données projet'!$E$12+1,1))</f>
        <v>180.90147430936133</v>
      </c>
      <c r="CE50" s="59">
        <f t="shared" si="40"/>
        <v>226.87949199830018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projet'!$B$12,Paramètres!$A$1:$I$88,7,0))</f>
        <v>0</v>
      </c>
      <c r="CI50" s="16">
        <f>IF(ISNA(VLOOKUP(A50,'Données projet'!$A$113:$I$133,6,0)),0%,VLOOKUP(A50,'Données projet'!$A$113:$I$133,6,0)*VLOOKUP('Données projet'!$B$12,Paramètres!$A$1:$I$88,7,0))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projet'!$B$12,Paramètres!$A$1:$I$88,3,0)*0.475*44/12</f>
        <v>0</v>
      </c>
      <c r="CL50" s="21">
        <f>EXP(-LN(2)/25)*CL49+(1-EXP(-LN(2)/25))/(LN(2)/25)*Calculateur!CG50*Calculateur!CI50*VLOOKUP('Données projet'!$B$12,Paramètres!$A$1:$I$88,3,0)*0.475*44/12</f>
        <v>4.2883492250625617</v>
      </c>
      <c r="CM50" s="21">
        <f>EXP(-LN(2)/2)*CM49+(1-EXP(-LN(2)/2))/(LN(2)/2)*CG50*CJ50*VLOOKUP('Données projet'!$B$12,Paramètres!$A$1:$I$88,3,0)*0.475*44/12</f>
        <v>2.4479318203983042E-2</v>
      </c>
      <c r="CN50" s="22">
        <f t="shared" si="12"/>
        <v>4.3128285432665443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5.6843418860808015E-14</v>
      </c>
      <c r="CU50" s="17">
        <f>CT50*VLOOKUP('Données projet'!$B$13,Paramètres!$A$1:$I$88,3,0)*VLOOKUP('Données projet'!$B$13,Paramètres!$A$1:$I$88,5,0)</f>
        <v>2.8908289095852525E-14</v>
      </c>
      <c r="CV50" s="13">
        <f t="shared" si="41"/>
        <v>5.0177780569126974E-13</v>
      </c>
      <c r="CW50" s="20">
        <f t="shared" si="13"/>
        <v>9.2427828175423786E-13</v>
      </c>
      <c r="CX50" s="59">
        <f t="shared" si="14"/>
        <v>293.33333333333422</v>
      </c>
      <c r="CY50" s="59">
        <f ca="1">AVERAGE(OFFSET($CX$3,0,0,'Données projet'!$E$13+1,1))-AVERAGE(OFFSET($H$3,0,0,'Données projet'!$E$13+1,1))</f>
        <v>133.08385802816008</v>
      </c>
      <c r="CZ50" s="59">
        <f t="shared" si="42"/>
        <v>316.59112511251385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projet'!$B$13,Paramètres!$A$1:$I$88,7,0))</f>
        <v>0</v>
      </c>
      <c r="DD50" s="16">
        <f>IF(ISNA(VLOOKUP(A50,'Données projet'!$A$139:$I$159,6,0)),0%,VLOOKUP(A50,'Données projet'!$A$139:$I$159,6,0)*VLOOKUP('Données projet'!$B$13,Paramètres!$A$1:$I$88,7,0))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projet'!$B$13,Paramètres!$A$1:$I$88,3,0)*0.475*44/12</f>
        <v>51.565464708749793</v>
      </c>
      <c r="DG50" s="21">
        <f>EXP(-LN(2)/25)*DG49+(1-EXP(-LN(2)/25))/(LN(2)/25)*Calculateur!DB50*Calculateur!DD50*VLOOKUP('Données projet'!$B$13,Paramètres!$A$1:$I$88,3,0)*0.475*44/12</f>
        <v>0</v>
      </c>
      <c r="DH50" s="21">
        <f>EXP(-LN(2)/2)*DH49+(1-EXP(-LN(2)/2))/(LN(2)/2)*DB50*DE50*VLOOKUP('Données projet'!$B$13,Paramètres!$A$1:$I$88,3,0)*0.475*44/12</f>
        <v>1.5618231239809498E-2</v>
      </c>
      <c r="DI50" s="22">
        <f t="shared" si="15"/>
        <v>51.581082939989606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projet'!$B$14,Paramètres!$A$1:$I$88,3,0)*VLOOKUP('Données projet'!$B$14,Paramètres!$A$1:$I$88,5,0)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projet'!$B$14,Paramètres!$A$1:$I$88,7,0))</f>
        <v>0</v>
      </c>
      <c r="DY50" s="16">
        <f>IF(ISNA(VLOOKUP(A50,'Données projet'!$A$165:$I$185,6,0)),0%,VLOOKUP(A50,'Données projet'!$A$165:$I$185,6,0)*VLOOKUP('Données projet'!$B$14,Paramètres!$A$1:$I$88,7,0))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projet'!$B$14,Paramètres!$A$1:$I$88,3,0)*0.475*44/12</f>
        <v>#N/A</v>
      </c>
      <c r="EB50" s="21" t="e">
        <f>EXP(-LN(2)/25)*EB49+(1-EXP(-LN(2)/25))/(LN(2)/25)*Calculateur!DW50*Calculateur!DY50*VLOOKUP('Données projet'!$B$14,Paramètres!$A$1:$I$88,3,0)*0.475*44/12</f>
        <v>#N/A</v>
      </c>
      <c r="EC50" s="21" t="e">
        <f>EXP(-LN(2)/2)*EC49+(1-EXP(-LN(2)/2))/(LN(2)/2)*DW50*DZ50*VLOOKUP('Données projet'!$B$14,Paramètres!$A$1:$I$88,3,0)*0.475*44/12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projet'!$B$15,Paramètres!$A$1:$I$88,3,0)*VLOOKUP('Données projet'!$B$15,Paramètres!$A$1:$I$88,5,0)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projet'!$B$15,Paramètres!$A$1:$I$88,7,0))</f>
        <v>0</v>
      </c>
      <c r="ET50" s="16">
        <f>IF(ISNA(VLOOKUP(A50,'Données projet'!$A$191:$I$211,6,0)),0%,VLOOKUP(A50,'Données projet'!$A$191:$I$211,6,0)*VLOOKUP('Données projet'!$B$15,Paramètres!$A$1:$I$88,7,0))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projet'!$B$15,Paramètres!$A$1:$I$88,3,0)*0.475*44/12</f>
        <v>#N/A</v>
      </c>
      <c r="EW50" s="21" t="e">
        <f>EXP(-LN(2)/25)*EW49+(1-EXP(-LN(2)/25))/(LN(2)/25)*Calculateur!ER50*Calculateur!ET50*VLOOKUP('Données projet'!$B$15,Paramètres!$A$1:$I$88,3,0)*0.475*44/12</f>
        <v>#N/A</v>
      </c>
      <c r="EX50" s="21" t="e">
        <f>EXP(-LN(2)/2)*EX49+(1-EXP(-LN(2)/2))/(LN(2)/2)*ER50*EU50*VLOOKUP('Données projet'!$B$15,Paramètres!$A$1:$I$88,3,0)*0.475*44/12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projet'!$B$16,Paramètres!$A$1:$I$88,3,0)*VLOOKUP('Données projet'!$B$16,Paramètres!$A$1:$I$88,5,0)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projet'!$B$16,Paramètres!$A$1:$I$88,7,0))</f>
        <v>0</v>
      </c>
      <c r="FO50" s="16">
        <f>IF(ISNA(VLOOKUP(A50,'Données projet'!$A$217:$I$237,6,0)),0%,VLOOKUP(A50,'Données projet'!$A$217:$I$237,6,0)*VLOOKUP('Données projet'!$B$16,Paramètres!$A$1:$I$88,7,0))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projet'!$B$16,Paramètres!$A$1:$I$88,3,0)*0.475*44/12</f>
        <v>#N/A</v>
      </c>
      <c r="FR50" s="21" t="e">
        <f>EXP(-LN(2)/25)*FR49+(1-EXP(-LN(2)/25))/(LN(2)/25)*Calculateur!FM50*Calculateur!FO50*VLOOKUP('Données projet'!$B$16,Paramètres!$A$1:$I$88,3,0)*0.475*44/12</f>
        <v>#N/A</v>
      </c>
      <c r="FS50" s="21" t="e">
        <f>EXP(-LN(2)/2)*FS49+(1-EXP(-LN(2)/2))/(LN(2)/2)*FM50*FP50*VLOOKUP('Données projet'!$B$16,Paramètres!$A$1:$I$88,3,0)*0.475*44/12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projet'!$B$17,Paramètres!$A$1:$I$88,3,0)*VLOOKUP('Données projet'!$B$17,Paramètres!$A$1:$I$88,5,0)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projet'!$B$17,Paramètres!$A$1:$I$88,7,0))</f>
        <v>0</v>
      </c>
      <c r="GJ50" s="16">
        <f>IF(ISNA(VLOOKUP(A50,'Données projet'!$A$243:$I$263,6,0)),0%,VLOOKUP(A50,'Données projet'!$A$243:$I$263,6,0)*VLOOKUP('Données projet'!$B$17,Paramètres!$A$1:$I$88,7,0))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projet'!$B$17,Paramètres!$A$1:$I$88,3,0)*0.475*44/12</f>
        <v>#N/A</v>
      </c>
      <c r="GM50" s="21" t="e">
        <f>EXP(-LN(2)/25)*GM49+(1-EXP(-LN(2)/25))/(LN(2)/25)*Calculateur!GH50*Calculateur!GJ50*VLOOKUP('Données projet'!$B$17,Paramètres!$A$1:$I$88,3,0)*0.475*44/12</f>
        <v>#N/A</v>
      </c>
      <c r="GN50" s="21" t="e">
        <f>EXP(-LN(2)/2)*GN49+(1-EXP(-LN(2)/2))/(LN(2)/2)*GH50*GK50*VLOOKUP('Données projet'!$B$17,Paramètres!$A$1:$I$88,3,0)*0.475*44/12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projet'!$B$18,Paramètres!$A$1:$I$88,3,0)*VLOOKUP('Données projet'!$B$18,Paramètres!$A$1:$I$88,5,0)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projet'!$B$18,Paramètres!$A$1:$I$88,7,0))</f>
        <v>0</v>
      </c>
      <c r="HE50" s="16">
        <f>IF(ISNA(VLOOKUP(A50,'Données projet'!$A$269:$I$289,6,0)),0%,VLOOKUP(A50,'Données projet'!$A$269:$I$289,6,0)*VLOOKUP('Données projet'!$B$18,Paramètres!$A$1:$I$88,7,0))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projet'!$B$18,Paramètres!$A$1:$I$88,3,0)*0.475*44/12</f>
        <v>#N/A</v>
      </c>
      <c r="HH50" s="21" t="e">
        <f>EXP(-LN(2)/25)*HH49+(1-EXP(-LN(2)/25))/(LN(2)/25)*Calculateur!HC50*Calculateur!HE50*VLOOKUP('Données projet'!$B$18,Paramètres!$A$1:$I$88,3,0)*0.475*44/12</f>
        <v>#N/A</v>
      </c>
      <c r="HI50" s="21" t="e">
        <f>EXP(-LN(2)/2)*HI49+(1-EXP(-LN(2)/2))/(LN(2)/2)*HC50*HF50*VLOOKUP('Données projet'!$B$18,Paramètres!$A$1:$I$88,3,0)*0.475*44/12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5.875</v>
      </c>
      <c r="N51" s="13">
        <f>IF('Données projet'!$A$36&gt;35,N50+M51-V50,IF(A51&lt;'Données projet'!$A$36,$K$205^A51,IF(A51='Données projet'!$A$36,'Données projet'!$B$36,N50+M51-V50)))</f>
        <v>275.75</v>
      </c>
      <c r="O51" s="13">
        <f>N51*VLOOKUP('Données projet'!$B$9,Paramètres!$A$1:$I$88,3,0)*VLOOKUP('Données projet'!$B$9,Paramètres!$A$1:$I$88,5,0)</f>
        <v>164.89850000000001</v>
      </c>
      <c r="P51" s="13">
        <f t="shared" si="33"/>
        <v>41.94543913753872</v>
      </c>
      <c r="Q51" s="20">
        <f t="shared" si="53"/>
        <v>360.25319399788003</v>
      </c>
      <c r="R51" s="59">
        <f t="shared" si="0"/>
        <v>653.58652733121335</v>
      </c>
      <c r="S51" s="59">
        <f ca="1">AVERAGE(OFFSET($R$3,0,0,'Données projet'!$E$9+1,1))-AVERAGE(OFFSET($H$3,0,0,'Données projet'!$E$9+1,1))</f>
        <v>195.73441209602686</v>
      </c>
      <c r="T51" s="59">
        <f t="shared" si="34"/>
        <v>219.19129224309006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projet'!$B$9,Paramètres!$A$1:$I$88,7,0))</f>
        <v>0</v>
      </c>
      <c r="X51" s="16">
        <f>IF(ISNA(VLOOKUP(A51,'Données projet'!$A$35:$I$55,6,0)),0%,VLOOKUP(A51,'Données projet'!$A$35:$I$55,6,0)*VLOOKUP('Données projet'!$B$9,Paramètres!$A$1:$I$88,7,0))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projet'!$B$9,Paramètres!$A$1:$I$88,3,0)*0.475*44/12</f>
        <v>10.678761817625546</v>
      </c>
      <c r="AA51" s="21">
        <f>EXP(-LN(2)/25)*AA50+(1-EXP(-LN(2)/25))/(LN(2)/25)*Calculateur!V51*Calculateur!X51*VLOOKUP('Données projet'!$B$9,Paramètres!$A$1:$I$88,3,0)*0.475*44/12</f>
        <v>8.5950724481013125</v>
      </c>
      <c r="AB51" s="21">
        <f>EXP(-LN(2)/2)*AB50+(1-EXP(-LN(2)/2))/(LN(2)/2)*V51*Y51*VLOOKUP('Données projet'!$B$9,Paramètres!$A$1:$I$88,3,0)*0.475*44/12</f>
        <v>7.7485074682711805E-5</v>
      </c>
      <c r="AC51" s="22">
        <f t="shared" si="3"/>
        <v>19.273911750801542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12.8</v>
      </c>
      <c r="AI51" s="13">
        <f>IF('Données projet'!$A$62&gt;35,AI50+AH51-AQ50,IF(A51&lt;'Données projet'!$A$62,$AF$205^A51,IF(A51='Données projet'!$A$62,'Données projet'!$B$62,AI50+AH51-AQ50)))</f>
        <v>317.39999999999998</v>
      </c>
      <c r="AJ51" s="13">
        <f>AI51*VLOOKUP('Données projet'!$B$10,Paramètres!$A$1:$I$88,3,0)*VLOOKUP('Données projet'!$B$10,Paramètres!$A$1:$I$88,5,0)</f>
        <v>189.80519999999999</v>
      </c>
      <c r="AK51" s="13">
        <f t="shared" si="35"/>
        <v>47.496882766206909</v>
      </c>
      <c r="AL51" s="20">
        <f t="shared" si="4"/>
        <v>413.30112748447704</v>
      </c>
      <c r="AM51" s="59">
        <f t="shared" si="5"/>
        <v>706.63446081781035</v>
      </c>
      <c r="AN51" s="59">
        <f ca="1">AVERAGE(OFFSET($AM$3,0,0,'Données projet'!$E$10+1,1))-AVERAGE(OFFSET($H$3,0,0,'Données projet'!$E$10+1,1))</f>
        <v>246.59447135626942</v>
      </c>
      <c r="AO51" s="59">
        <f t="shared" si="36"/>
        <v>262.00382544285367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projet'!$B$10,Paramètres!$A$1:$I$88,7,0))</f>
        <v>0</v>
      </c>
      <c r="AS51" s="16">
        <f>IF(ISNA(VLOOKUP(A51,'Données projet'!$A$61:$I$81,6,0)),0%,VLOOKUP(A51,'Données projet'!$A$61:$I$81,6,0)*VLOOKUP('Données projet'!$B$10,Paramètres!$A$1:$I$88,7,0))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projet'!$B$10,Paramètres!$A$1:$I$88,3,0)*0.475*44/12</f>
        <v>0</v>
      </c>
      <c r="AV51" s="21">
        <f>EXP(-LN(2)/25)*AV50+(1-EXP(-LN(2)/25))/(LN(2)/25)*Calculateur!AQ51*Calculateur!AS51*VLOOKUP('Données projet'!$B$10,Paramètres!$A$1:$I$88,3,0)*0.475*44/12</f>
        <v>7.8007550364501501</v>
      </c>
      <c r="AW51" s="21">
        <f>EXP(-LN(2)/2)*AW50+(1-EXP(-LN(2)/2))/(LN(2)/2)*AQ51*AT51*VLOOKUP('Données projet'!$B$10,Paramètres!$A$1:$I$88,3,0)*0.475*44/12</f>
        <v>4.6346406003552679E-2</v>
      </c>
      <c r="AX51" s="21">
        <f t="shared" si="6"/>
        <v>7.8471014424537024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19.2</v>
      </c>
      <c r="BD51" s="12">
        <f>IF('Données projet'!$A$88&gt;35,BD50+BC51-BL50,IF(A51&lt;'Données projet'!$A$88,$BA$205^A51,IF(A51='Données projet'!$A$88,'Données projet'!$B$88,BD50+BC51-BL50)))</f>
        <v>470.5999999999998</v>
      </c>
      <c r="BE51" s="13">
        <f>BD51*VLOOKUP('Données projet'!$B$11,Paramètres!$A$1:$I$88,3,0)*VLOOKUP('Données projet'!$B$11,Paramètres!$A$1:$I$88,5,0)</f>
        <v>263.0653999999999</v>
      </c>
      <c r="BF51" s="13">
        <f t="shared" si="37"/>
        <v>63.375350953508303</v>
      </c>
      <c r="BG51" s="20">
        <f t="shared" si="7"/>
        <v>568.55097457736008</v>
      </c>
      <c r="BH51" s="59">
        <f t="shared" si="8"/>
        <v>861.88430791069345</v>
      </c>
      <c r="BI51" s="59">
        <f ca="1">AVERAGE(OFFSET($BH$3,0,0,'Données projet'!$E$11+1,1))-AVERAGE(OFFSET($H$3,0,0,'Données projet'!$E$11+1,1))</f>
        <v>355.96253323046608</v>
      </c>
      <c r="BJ51" s="59">
        <f t="shared" si="38"/>
        <v>366.8380442809696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projet'!$B$11,Paramètres!$A$1:$I$88,7,0))</f>
        <v>0</v>
      </c>
      <c r="BN51" s="16">
        <f>IF(ISNA(VLOOKUP(A51,'Données projet'!$A$87:$I$107,6,0)),0%,VLOOKUP(A51,'Données projet'!$A$87:$I$107,6,0)*VLOOKUP('Données projet'!$B$11,Paramètres!$A$1:$I$88,7,0))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projet'!$B$11,Paramètres!$A$1:$I$88,3,0)*0.475*44/12</f>
        <v>0</v>
      </c>
      <c r="BQ51" s="21">
        <f>EXP(-LN(2)/25)*BQ50+(1-EXP(-LN(2)/25))/(LN(2)/25)*Calculateur!BL51*Calculateur!BN51*VLOOKUP('Données projet'!$B$11,Paramètres!$A$1:$I$88,3,0)*0.475*44/12</f>
        <v>13.81134347214793</v>
      </c>
      <c r="BR51" s="21">
        <f>EXP(-LN(2)/2)*BR50+(1-EXP(-LN(2)/2))/(LN(2)/2)*BL51*BO51*VLOOKUP('Données projet'!$B$11,Paramètres!$A$1:$I$88,3,0)*0.475*44/12</f>
        <v>7.1659095444249352E-2</v>
      </c>
      <c r="BS51" s="22">
        <f t="shared" si="9"/>
        <v>13.883002567592181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7.7</v>
      </c>
      <c r="BY51" s="12">
        <f>IF('Données projet'!$A$114&gt;35,BY50+BX51-CG50,IF(A51&lt;'Données projet'!$A$114,$BV$205^A51,IF(A51='Données projet'!$A$114,'Données projet'!$B$114,BY50+BX51-CG50)))</f>
        <v>225.59999999999977</v>
      </c>
      <c r="BZ51" s="13">
        <f>BY51*VLOOKUP('Données projet'!$B$12,Paramètres!$A$1:$I$88,3,0)*VLOOKUP('Données projet'!$B$12,Paramètres!$A$1:$I$88,5,0)</f>
        <v>147.81311999999986</v>
      </c>
      <c r="CA51" s="13">
        <f t="shared" si="39"/>
        <v>38.081185298782451</v>
      </c>
      <c r="CB51" s="20">
        <f t="shared" si="10"/>
        <v>323.76591506204585</v>
      </c>
      <c r="CC51" s="59">
        <f t="shared" si="11"/>
        <v>617.09924839537916</v>
      </c>
      <c r="CD51" s="59">
        <f ca="1">AVERAGE(OFFSET($CC$3,0,0,'Données projet'!$E$12+1,1))-AVERAGE(OFFSET($H$3,0,0,'Données projet'!$E$12+1,1))</f>
        <v>180.90147430936133</v>
      </c>
      <c r="CE51" s="59">
        <f t="shared" si="40"/>
        <v>226.87949199830018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projet'!$B$12,Paramètres!$A$1:$I$88,7,0))</f>
        <v>0</v>
      </c>
      <c r="CI51" s="16">
        <f>IF(ISNA(VLOOKUP(A51,'Données projet'!$A$113:$I$133,6,0)),0%,VLOOKUP(A51,'Données projet'!$A$113:$I$133,6,0)*VLOOKUP('Données projet'!$B$12,Paramètres!$A$1:$I$88,7,0))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projet'!$B$12,Paramètres!$A$1:$I$88,3,0)*0.475*44/12</f>
        <v>0</v>
      </c>
      <c r="CL51" s="21">
        <f>EXP(-LN(2)/25)*CL50+(1-EXP(-LN(2)/25))/(LN(2)/25)*Calculateur!CG51*Calculateur!CI51*VLOOKUP('Données projet'!$B$12,Paramètres!$A$1:$I$88,3,0)*0.475*44/12</f>
        <v>4.1710840899887414</v>
      </c>
      <c r="CM51" s="21">
        <f>EXP(-LN(2)/2)*CM50+(1-EXP(-LN(2)/2))/(LN(2)/2)*CG51*CJ51*VLOOKUP('Données projet'!$B$12,Paramètres!$A$1:$I$88,3,0)*0.475*44/12</f>
        <v>1.7309491900859706E-2</v>
      </c>
      <c r="CN51" s="22">
        <f t="shared" si="12"/>
        <v>4.188393581889601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5.6843418860808015E-14</v>
      </c>
      <c r="CU51" s="17">
        <f>CT51*VLOOKUP('Données projet'!$B$13,Paramètres!$A$1:$I$88,3,0)*VLOOKUP('Données projet'!$B$13,Paramètres!$A$1:$I$88,5,0)</f>
        <v>2.8908289095852525E-14</v>
      </c>
      <c r="CV51" s="13">
        <f t="shared" si="41"/>
        <v>5.0177780569126974E-13</v>
      </c>
      <c r="CW51" s="20">
        <f t="shared" si="13"/>
        <v>9.2427828175423786E-13</v>
      </c>
      <c r="CX51" s="59">
        <f t="shared" si="14"/>
        <v>293.33333333333422</v>
      </c>
      <c r="CY51" s="59">
        <f ca="1">AVERAGE(OFFSET($CX$3,0,0,'Données projet'!$E$13+1,1))-AVERAGE(OFFSET($H$3,0,0,'Données projet'!$E$13+1,1))</f>
        <v>133.08385802816008</v>
      </c>
      <c r="CZ51" s="59">
        <f t="shared" si="42"/>
        <v>316.59112511251385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projet'!$B$13,Paramètres!$A$1:$I$88,7,0))</f>
        <v>0</v>
      </c>
      <c r="DD51" s="16">
        <f>IF(ISNA(VLOOKUP(A51,'Données projet'!$A$139:$I$159,6,0)),0%,VLOOKUP(A51,'Données projet'!$A$139:$I$159,6,0)*VLOOKUP('Données projet'!$B$13,Paramètres!$A$1:$I$88,7,0))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projet'!$B$13,Paramètres!$A$1:$I$88,3,0)*0.475*44/12</f>
        <v>50.554297397639075</v>
      </c>
      <c r="DG51" s="21">
        <f>EXP(-LN(2)/25)*DG50+(1-EXP(-LN(2)/25))/(LN(2)/25)*Calculateur!DB51*Calculateur!DD51*VLOOKUP('Données projet'!$B$13,Paramètres!$A$1:$I$88,3,0)*0.475*44/12</f>
        <v>0</v>
      </c>
      <c r="DH51" s="21">
        <f>EXP(-LN(2)/2)*DH50+(1-EXP(-LN(2)/2))/(LN(2)/2)*DB51*DE51*VLOOKUP('Données projet'!$B$13,Paramètres!$A$1:$I$88,3,0)*0.475*44/12</f>
        <v>1.1043757219808877E-2</v>
      </c>
      <c r="DI51" s="22">
        <f t="shared" si="15"/>
        <v>50.565341154858885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projet'!$B$14,Paramètres!$A$1:$I$88,3,0)*VLOOKUP('Données projet'!$B$14,Paramètres!$A$1:$I$88,5,0)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projet'!$B$14,Paramètres!$A$1:$I$88,7,0))</f>
        <v>0</v>
      </c>
      <c r="DY51" s="16">
        <f>IF(ISNA(VLOOKUP(A51,'Données projet'!$A$165:$I$185,6,0)),0%,VLOOKUP(A51,'Données projet'!$A$165:$I$185,6,0)*VLOOKUP('Données projet'!$B$14,Paramètres!$A$1:$I$88,7,0))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projet'!$B$14,Paramètres!$A$1:$I$88,3,0)*0.475*44/12</f>
        <v>#N/A</v>
      </c>
      <c r="EB51" s="21" t="e">
        <f>EXP(-LN(2)/25)*EB50+(1-EXP(-LN(2)/25))/(LN(2)/25)*Calculateur!DW51*Calculateur!DY51*VLOOKUP('Données projet'!$B$14,Paramètres!$A$1:$I$88,3,0)*0.475*44/12</f>
        <v>#N/A</v>
      </c>
      <c r="EC51" s="21" t="e">
        <f>EXP(-LN(2)/2)*EC50+(1-EXP(-LN(2)/2))/(LN(2)/2)*DW51*DZ51*VLOOKUP('Données projet'!$B$14,Paramètres!$A$1:$I$88,3,0)*0.475*44/12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projet'!$B$15,Paramètres!$A$1:$I$88,3,0)*VLOOKUP('Données projet'!$B$15,Paramètres!$A$1:$I$88,5,0)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projet'!$B$15,Paramètres!$A$1:$I$88,7,0))</f>
        <v>0</v>
      </c>
      <c r="ET51" s="16">
        <f>IF(ISNA(VLOOKUP(A51,'Données projet'!$A$191:$I$211,6,0)),0%,VLOOKUP(A51,'Données projet'!$A$191:$I$211,6,0)*VLOOKUP('Données projet'!$B$15,Paramètres!$A$1:$I$88,7,0))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projet'!$B$15,Paramètres!$A$1:$I$88,3,0)*0.475*44/12</f>
        <v>#N/A</v>
      </c>
      <c r="EW51" s="21" t="e">
        <f>EXP(-LN(2)/25)*EW50+(1-EXP(-LN(2)/25))/(LN(2)/25)*Calculateur!ER51*Calculateur!ET51*VLOOKUP('Données projet'!$B$15,Paramètres!$A$1:$I$88,3,0)*0.475*44/12</f>
        <v>#N/A</v>
      </c>
      <c r="EX51" s="21" t="e">
        <f>EXP(-LN(2)/2)*EX50+(1-EXP(-LN(2)/2))/(LN(2)/2)*ER51*EU51*VLOOKUP('Données projet'!$B$15,Paramètres!$A$1:$I$88,3,0)*0.475*44/12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projet'!$B$16,Paramètres!$A$1:$I$88,3,0)*VLOOKUP('Données projet'!$B$16,Paramètres!$A$1:$I$88,5,0)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projet'!$B$16,Paramètres!$A$1:$I$88,7,0))</f>
        <v>0</v>
      </c>
      <c r="FO51" s="16">
        <f>IF(ISNA(VLOOKUP(A51,'Données projet'!$A$217:$I$237,6,0)),0%,VLOOKUP(A51,'Données projet'!$A$217:$I$237,6,0)*VLOOKUP('Données projet'!$B$16,Paramètres!$A$1:$I$88,7,0))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projet'!$B$16,Paramètres!$A$1:$I$88,3,0)*0.475*44/12</f>
        <v>#N/A</v>
      </c>
      <c r="FR51" s="21" t="e">
        <f>EXP(-LN(2)/25)*FR50+(1-EXP(-LN(2)/25))/(LN(2)/25)*Calculateur!FM51*Calculateur!FO51*VLOOKUP('Données projet'!$B$16,Paramètres!$A$1:$I$88,3,0)*0.475*44/12</f>
        <v>#N/A</v>
      </c>
      <c r="FS51" s="21" t="e">
        <f>EXP(-LN(2)/2)*FS50+(1-EXP(-LN(2)/2))/(LN(2)/2)*FM51*FP51*VLOOKUP('Données projet'!$B$16,Paramètres!$A$1:$I$88,3,0)*0.475*44/12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projet'!$B$17,Paramètres!$A$1:$I$88,3,0)*VLOOKUP('Données projet'!$B$17,Paramètres!$A$1:$I$88,5,0)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projet'!$B$17,Paramètres!$A$1:$I$88,7,0))</f>
        <v>0</v>
      </c>
      <c r="GJ51" s="16">
        <f>IF(ISNA(VLOOKUP(A51,'Données projet'!$A$243:$I$263,6,0)),0%,VLOOKUP(A51,'Données projet'!$A$243:$I$263,6,0)*VLOOKUP('Données projet'!$B$17,Paramètres!$A$1:$I$88,7,0))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projet'!$B$17,Paramètres!$A$1:$I$88,3,0)*0.475*44/12</f>
        <v>#N/A</v>
      </c>
      <c r="GM51" s="21" t="e">
        <f>EXP(-LN(2)/25)*GM50+(1-EXP(-LN(2)/25))/(LN(2)/25)*Calculateur!GH51*Calculateur!GJ51*VLOOKUP('Données projet'!$B$17,Paramètres!$A$1:$I$88,3,0)*0.475*44/12</f>
        <v>#N/A</v>
      </c>
      <c r="GN51" s="21" t="e">
        <f>EXP(-LN(2)/2)*GN50+(1-EXP(-LN(2)/2))/(LN(2)/2)*GH51*GK51*VLOOKUP('Données projet'!$B$17,Paramètres!$A$1:$I$88,3,0)*0.475*44/12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projet'!$B$18,Paramètres!$A$1:$I$88,3,0)*VLOOKUP('Données projet'!$B$18,Paramètres!$A$1:$I$88,5,0)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projet'!$B$18,Paramètres!$A$1:$I$88,7,0))</f>
        <v>0</v>
      </c>
      <c r="HE51" s="16">
        <f>IF(ISNA(VLOOKUP(A51,'Données projet'!$A$269:$I$289,6,0)),0%,VLOOKUP(A51,'Données projet'!$A$269:$I$289,6,0)*VLOOKUP('Données projet'!$B$18,Paramètres!$A$1:$I$88,7,0))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projet'!$B$18,Paramètres!$A$1:$I$88,3,0)*0.475*44/12</f>
        <v>#N/A</v>
      </c>
      <c r="HH51" s="21" t="e">
        <f>EXP(-LN(2)/25)*HH50+(1-EXP(-LN(2)/25))/(LN(2)/25)*Calculateur!HC51*Calculateur!HE51*VLOOKUP('Données projet'!$B$18,Paramètres!$A$1:$I$88,3,0)*0.475*44/12</f>
        <v>#N/A</v>
      </c>
      <c r="HI51" s="21" t="e">
        <f>EXP(-LN(2)/2)*HI50+(1-EXP(-LN(2)/2))/(LN(2)/2)*HC51*HF51*VLOOKUP('Données projet'!$B$18,Paramètres!$A$1:$I$88,3,0)*0.475*44/12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5.875</v>
      </c>
      <c r="N52" s="13">
        <f>IF('Données projet'!$A$36&gt;35,N51+M52-V51,IF(A52&lt;'Données projet'!$A$36,$K$205^A52,IF(A52='Données projet'!$A$36,'Données projet'!$B$36,N51+M52-V51)))</f>
        <v>281.625</v>
      </c>
      <c r="O52" s="13">
        <f>N52*VLOOKUP('Données projet'!$B$9,Paramètres!$A$1:$I$88,3,0)*VLOOKUP('Données projet'!$B$9,Paramètres!$A$1:$I$88,5,0)</f>
        <v>168.41175000000001</v>
      </c>
      <c r="P52" s="13">
        <f t="shared" si="33"/>
        <v>42.73411432638013</v>
      </c>
      <c r="Q52" s="20">
        <f t="shared" si="53"/>
        <v>367.74571370177881</v>
      </c>
      <c r="R52" s="59">
        <f t="shared" si="0"/>
        <v>661.07904703511213</v>
      </c>
      <c r="S52" s="59">
        <f ca="1">AVERAGE(OFFSET($R$3,0,0,'Données projet'!$E$9+1,1))-AVERAGE(OFFSET($H$3,0,0,'Données projet'!$E$9+1,1))</f>
        <v>195.73441209602686</v>
      </c>
      <c r="T52" s="59">
        <f t="shared" si="34"/>
        <v>219.19129224309006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projet'!$B$9,Paramètres!$A$1:$I$88,7,0))</f>
        <v>0</v>
      </c>
      <c r="X52" s="16">
        <f>IF(ISNA(VLOOKUP(A52,'Données projet'!$A$35:$I$55,6,0)),0%,VLOOKUP(A52,'Données projet'!$A$35:$I$55,6,0)*VLOOKUP('Données projet'!$B$9,Paramètres!$A$1:$I$88,7,0))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projet'!$B$9,Paramètres!$A$1:$I$88,3,0)*0.475*44/12</f>
        <v>10.469357811783473</v>
      </c>
      <c r="AA52" s="21">
        <f>EXP(-LN(2)/25)*AA51+(1-EXP(-LN(2)/25))/(LN(2)/25)*Calculateur!V52*Calculateur!X52*VLOOKUP('Données projet'!$B$9,Paramètres!$A$1:$I$88,3,0)*0.475*44/12</f>
        <v>8.3600397400127662</v>
      </c>
      <c r="AB52" s="21">
        <f>EXP(-LN(2)/2)*AB51+(1-EXP(-LN(2)/2))/(LN(2)/2)*V52*Y52*VLOOKUP('Données projet'!$B$9,Paramètres!$A$1:$I$88,3,0)*0.475*44/12</f>
        <v>5.479022174889159E-5</v>
      </c>
      <c r="AC52" s="22">
        <f t="shared" si="3"/>
        <v>18.829452342017991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12.8</v>
      </c>
      <c r="AI52" s="13">
        <f>IF('Données projet'!$A$62&gt;35,AI51+AH52-AQ51,IF(A52&lt;'Données projet'!$A$62,$AF$205^A52,IF(A52='Données projet'!$A$62,'Données projet'!$B$62,AI51+AH52-AQ51)))</f>
        <v>330.2</v>
      </c>
      <c r="AJ52" s="13">
        <f>AI52*VLOOKUP('Données projet'!$B$10,Paramètres!$A$1:$I$88,3,0)*VLOOKUP('Données projet'!$B$10,Paramètres!$A$1:$I$88,5,0)</f>
        <v>197.45959999999999</v>
      </c>
      <c r="AK52" s="13">
        <f t="shared" si="35"/>
        <v>49.185450002435452</v>
      </c>
      <c r="AL52" s="20">
        <f t="shared" si="4"/>
        <v>429.57346208757502</v>
      </c>
      <c r="AM52" s="59">
        <f t="shared" si="5"/>
        <v>722.90679542090834</v>
      </c>
      <c r="AN52" s="59">
        <f ca="1">AVERAGE(OFFSET($AM$3,0,0,'Données projet'!$E$10+1,1))-AVERAGE(OFFSET($H$3,0,0,'Données projet'!$E$10+1,1))</f>
        <v>246.59447135626942</v>
      </c>
      <c r="AO52" s="59">
        <f t="shared" si="36"/>
        <v>262.00382544285367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projet'!$B$10,Paramètres!$A$1:$I$88,7,0))</f>
        <v>0</v>
      </c>
      <c r="AS52" s="16">
        <f>IF(ISNA(VLOOKUP(A52,'Données projet'!$A$61:$I$81,6,0)),0%,VLOOKUP(A52,'Données projet'!$A$61:$I$81,6,0)*VLOOKUP('Données projet'!$B$10,Paramètres!$A$1:$I$88,7,0))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projet'!$B$10,Paramètres!$A$1:$I$88,3,0)*0.475*44/12</f>
        <v>0</v>
      </c>
      <c r="AV52" s="21">
        <f>EXP(-LN(2)/25)*AV51+(1-EXP(-LN(2)/25))/(LN(2)/25)*Calculateur!AQ52*Calculateur!AS52*VLOOKUP('Données projet'!$B$10,Paramètres!$A$1:$I$88,3,0)*0.475*44/12</f>
        <v>7.5874429797545426</v>
      </c>
      <c r="AW52" s="21">
        <f>EXP(-LN(2)/2)*AW51+(1-EXP(-LN(2)/2))/(LN(2)/2)*AQ52*AT52*VLOOKUP('Données projet'!$B$10,Paramètres!$A$1:$I$88,3,0)*0.475*44/12</f>
        <v>3.2771857968737016E-2</v>
      </c>
      <c r="AX52" s="21">
        <f t="shared" si="6"/>
        <v>7.6202148377232799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19.2</v>
      </c>
      <c r="BD52" s="12">
        <f>IF('Données projet'!$A$88&gt;35,BD51+BC52-BL51,IF(A52&lt;'Données projet'!$A$88,$BA$205^A52,IF(A52='Données projet'!$A$88,'Données projet'!$B$88,BD51+BC52-BL51)))</f>
        <v>489.79999999999978</v>
      </c>
      <c r="BE52" s="13">
        <f>BD52*VLOOKUP('Données projet'!$B$11,Paramètres!$A$1:$I$88,3,0)*VLOOKUP('Données projet'!$B$11,Paramètres!$A$1:$I$88,5,0)</f>
        <v>273.79819999999989</v>
      </c>
      <c r="BF52" s="13">
        <f t="shared" si="37"/>
        <v>65.654686665964775</v>
      </c>
      <c r="BG52" s="20">
        <f t="shared" si="7"/>
        <v>591.21377760988844</v>
      </c>
      <c r="BH52" s="59">
        <f t="shared" si="8"/>
        <v>884.5471109432217</v>
      </c>
      <c r="BI52" s="59">
        <f ca="1">AVERAGE(OFFSET($BH$3,0,0,'Données projet'!$E$11+1,1))-AVERAGE(OFFSET($H$3,0,0,'Données projet'!$E$11+1,1))</f>
        <v>355.96253323046608</v>
      </c>
      <c r="BJ52" s="59">
        <f t="shared" si="38"/>
        <v>366.8380442809696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projet'!$B$11,Paramètres!$A$1:$I$88,7,0))</f>
        <v>0</v>
      </c>
      <c r="BN52" s="16">
        <f>IF(ISNA(VLOOKUP(A52,'Données projet'!$A$87:$I$107,6,0)),0%,VLOOKUP(A52,'Données projet'!$A$87:$I$107,6,0)*VLOOKUP('Données projet'!$B$11,Paramètres!$A$1:$I$88,7,0))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projet'!$B$11,Paramètres!$A$1:$I$88,3,0)*0.475*44/12</f>
        <v>0</v>
      </c>
      <c r="BQ52" s="21">
        <f>EXP(-LN(2)/25)*BQ51+(1-EXP(-LN(2)/25))/(LN(2)/25)*Calculateur!BL52*Calculateur!BN52*VLOOKUP('Données projet'!$B$11,Paramètres!$A$1:$I$88,3,0)*0.475*44/12</f>
        <v>13.433671558595059</v>
      </c>
      <c r="BR52" s="21">
        <f>EXP(-LN(2)/2)*BR51+(1-EXP(-LN(2)/2))/(LN(2)/2)*BL52*BO52*VLOOKUP('Données projet'!$B$11,Paramètres!$A$1:$I$88,3,0)*0.475*44/12</f>
        <v>5.0670632322322752E-2</v>
      </c>
      <c r="BS52" s="22">
        <f t="shared" si="9"/>
        <v>13.484342190917381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7.7</v>
      </c>
      <c r="BY52" s="12">
        <f>IF('Données projet'!$A$114&gt;35,BY51+BX52-CG51,IF(A52&lt;'Données projet'!$A$114,$BV$205^A52,IF(A52='Données projet'!$A$114,'Données projet'!$B$114,BY51+BX52-CG51)))</f>
        <v>233.29999999999976</v>
      </c>
      <c r="BZ52" s="13">
        <f>BY52*VLOOKUP('Données projet'!$B$12,Paramètres!$A$1:$I$88,3,0)*VLOOKUP('Données projet'!$B$12,Paramètres!$A$1:$I$88,5,0)</f>
        <v>152.85815999999983</v>
      </c>
      <c r="CA52" s="13">
        <f t="shared" si="39"/>
        <v>39.227397490055395</v>
      </c>
      <c r="CB52" s="20">
        <f t="shared" si="10"/>
        <v>334.54901262851286</v>
      </c>
      <c r="CC52" s="59">
        <f t="shared" si="11"/>
        <v>627.88234596184611</v>
      </c>
      <c r="CD52" s="59">
        <f ca="1">AVERAGE(OFFSET($CC$3,0,0,'Données projet'!$E$12+1,1))-AVERAGE(OFFSET($H$3,0,0,'Données projet'!$E$12+1,1))</f>
        <v>180.90147430936133</v>
      </c>
      <c r="CE52" s="59">
        <f t="shared" si="40"/>
        <v>226.87949199830018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projet'!$B$12,Paramètres!$A$1:$I$88,7,0))</f>
        <v>0</v>
      </c>
      <c r="CI52" s="16">
        <f>IF(ISNA(VLOOKUP(A52,'Données projet'!$A$113:$I$133,6,0)),0%,VLOOKUP(A52,'Données projet'!$A$113:$I$133,6,0)*VLOOKUP('Données projet'!$B$12,Paramètres!$A$1:$I$88,7,0))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projet'!$B$12,Paramètres!$A$1:$I$88,3,0)*0.475*44/12</f>
        <v>0</v>
      </c>
      <c r="CL52" s="21">
        <f>EXP(-LN(2)/25)*CL51+(1-EXP(-LN(2)/25))/(LN(2)/25)*Calculateur!CG52*Calculateur!CI52*VLOOKUP('Données projet'!$B$12,Paramètres!$A$1:$I$88,3,0)*0.475*44/12</f>
        <v>4.0570255762002203</v>
      </c>
      <c r="CM52" s="21">
        <f>EXP(-LN(2)/2)*CM51+(1-EXP(-LN(2)/2))/(LN(2)/2)*CG52*CJ52*VLOOKUP('Données projet'!$B$12,Paramètres!$A$1:$I$88,3,0)*0.475*44/12</f>
        <v>1.2239659101991521E-2</v>
      </c>
      <c r="CN52" s="22">
        <f t="shared" si="12"/>
        <v>4.0692652353022121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5.6843418860808015E-14</v>
      </c>
      <c r="CU52" s="17">
        <f>CT52*VLOOKUP('Données projet'!$B$13,Paramètres!$A$1:$I$88,3,0)*VLOOKUP('Données projet'!$B$13,Paramètres!$A$1:$I$88,5,0)</f>
        <v>2.8908289095852525E-14</v>
      </c>
      <c r="CV52" s="13">
        <f t="shared" si="41"/>
        <v>5.0177780569126974E-13</v>
      </c>
      <c r="CW52" s="20">
        <f t="shared" si="13"/>
        <v>9.2427828175423786E-13</v>
      </c>
      <c r="CX52" s="59">
        <f t="shared" si="14"/>
        <v>293.33333333333422</v>
      </c>
      <c r="CY52" s="59">
        <f ca="1">AVERAGE(OFFSET($CX$3,0,0,'Données projet'!$E$13+1,1))-AVERAGE(OFFSET($H$3,0,0,'Données projet'!$E$13+1,1))</f>
        <v>133.08385802816008</v>
      </c>
      <c r="CZ52" s="59">
        <f t="shared" si="42"/>
        <v>316.59112511251385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projet'!$B$13,Paramètres!$A$1:$I$88,7,0))</f>
        <v>0</v>
      </c>
      <c r="DD52" s="16">
        <f>IF(ISNA(VLOOKUP(A52,'Données projet'!$A$139:$I$159,6,0)),0%,VLOOKUP(A52,'Données projet'!$A$139:$I$159,6,0)*VLOOKUP('Données projet'!$B$13,Paramètres!$A$1:$I$88,7,0))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projet'!$B$13,Paramètres!$A$1:$I$88,3,0)*0.475*44/12</f>
        <v>49.562958460748078</v>
      </c>
      <c r="DG52" s="21">
        <f>EXP(-LN(2)/25)*DG51+(1-EXP(-LN(2)/25))/(LN(2)/25)*Calculateur!DB52*Calculateur!DD52*VLOOKUP('Données projet'!$B$13,Paramètres!$A$1:$I$88,3,0)*0.475*44/12</f>
        <v>0</v>
      </c>
      <c r="DH52" s="21">
        <f>EXP(-LN(2)/2)*DH51+(1-EXP(-LN(2)/2))/(LN(2)/2)*DB52*DE52*VLOOKUP('Données projet'!$B$13,Paramètres!$A$1:$I$88,3,0)*0.475*44/12</f>
        <v>7.8091156199047509E-3</v>
      </c>
      <c r="DI52" s="22">
        <f t="shared" si="15"/>
        <v>49.570767576367984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projet'!$B$14,Paramètres!$A$1:$I$88,3,0)*VLOOKUP('Données projet'!$B$14,Paramètres!$A$1:$I$88,5,0)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projet'!$B$14,Paramètres!$A$1:$I$88,7,0))</f>
        <v>0</v>
      </c>
      <c r="DY52" s="16">
        <f>IF(ISNA(VLOOKUP(A52,'Données projet'!$A$165:$I$185,6,0)),0%,VLOOKUP(A52,'Données projet'!$A$165:$I$185,6,0)*VLOOKUP('Données projet'!$B$14,Paramètres!$A$1:$I$88,7,0))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projet'!$B$14,Paramètres!$A$1:$I$88,3,0)*0.475*44/12</f>
        <v>#N/A</v>
      </c>
      <c r="EB52" s="21" t="e">
        <f>EXP(-LN(2)/25)*EB51+(1-EXP(-LN(2)/25))/(LN(2)/25)*Calculateur!DW52*Calculateur!DY52*VLOOKUP('Données projet'!$B$14,Paramètres!$A$1:$I$88,3,0)*0.475*44/12</f>
        <v>#N/A</v>
      </c>
      <c r="EC52" s="21" t="e">
        <f>EXP(-LN(2)/2)*EC51+(1-EXP(-LN(2)/2))/(LN(2)/2)*DW52*DZ52*VLOOKUP('Données projet'!$B$14,Paramètres!$A$1:$I$88,3,0)*0.475*44/12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projet'!$B$15,Paramètres!$A$1:$I$88,3,0)*VLOOKUP('Données projet'!$B$15,Paramètres!$A$1:$I$88,5,0)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projet'!$B$15,Paramètres!$A$1:$I$88,7,0))</f>
        <v>0</v>
      </c>
      <c r="ET52" s="16">
        <f>IF(ISNA(VLOOKUP(A52,'Données projet'!$A$191:$I$211,6,0)),0%,VLOOKUP(A52,'Données projet'!$A$191:$I$211,6,0)*VLOOKUP('Données projet'!$B$15,Paramètres!$A$1:$I$88,7,0))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projet'!$B$15,Paramètres!$A$1:$I$88,3,0)*0.475*44/12</f>
        <v>#N/A</v>
      </c>
      <c r="EW52" s="21" t="e">
        <f>EXP(-LN(2)/25)*EW51+(1-EXP(-LN(2)/25))/(LN(2)/25)*Calculateur!ER52*Calculateur!ET52*VLOOKUP('Données projet'!$B$15,Paramètres!$A$1:$I$88,3,0)*0.475*44/12</f>
        <v>#N/A</v>
      </c>
      <c r="EX52" s="21" t="e">
        <f>EXP(-LN(2)/2)*EX51+(1-EXP(-LN(2)/2))/(LN(2)/2)*ER52*EU52*VLOOKUP('Données projet'!$B$15,Paramètres!$A$1:$I$88,3,0)*0.475*44/12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projet'!$B$16,Paramètres!$A$1:$I$88,3,0)*VLOOKUP('Données projet'!$B$16,Paramètres!$A$1:$I$88,5,0)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projet'!$B$16,Paramètres!$A$1:$I$88,7,0))</f>
        <v>0</v>
      </c>
      <c r="FO52" s="16">
        <f>IF(ISNA(VLOOKUP(A52,'Données projet'!$A$217:$I$237,6,0)),0%,VLOOKUP(A52,'Données projet'!$A$217:$I$237,6,0)*VLOOKUP('Données projet'!$B$16,Paramètres!$A$1:$I$88,7,0))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projet'!$B$16,Paramètres!$A$1:$I$88,3,0)*0.475*44/12</f>
        <v>#N/A</v>
      </c>
      <c r="FR52" s="21" t="e">
        <f>EXP(-LN(2)/25)*FR51+(1-EXP(-LN(2)/25))/(LN(2)/25)*Calculateur!FM52*Calculateur!FO52*VLOOKUP('Données projet'!$B$16,Paramètres!$A$1:$I$88,3,0)*0.475*44/12</f>
        <v>#N/A</v>
      </c>
      <c r="FS52" s="21" t="e">
        <f>EXP(-LN(2)/2)*FS51+(1-EXP(-LN(2)/2))/(LN(2)/2)*FM52*FP52*VLOOKUP('Données projet'!$B$16,Paramètres!$A$1:$I$88,3,0)*0.475*44/12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projet'!$B$17,Paramètres!$A$1:$I$88,3,0)*VLOOKUP('Données projet'!$B$17,Paramètres!$A$1:$I$88,5,0)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projet'!$B$17,Paramètres!$A$1:$I$88,7,0))</f>
        <v>0</v>
      </c>
      <c r="GJ52" s="16">
        <f>IF(ISNA(VLOOKUP(A52,'Données projet'!$A$243:$I$263,6,0)),0%,VLOOKUP(A52,'Données projet'!$A$243:$I$263,6,0)*VLOOKUP('Données projet'!$B$17,Paramètres!$A$1:$I$88,7,0))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projet'!$B$17,Paramètres!$A$1:$I$88,3,0)*0.475*44/12</f>
        <v>#N/A</v>
      </c>
      <c r="GM52" s="21" t="e">
        <f>EXP(-LN(2)/25)*GM51+(1-EXP(-LN(2)/25))/(LN(2)/25)*Calculateur!GH52*Calculateur!GJ52*VLOOKUP('Données projet'!$B$17,Paramètres!$A$1:$I$88,3,0)*0.475*44/12</f>
        <v>#N/A</v>
      </c>
      <c r="GN52" s="21" t="e">
        <f>EXP(-LN(2)/2)*GN51+(1-EXP(-LN(2)/2))/(LN(2)/2)*GH52*GK52*VLOOKUP('Données projet'!$B$17,Paramètres!$A$1:$I$88,3,0)*0.475*44/12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projet'!$B$18,Paramètres!$A$1:$I$88,3,0)*VLOOKUP('Données projet'!$B$18,Paramètres!$A$1:$I$88,5,0)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projet'!$B$18,Paramètres!$A$1:$I$88,7,0))</f>
        <v>0</v>
      </c>
      <c r="HE52" s="16">
        <f>IF(ISNA(VLOOKUP(A52,'Données projet'!$A$269:$I$289,6,0)),0%,VLOOKUP(A52,'Données projet'!$A$269:$I$289,6,0)*VLOOKUP('Données projet'!$B$18,Paramètres!$A$1:$I$88,7,0))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projet'!$B$18,Paramètres!$A$1:$I$88,3,0)*0.475*44/12</f>
        <v>#N/A</v>
      </c>
      <c r="HH52" s="21" t="e">
        <f>EXP(-LN(2)/25)*HH51+(1-EXP(-LN(2)/25))/(LN(2)/25)*Calculateur!HC52*Calculateur!HE52*VLOOKUP('Données projet'!$B$18,Paramètres!$A$1:$I$88,3,0)*0.475*44/12</f>
        <v>#N/A</v>
      </c>
      <c r="HI52" s="21" t="e">
        <f>EXP(-LN(2)/2)*HI51+(1-EXP(-LN(2)/2))/(LN(2)/2)*HC52*HF52*VLOOKUP('Données projet'!$B$18,Paramètres!$A$1:$I$88,3,0)*0.475*44/12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5.875</v>
      </c>
      <c r="N53" s="13">
        <f>IF('Données projet'!$A$36&gt;35,N52+M53-V52,IF(A53&lt;'Données projet'!$A$36,$K$205^A53,IF(A53='Données projet'!$A$36,'Données projet'!$B$36,N52+M53-V52)))</f>
        <v>287.5</v>
      </c>
      <c r="O53" s="13">
        <f>N53*VLOOKUP('Données projet'!$B$9,Paramètres!$A$1:$I$88,3,0)*VLOOKUP('Données projet'!$B$9,Paramètres!$A$1:$I$88,5,0)</f>
        <v>171.92500000000001</v>
      </c>
      <c r="P53" s="13">
        <f t="shared" si="33"/>
        <v>43.520876607827979</v>
      </c>
      <c r="Q53" s="20">
        <f t="shared" si="53"/>
        <v>375.23490175863367</v>
      </c>
      <c r="R53" s="59">
        <f t="shared" si="0"/>
        <v>668.56823509196693</v>
      </c>
      <c r="S53" s="59">
        <f ca="1">AVERAGE(OFFSET($R$3,0,0,'Données projet'!$E$9+1,1))-AVERAGE(OFFSET($H$3,0,0,'Données projet'!$E$9+1,1))</f>
        <v>195.73441209602686</v>
      </c>
      <c r="T53" s="59">
        <f t="shared" si="34"/>
        <v>219.19129224309006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projet'!$B$9,Paramètres!$A$1:$I$88,7,0))</f>
        <v>0</v>
      </c>
      <c r="X53" s="16">
        <f>IF(ISNA(VLOOKUP(A53,'Données projet'!$A$35:$I$55,6,0)),0%,VLOOKUP(A53,'Données projet'!$A$35:$I$55,6,0)*VLOOKUP('Données projet'!$B$9,Paramètres!$A$1:$I$88,7,0))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projet'!$B$9,Paramètres!$A$1:$I$88,3,0)*0.475*44/12</f>
        <v>10.264060090772132</v>
      </c>
      <c r="AA53" s="21">
        <f>EXP(-LN(2)/25)*AA52+(1-EXP(-LN(2)/25))/(LN(2)/25)*Calculateur!V53*Calculateur!X53*VLOOKUP('Données projet'!$B$9,Paramètres!$A$1:$I$88,3,0)*0.475*44/12</f>
        <v>8.131434013686734</v>
      </c>
      <c r="AB53" s="21">
        <f>EXP(-LN(2)/2)*AB52+(1-EXP(-LN(2)/2))/(LN(2)/2)*V53*Y53*VLOOKUP('Données projet'!$B$9,Paramètres!$A$1:$I$88,3,0)*0.475*44/12</f>
        <v>3.8742537341355902E-5</v>
      </c>
      <c r="AC53" s="22">
        <f t="shared" si="3"/>
        <v>18.395532846996208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343</v>
      </c>
      <c r="AG53" s="12">
        <f>VLOOKUP(A53,'Données projet'!$A$61:$I$81,9,0)</f>
        <v>12.8</v>
      </c>
      <c r="AH53" s="12">
        <f t="array" ref="AH53">INDEX(AG:AG,MIN(IF(ISNUMBER(AG53:AG249),ROW(AG53:AG249),"")))</f>
        <v>12.8</v>
      </c>
      <c r="AI53" s="13">
        <f>IF('Données projet'!$A$62&gt;35,AI52+AH53-AQ52,IF(A53&lt;'Données projet'!$A$62,$AF$205^A53,IF(A53='Données projet'!$A$62,'Données projet'!$B$62,AI52+AH53-AQ52)))</f>
        <v>343</v>
      </c>
      <c r="AJ53" s="13">
        <f>AI53*VLOOKUP('Données projet'!$B$10,Paramètres!$A$1:$I$88,3,0)*VLOOKUP('Données projet'!$B$10,Paramètres!$A$1:$I$88,5,0)</f>
        <v>205.114</v>
      </c>
      <c r="AK53" s="13">
        <f t="shared" si="35"/>
        <v>50.86641328088507</v>
      </c>
      <c r="AL53" s="20">
        <f t="shared" si="4"/>
        <v>445.83255313087483</v>
      </c>
      <c r="AM53" s="59">
        <f t="shared" si="5"/>
        <v>739.16588646420814</v>
      </c>
      <c r="AN53" s="59">
        <f ca="1">AVERAGE(OFFSET($AM$3,0,0,'Données projet'!$E$10+1,1))-AVERAGE(OFFSET($H$3,0,0,'Données projet'!$E$10+1,1))</f>
        <v>246.59447135626942</v>
      </c>
      <c r="AO53" s="59">
        <f t="shared" si="36"/>
        <v>262.00382544285367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70</v>
      </c>
      <c r="AR53" s="16">
        <f>IF(ISNA(VLOOKUP(A53,'Données projet'!$A$61:$I$81,5,0)),0%,VLOOKUP(A53,'Données projet'!$A$61:$I$81,5,0)*VLOOKUP('Données projet'!$B$10,Paramètres!$A$1:$I$88,7,0))</f>
        <v>0</v>
      </c>
      <c r="AS53" s="16">
        <f>IF(ISNA(VLOOKUP(A53,'Données projet'!$A$61:$I$81,6,0)),0%,VLOOKUP(A53,'Données projet'!$A$61:$I$81,6,0)*VLOOKUP('Données projet'!$B$10,Paramètres!$A$1:$I$88,7,0))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projet'!$B$10,Paramètres!$A$1:$I$88,3,0)*0.475*44/12</f>
        <v>0</v>
      </c>
      <c r="AV53" s="21">
        <f>EXP(-LN(2)/25)*AV52+(1-EXP(-LN(2)/25))/(LN(2)/25)*Calculateur!AQ53*Calculateur!AS53*VLOOKUP('Données projet'!$B$10,Paramètres!$A$1:$I$88,3,0)*0.475*44/12</f>
        <v>7.3799639524668699</v>
      </c>
      <c r="AW53" s="21">
        <f>EXP(-LN(2)/2)*AW52+(1-EXP(-LN(2)/2))/(LN(2)/2)*AQ53*AT53*VLOOKUP('Données projet'!$B$10,Paramètres!$A$1:$I$88,3,0)*0.475*44/12</f>
        <v>2.3173203001776339E-2</v>
      </c>
      <c r="AX53" s="21">
        <f t="shared" si="6"/>
        <v>7.403137155468646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509</v>
      </c>
      <c r="BB53" s="12">
        <f>VLOOKUP(A53,'Données projet'!$A$87:$I$107,9,0)</f>
        <v>19.2</v>
      </c>
      <c r="BC53" s="12">
        <f t="array" ref="BC53">INDEX(BB:BB,MIN(IF(ISNUMBER(BB53:BB249),ROW(BB53:BB249),"")))</f>
        <v>19.2</v>
      </c>
      <c r="BD53" s="12">
        <f>IF('Données projet'!$A$88&gt;35,BD52+BC53-BL52,IF(A53&lt;'Données projet'!$A$88,$BA$205^A53,IF(A53='Données projet'!$A$88,'Données projet'!$B$88,BD52+BC53-BL52)))</f>
        <v>508.99999999999977</v>
      </c>
      <c r="BE53" s="13">
        <f>BD53*VLOOKUP('Données projet'!$B$11,Paramètres!$A$1:$I$88,3,0)*VLOOKUP('Données projet'!$B$11,Paramètres!$A$1:$I$88,5,0)</f>
        <v>284.53099999999989</v>
      </c>
      <c r="BF53" s="13">
        <f t="shared" si="37"/>
        <v>67.92364301353318</v>
      </c>
      <c r="BG53" s="20">
        <f t="shared" si="7"/>
        <v>613.85850324857017</v>
      </c>
      <c r="BH53" s="59">
        <f t="shared" si="8"/>
        <v>907.19183658190354</v>
      </c>
      <c r="BI53" s="59">
        <f ca="1">AVERAGE(OFFSET($BH$3,0,0,'Données projet'!$E$11+1,1))-AVERAGE(OFFSET($H$3,0,0,'Données projet'!$E$11+1,1))</f>
        <v>355.96253323046608</v>
      </c>
      <c r="BJ53" s="59">
        <f t="shared" si="38"/>
        <v>366.8380442809696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108</v>
      </c>
      <c r="BM53" s="16">
        <f>IF(ISNA(VLOOKUP(A53,'Données projet'!$A$87:$I$107,5,0)),0%,VLOOKUP(A53,'Données projet'!$A$87:$I$107,5,0)*VLOOKUP('Données projet'!$B$11,Paramètres!$A$1:$I$88,7,0))</f>
        <v>0</v>
      </c>
      <c r="BN53" s="16">
        <f>IF(ISNA(VLOOKUP(A53,'Données projet'!$A$87:$I$107,6,0)),0%,VLOOKUP(A53,'Données projet'!$A$87:$I$107,6,0)*VLOOKUP('Données projet'!$B$11,Paramètres!$A$1:$I$88,7,0))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projet'!$B$11,Paramètres!$A$1:$I$88,3,0)*0.475*44/12</f>
        <v>0</v>
      </c>
      <c r="BQ53" s="21">
        <f>EXP(-LN(2)/25)*BQ52+(1-EXP(-LN(2)/25))/(LN(2)/25)*Calculateur!BL53*Calculateur!BN53*VLOOKUP('Données projet'!$B$11,Paramètres!$A$1:$I$88,3,0)*0.475*44/12</f>
        <v>13.066327103379193</v>
      </c>
      <c r="BR53" s="21">
        <f>EXP(-LN(2)/2)*BR52+(1-EXP(-LN(2)/2))/(LN(2)/2)*BL53*BO53*VLOOKUP('Données projet'!$B$11,Paramètres!$A$1:$I$88,3,0)*0.475*44/12</f>
        <v>3.5829547722124676E-2</v>
      </c>
      <c r="BS53" s="22">
        <f t="shared" si="9"/>
        <v>13.102156651101318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241</v>
      </c>
      <c r="BW53" s="12">
        <f>VLOOKUP(A53,'Données projet'!$A$113:$I$133,9,0)</f>
        <v>7.7</v>
      </c>
      <c r="BX53" s="12">
        <f t="array" ref="BX53">INDEX(BW:BW,MIN(IF(ISNUMBER(BW53:BW249),ROW(BW53:BW249),"")))</f>
        <v>7.7</v>
      </c>
      <c r="BY53" s="12">
        <f>IF('Données projet'!$A$114&gt;35,BY52+BX53-CG52,IF(A53&lt;'Données projet'!$A$114,$BV$205^A53,IF(A53='Données projet'!$A$114,'Données projet'!$B$114,BY52+BX53-CG52)))</f>
        <v>240.99999999999974</v>
      </c>
      <c r="BZ53" s="13">
        <f>BY53*VLOOKUP('Données projet'!$B$12,Paramètres!$A$1:$I$88,3,0)*VLOOKUP('Données projet'!$B$12,Paramètres!$A$1:$I$88,5,0)</f>
        <v>157.90319999999983</v>
      </c>
      <c r="CA53" s="13">
        <f t="shared" si="39"/>
        <v>40.369213826539415</v>
      </c>
      <c r="CB53" s="20">
        <f t="shared" si="10"/>
        <v>345.32445408122248</v>
      </c>
      <c r="CC53" s="59">
        <f t="shared" si="11"/>
        <v>638.65778741455574</v>
      </c>
      <c r="CD53" s="59">
        <f ca="1">AVERAGE(OFFSET($CC$3,0,0,'Données projet'!$E$12+1,1))-AVERAGE(OFFSET($H$3,0,0,'Données projet'!$E$12+1,1))</f>
        <v>180.90147430936133</v>
      </c>
      <c r="CE53" s="59">
        <f t="shared" si="40"/>
        <v>226.87949199830018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39</v>
      </c>
      <c r="CH53" s="16">
        <f>IF(ISNA(VLOOKUP(A53,'Données projet'!$A$113:$I$133,5,0)),0%,VLOOKUP(A53,'Données projet'!$A$113:$I$133,5,0)*VLOOKUP('Données projet'!$B$12,Paramètres!$A$1:$I$88,7,0))</f>
        <v>0</v>
      </c>
      <c r="CI53" s="16">
        <f>IF(ISNA(VLOOKUP(A53,'Données projet'!$A$113:$I$133,6,0)),0%,VLOOKUP(A53,'Données projet'!$A$113:$I$133,6,0)*VLOOKUP('Données projet'!$B$12,Paramètres!$A$1:$I$88,7,0))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projet'!$B$12,Paramètres!$A$1:$I$88,3,0)*0.475*44/12</f>
        <v>0</v>
      </c>
      <c r="CL53" s="21">
        <f>EXP(-LN(2)/25)*CL52+(1-EXP(-LN(2)/25))/(LN(2)/25)*Calculateur!CG53*Calculateur!CI53*VLOOKUP('Données projet'!$B$12,Paramètres!$A$1:$I$88,3,0)*0.475*44/12</f>
        <v>3.9460859984693228</v>
      </c>
      <c r="CM53" s="21">
        <f>EXP(-LN(2)/2)*CM52+(1-EXP(-LN(2)/2))/(LN(2)/2)*CG53*CJ53*VLOOKUP('Données projet'!$B$12,Paramètres!$A$1:$I$88,3,0)*0.475*44/12</f>
        <v>8.654745950429853E-3</v>
      </c>
      <c r="CN53" s="22">
        <f t="shared" si="12"/>
        <v>3.9547407444197527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5.6843418860808015E-14</v>
      </c>
      <c r="CU53" s="17">
        <f>CT53*VLOOKUP('Données projet'!$B$13,Paramètres!$A$1:$I$88,3,0)*VLOOKUP('Données projet'!$B$13,Paramètres!$A$1:$I$88,5,0)</f>
        <v>2.8908289095852525E-14</v>
      </c>
      <c r="CV53" s="13">
        <f t="shared" si="41"/>
        <v>5.0177780569126974E-13</v>
      </c>
      <c r="CW53" s="20">
        <f t="shared" si="13"/>
        <v>9.2427828175423786E-13</v>
      </c>
      <c r="CX53" s="59">
        <f t="shared" si="14"/>
        <v>293.33333333333422</v>
      </c>
      <c r="CY53" s="59">
        <f ca="1">AVERAGE(OFFSET($CX$3,0,0,'Données projet'!$E$13+1,1))-AVERAGE(OFFSET($H$3,0,0,'Données projet'!$E$13+1,1))</f>
        <v>133.08385802816008</v>
      </c>
      <c r="CZ53" s="59">
        <f t="shared" si="42"/>
        <v>316.59112511251385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projet'!$B$13,Paramètres!$A$1:$I$88,7,0))</f>
        <v>0</v>
      </c>
      <c r="DD53" s="16">
        <f>IF(ISNA(VLOOKUP(A53,'Données projet'!$A$139:$I$159,6,0)),0%,VLOOKUP(A53,'Données projet'!$A$139:$I$159,6,0)*VLOOKUP('Données projet'!$B$13,Paramètres!$A$1:$I$88,7,0))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projet'!$B$13,Paramètres!$A$1:$I$88,3,0)*0.475*44/12</f>
        <v>48.591059075752462</v>
      </c>
      <c r="DG53" s="21">
        <f>EXP(-LN(2)/25)*DG52+(1-EXP(-LN(2)/25))/(LN(2)/25)*Calculateur!DB53*Calculateur!DD53*VLOOKUP('Données projet'!$B$13,Paramètres!$A$1:$I$88,3,0)*0.475*44/12</f>
        <v>0</v>
      </c>
      <c r="DH53" s="21">
        <f>EXP(-LN(2)/2)*DH52+(1-EXP(-LN(2)/2))/(LN(2)/2)*DB53*DE53*VLOOKUP('Données projet'!$B$13,Paramètres!$A$1:$I$88,3,0)*0.475*44/12</f>
        <v>5.5218786099044395E-3</v>
      </c>
      <c r="DI53" s="22">
        <f t="shared" si="15"/>
        <v>48.596580954362366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projet'!$B$14,Paramètres!$A$1:$I$88,3,0)*VLOOKUP('Données projet'!$B$14,Paramètres!$A$1:$I$88,5,0)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projet'!$B$14,Paramètres!$A$1:$I$88,7,0))</f>
        <v>0</v>
      </c>
      <c r="DY53" s="16">
        <f>IF(ISNA(VLOOKUP(A53,'Données projet'!$A$165:$I$185,6,0)),0%,VLOOKUP(A53,'Données projet'!$A$165:$I$185,6,0)*VLOOKUP('Données projet'!$B$14,Paramètres!$A$1:$I$88,7,0))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projet'!$B$14,Paramètres!$A$1:$I$88,3,0)*0.475*44/12</f>
        <v>#N/A</v>
      </c>
      <c r="EB53" s="21" t="e">
        <f>EXP(-LN(2)/25)*EB52+(1-EXP(-LN(2)/25))/(LN(2)/25)*Calculateur!DW53*Calculateur!DY53*VLOOKUP('Données projet'!$B$14,Paramètres!$A$1:$I$88,3,0)*0.475*44/12</f>
        <v>#N/A</v>
      </c>
      <c r="EC53" s="21" t="e">
        <f>EXP(-LN(2)/2)*EC52+(1-EXP(-LN(2)/2))/(LN(2)/2)*DW53*DZ53*VLOOKUP('Données projet'!$B$14,Paramètres!$A$1:$I$88,3,0)*0.475*44/12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projet'!$B$15,Paramètres!$A$1:$I$88,3,0)*VLOOKUP('Données projet'!$B$15,Paramètres!$A$1:$I$88,5,0)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projet'!$B$15,Paramètres!$A$1:$I$88,7,0))</f>
        <v>0</v>
      </c>
      <c r="ET53" s="16">
        <f>IF(ISNA(VLOOKUP(A53,'Données projet'!$A$191:$I$211,6,0)),0%,VLOOKUP(A53,'Données projet'!$A$191:$I$211,6,0)*VLOOKUP('Données projet'!$B$15,Paramètres!$A$1:$I$88,7,0))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projet'!$B$15,Paramètres!$A$1:$I$88,3,0)*0.475*44/12</f>
        <v>#N/A</v>
      </c>
      <c r="EW53" s="21" t="e">
        <f>EXP(-LN(2)/25)*EW52+(1-EXP(-LN(2)/25))/(LN(2)/25)*Calculateur!ER53*Calculateur!ET53*VLOOKUP('Données projet'!$B$15,Paramètres!$A$1:$I$88,3,0)*0.475*44/12</f>
        <v>#N/A</v>
      </c>
      <c r="EX53" s="21" t="e">
        <f>EXP(-LN(2)/2)*EX52+(1-EXP(-LN(2)/2))/(LN(2)/2)*ER53*EU53*VLOOKUP('Données projet'!$B$15,Paramètres!$A$1:$I$88,3,0)*0.475*44/12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projet'!$B$16,Paramètres!$A$1:$I$88,3,0)*VLOOKUP('Données projet'!$B$16,Paramètres!$A$1:$I$88,5,0)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projet'!$B$16,Paramètres!$A$1:$I$88,7,0))</f>
        <v>0</v>
      </c>
      <c r="FO53" s="16">
        <f>IF(ISNA(VLOOKUP(A53,'Données projet'!$A$217:$I$237,6,0)),0%,VLOOKUP(A53,'Données projet'!$A$217:$I$237,6,0)*VLOOKUP('Données projet'!$B$16,Paramètres!$A$1:$I$88,7,0))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projet'!$B$16,Paramètres!$A$1:$I$88,3,0)*0.475*44/12</f>
        <v>#N/A</v>
      </c>
      <c r="FR53" s="21" t="e">
        <f>EXP(-LN(2)/25)*FR52+(1-EXP(-LN(2)/25))/(LN(2)/25)*Calculateur!FM53*Calculateur!FO53*VLOOKUP('Données projet'!$B$16,Paramètres!$A$1:$I$88,3,0)*0.475*44/12</f>
        <v>#N/A</v>
      </c>
      <c r="FS53" s="21" t="e">
        <f>EXP(-LN(2)/2)*FS52+(1-EXP(-LN(2)/2))/(LN(2)/2)*FM53*FP53*VLOOKUP('Données projet'!$B$16,Paramètres!$A$1:$I$88,3,0)*0.475*44/12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projet'!$B$17,Paramètres!$A$1:$I$88,3,0)*VLOOKUP('Données projet'!$B$17,Paramètres!$A$1:$I$88,5,0)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projet'!$B$17,Paramètres!$A$1:$I$88,7,0))</f>
        <v>0</v>
      </c>
      <c r="GJ53" s="16">
        <f>IF(ISNA(VLOOKUP(A53,'Données projet'!$A$243:$I$263,6,0)),0%,VLOOKUP(A53,'Données projet'!$A$243:$I$263,6,0)*VLOOKUP('Données projet'!$B$17,Paramètres!$A$1:$I$88,7,0))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projet'!$B$17,Paramètres!$A$1:$I$88,3,0)*0.475*44/12</f>
        <v>#N/A</v>
      </c>
      <c r="GM53" s="21" t="e">
        <f>EXP(-LN(2)/25)*GM52+(1-EXP(-LN(2)/25))/(LN(2)/25)*Calculateur!GH53*Calculateur!GJ53*VLOOKUP('Données projet'!$B$17,Paramètres!$A$1:$I$88,3,0)*0.475*44/12</f>
        <v>#N/A</v>
      </c>
      <c r="GN53" s="21" t="e">
        <f>EXP(-LN(2)/2)*GN52+(1-EXP(-LN(2)/2))/(LN(2)/2)*GH53*GK53*VLOOKUP('Données projet'!$B$17,Paramètres!$A$1:$I$88,3,0)*0.475*44/12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projet'!$B$18,Paramètres!$A$1:$I$88,3,0)*VLOOKUP('Données projet'!$B$18,Paramètres!$A$1:$I$88,5,0)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projet'!$B$18,Paramètres!$A$1:$I$88,7,0))</f>
        <v>0</v>
      </c>
      <c r="HE53" s="16">
        <f>IF(ISNA(VLOOKUP(A53,'Données projet'!$A$269:$I$289,6,0)),0%,VLOOKUP(A53,'Données projet'!$A$269:$I$289,6,0)*VLOOKUP('Données projet'!$B$18,Paramètres!$A$1:$I$88,7,0))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projet'!$B$18,Paramètres!$A$1:$I$88,3,0)*0.475*44/12</f>
        <v>#N/A</v>
      </c>
      <c r="HH53" s="21" t="e">
        <f>EXP(-LN(2)/25)*HH52+(1-EXP(-LN(2)/25))/(LN(2)/25)*Calculateur!HC53*Calculateur!HE53*VLOOKUP('Données projet'!$B$18,Paramètres!$A$1:$I$88,3,0)*0.475*44/12</f>
        <v>#N/A</v>
      </c>
      <c r="HI53" s="21" t="e">
        <f>EXP(-LN(2)/2)*HI52+(1-EXP(-LN(2)/2))/(LN(2)/2)*HC53*HF53*VLOOKUP('Données projet'!$B$18,Paramètres!$A$1:$I$88,3,0)*0.475*44/12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5.875</v>
      </c>
      <c r="N54" s="13">
        <f>IF('Données projet'!$A$36&gt;35,N53+M54-V53,IF(A54&lt;'Données projet'!$A$36,$K$205^A54,IF(A54='Données projet'!$A$36,'Données projet'!$B$36,N53+M54-V53)))</f>
        <v>293.375</v>
      </c>
      <c r="O54" s="13">
        <f>N54*VLOOKUP('Données projet'!$B$9,Paramètres!$A$1:$I$88,3,0)*VLOOKUP('Données projet'!$B$9,Paramètres!$A$1:$I$88,5,0)</f>
        <v>175.43825000000004</v>
      </c>
      <c r="P54" s="13">
        <f t="shared" si="33"/>
        <v>44.305769576051844</v>
      </c>
      <c r="Q54" s="20">
        <f t="shared" si="53"/>
        <v>382.72083409495696</v>
      </c>
      <c r="R54" s="59">
        <f t="shared" si="0"/>
        <v>676.05416742829027</v>
      </c>
      <c r="S54" s="59">
        <f ca="1">AVERAGE(OFFSET($R$3,0,0,'Données projet'!$E$9+1,1))-AVERAGE(OFFSET($H$3,0,0,'Données projet'!$E$9+1,1))</f>
        <v>195.73441209602686</v>
      </c>
      <c r="T54" s="59">
        <f t="shared" si="34"/>
        <v>219.19129224309006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projet'!$B$9,Paramètres!$A$1:$I$88,7,0))</f>
        <v>0</v>
      </c>
      <c r="X54" s="16">
        <f>IF(ISNA(VLOOKUP(A54,'Données projet'!$A$35:$I$55,6,0)),0%,VLOOKUP(A54,'Données projet'!$A$35:$I$55,6,0)*VLOOKUP('Données projet'!$B$9,Paramètres!$A$1:$I$88,7,0))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projet'!$B$9,Paramètres!$A$1:$I$88,3,0)*0.475*44/12</f>
        <v>10.062788132850576</v>
      </c>
      <c r="AA54" s="21">
        <f>EXP(-LN(2)/25)*AA53+(1-EXP(-LN(2)/25))/(LN(2)/25)*Calculateur!V54*Calculateur!X54*VLOOKUP('Données projet'!$B$9,Paramètres!$A$1:$I$88,3,0)*0.475*44/12</f>
        <v>7.9090795229689403</v>
      </c>
      <c r="AB54" s="21">
        <f>EXP(-LN(2)/2)*AB53+(1-EXP(-LN(2)/2))/(LN(2)/2)*V54*Y54*VLOOKUP('Données projet'!$B$9,Paramètres!$A$1:$I$88,3,0)*0.475*44/12</f>
        <v>2.7395110874445795E-5</v>
      </c>
      <c r="AC54" s="22">
        <f t="shared" si="3"/>
        <v>17.971895050930389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11.4</v>
      </c>
      <c r="AI54" s="13">
        <f>IF('Données projet'!$A$62&gt;35,AI53+AH54-AQ53,IF(A54&lt;'Données projet'!$A$62,$AF$205^A54,IF(A54='Données projet'!$A$62,'Données projet'!$B$62,AI53+AH54-AQ53)))</f>
        <v>284.39999999999998</v>
      </c>
      <c r="AJ54" s="13">
        <f>AI54*VLOOKUP('Données projet'!$B$10,Paramètres!$A$1:$I$88,3,0)*VLOOKUP('Données projet'!$B$10,Paramètres!$A$1:$I$88,5,0)</f>
        <v>170.07119999999998</v>
      </c>
      <c r="AK54" s="13">
        <f t="shared" si="35"/>
        <v>43.105969628155904</v>
      </c>
      <c r="AL54" s="20">
        <f t="shared" si="4"/>
        <v>371.2835704357048</v>
      </c>
      <c r="AM54" s="59">
        <f t="shared" si="5"/>
        <v>664.61690376903812</v>
      </c>
      <c r="AN54" s="59">
        <f ca="1">AVERAGE(OFFSET($AM$3,0,0,'Données projet'!$E$10+1,1))-AVERAGE(OFFSET($H$3,0,0,'Données projet'!$E$10+1,1))</f>
        <v>246.59447135626942</v>
      </c>
      <c r="AO54" s="59">
        <f t="shared" si="36"/>
        <v>262.00382544285367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projet'!$B$10,Paramètres!$A$1:$I$88,7,0))</f>
        <v>0</v>
      </c>
      <c r="AS54" s="16">
        <f>IF(ISNA(VLOOKUP(A54,'Données projet'!$A$61:$I$81,6,0)),0%,VLOOKUP(A54,'Données projet'!$A$61:$I$81,6,0)*VLOOKUP('Données projet'!$B$10,Paramètres!$A$1:$I$88,7,0))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projet'!$B$10,Paramètres!$A$1:$I$88,3,0)*0.475*44/12</f>
        <v>0</v>
      </c>
      <c r="AV54" s="21">
        <f>EXP(-LN(2)/25)*AV53+(1-EXP(-LN(2)/25))/(LN(2)/25)*Calculateur!AQ54*Calculateur!AS54*VLOOKUP('Données projet'!$B$10,Paramètres!$A$1:$I$88,3,0)*0.475*44/12</f>
        <v>7.1781584500912263</v>
      </c>
      <c r="AW54" s="21">
        <f>EXP(-LN(2)/2)*AW53+(1-EXP(-LN(2)/2))/(LN(2)/2)*AQ54*AT54*VLOOKUP('Données projet'!$B$10,Paramètres!$A$1:$I$88,3,0)*0.475*44/12</f>
        <v>1.6385928984368508E-2</v>
      </c>
      <c r="AX54" s="21">
        <f t="shared" si="6"/>
        <v>7.1945443790755945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16.2</v>
      </c>
      <c r="BD54" s="12">
        <f>IF('Données projet'!$A$88&gt;35,BD53+BC54-BL53,IF(A54&lt;'Données projet'!$A$88,$BA$205^A54,IF(A54='Données projet'!$A$88,'Données projet'!$B$88,BD53+BC54-BL53)))</f>
        <v>417.19999999999982</v>
      </c>
      <c r="BE54" s="13">
        <f>BD54*VLOOKUP('Données projet'!$B$11,Paramètres!$A$1:$I$88,3,0)*VLOOKUP('Données projet'!$B$11,Paramètres!$A$1:$I$88,5,0)</f>
        <v>233.21479999999991</v>
      </c>
      <c r="BF54" s="13">
        <f t="shared" si="37"/>
        <v>56.977233907865298</v>
      </c>
      <c r="BG54" s="20">
        <f t="shared" si="7"/>
        <v>505.41779238953194</v>
      </c>
      <c r="BH54" s="59">
        <f t="shared" si="8"/>
        <v>798.75112572286525</v>
      </c>
      <c r="BI54" s="59">
        <f ca="1">AVERAGE(OFFSET($BH$3,0,0,'Données projet'!$E$11+1,1))-AVERAGE(OFFSET($H$3,0,0,'Données projet'!$E$11+1,1))</f>
        <v>355.96253323046608</v>
      </c>
      <c r="BJ54" s="59">
        <f t="shared" si="38"/>
        <v>366.8380442809696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projet'!$B$11,Paramètres!$A$1:$I$88,7,0))</f>
        <v>0</v>
      </c>
      <c r="BN54" s="16">
        <f>IF(ISNA(VLOOKUP(A54,'Données projet'!$A$87:$I$107,6,0)),0%,VLOOKUP(A54,'Données projet'!$A$87:$I$107,6,0)*VLOOKUP('Données projet'!$B$11,Paramètres!$A$1:$I$88,7,0))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projet'!$B$11,Paramètres!$A$1:$I$88,3,0)*0.475*44/12</f>
        <v>0</v>
      </c>
      <c r="BQ54" s="21">
        <f>EXP(-LN(2)/25)*BQ53+(1-EXP(-LN(2)/25))/(LN(2)/25)*Calculateur!BL54*Calculateur!BN54*VLOOKUP('Données projet'!$B$11,Paramètres!$A$1:$I$88,3,0)*0.475*44/12</f>
        <v>12.70902770160901</v>
      </c>
      <c r="BR54" s="21">
        <f>EXP(-LN(2)/2)*BR53+(1-EXP(-LN(2)/2))/(LN(2)/2)*BL54*BO54*VLOOKUP('Données projet'!$B$11,Paramètres!$A$1:$I$88,3,0)*0.475*44/12</f>
        <v>2.5335316161161376E-2</v>
      </c>
      <c r="BS54" s="22">
        <f t="shared" si="9"/>
        <v>12.734363017770171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207.59999999999974</v>
      </c>
      <c r="BZ54" s="13">
        <f>BY54*VLOOKUP('Données projet'!$B$12,Paramètres!$A$1:$I$88,3,0)*VLOOKUP('Données projet'!$B$12,Paramètres!$A$1:$I$88,5,0)</f>
        <v>136.01951999999983</v>
      </c>
      <c r="CA54" s="13">
        <f t="shared" si="39"/>
        <v>35.383608299804393</v>
      </c>
      <c r="CB54" s="20">
        <f t="shared" si="10"/>
        <v>298.52711512215905</v>
      </c>
      <c r="CC54" s="59">
        <f t="shared" si="11"/>
        <v>591.86044845549236</v>
      </c>
      <c r="CD54" s="59">
        <f ca="1">AVERAGE(OFFSET($CC$3,0,0,'Données projet'!$E$12+1,1))-AVERAGE(OFFSET($H$3,0,0,'Données projet'!$E$12+1,1))</f>
        <v>180.90147430936133</v>
      </c>
      <c r="CE54" s="59">
        <f t="shared" si="40"/>
        <v>226.87949199830018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projet'!$B$12,Paramètres!$A$1:$I$88,7,0))</f>
        <v>0</v>
      </c>
      <c r="CI54" s="16">
        <f>IF(ISNA(VLOOKUP(A54,'Données projet'!$A$113:$I$133,6,0)),0%,VLOOKUP(A54,'Données projet'!$A$113:$I$133,6,0)*VLOOKUP('Données projet'!$B$12,Paramètres!$A$1:$I$88,7,0))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projet'!$B$12,Paramètres!$A$1:$I$88,3,0)*0.475*44/12</f>
        <v>0</v>
      </c>
      <c r="CL54" s="21">
        <f>EXP(-LN(2)/25)*CL53+(1-EXP(-LN(2)/25))/(LN(2)/25)*Calculateur!CG54*Calculateur!CI54*VLOOKUP('Données projet'!$B$12,Paramètres!$A$1:$I$88,3,0)*0.475*44/12</f>
        <v>3.8381800693255355</v>
      </c>
      <c r="CM54" s="21">
        <f>EXP(-LN(2)/2)*CM53+(1-EXP(-LN(2)/2))/(LN(2)/2)*CG54*CJ54*VLOOKUP('Données projet'!$B$12,Paramètres!$A$1:$I$88,3,0)*0.475*44/12</f>
        <v>6.1198295509957605E-3</v>
      </c>
      <c r="CN54" s="22">
        <f t="shared" si="12"/>
        <v>3.8442998988765313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5.6843418860808015E-14</v>
      </c>
      <c r="CU54" s="17">
        <f>CT54*VLOOKUP('Données projet'!$B$13,Paramètres!$A$1:$I$88,3,0)*VLOOKUP('Données projet'!$B$13,Paramètres!$A$1:$I$88,5,0)</f>
        <v>2.8908289095852525E-14</v>
      </c>
      <c r="CV54" s="13">
        <f t="shared" si="41"/>
        <v>5.0177780569126974E-13</v>
      </c>
      <c r="CW54" s="20">
        <f t="shared" si="13"/>
        <v>9.2427828175423786E-13</v>
      </c>
      <c r="CX54" s="59">
        <f t="shared" si="14"/>
        <v>293.33333333333422</v>
      </c>
      <c r="CY54" s="59">
        <f ca="1">AVERAGE(OFFSET($CX$3,0,0,'Données projet'!$E$13+1,1))-AVERAGE(OFFSET($H$3,0,0,'Données projet'!$E$13+1,1))</f>
        <v>133.08385802816008</v>
      </c>
      <c r="CZ54" s="59">
        <f t="shared" si="42"/>
        <v>316.59112511251385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projet'!$B$13,Paramètres!$A$1:$I$88,7,0))</f>
        <v>0</v>
      </c>
      <c r="DD54" s="16">
        <f>IF(ISNA(VLOOKUP(A54,'Données projet'!$A$139:$I$159,6,0)),0%,VLOOKUP(A54,'Données projet'!$A$139:$I$159,6,0)*VLOOKUP('Données projet'!$B$13,Paramètres!$A$1:$I$88,7,0))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projet'!$B$13,Paramètres!$A$1:$I$88,3,0)*0.475*44/12</f>
        <v>47.638218044896519</v>
      </c>
      <c r="DG54" s="21">
        <f>EXP(-LN(2)/25)*DG53+(1-EXP(-LN(2)/25))/(LN(2)/25)*Calculateur!DB54*Calculateur!DD54*VLOOKUP('Données projet'!$B$13,Paramètres!$A$1:$I$88,3,0)*0.475*44/12</f>
        <v>0</v>
      </c>
      <c r="DH54" s="21">
        <f>EXP(-LN(2)/2)*DH53+(1-EXP(-LN(2)/2))/(LN(2)/2)*DB54*DE54*VLOOKUP('Données projet'!$B$13,Paramètres!$A$1:$I$88,3,0)*0.475*44/12</f>
        <v>3.9045578099523759E-3</v>
      </c>
      <c r="DI54" s="22">
        <f t="shared" si="15"/>
        <v>47.642122602706472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projet'!$B$14,Paramètres!$A$1:$I$88,3,0)*VLOOKUP('Données projet'!$B$14,Paramètres!$A$1:$I$88,5,0)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projet'!$B$14,Paramètres!$A$1:$I$88,7,0))</f>
        <v>0</v>
      </c>
      <c r="DY54" s="16">
        <f>IF(ISNA(VLOOKUP(A54,'Données projet'!$A$165:$I$185,6,0)),0%,VLOOKUP(A54,'Données projet'!$A$165:$I$185,6,0)*VLOOKUP('Données projet'!$B$14,Paramètres!$A$1:$I$88,7,0))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projet'!$B$14,Paramètres!$A$1:$I$88,3,0)*0.475*44/12</f>
        <v>#N/A</v>
      </c>
      <c r="EB54" s="21" t="e">
        <f>EXP(-LN(2)/25)*EB53+(1-EXP(-LN(2)/25))/(LN(2)/25)*Calculateur!DW54*Calculateur!DY54*VLOOKUP('Données projet'!$B$14,Paramètres!$A$1:$I$88,3,0)*0.475*44/12</f>
        <v>#N/A</v>
      </c>
      <c r="EC54" s="21" t="e">
        <f>EXP(-LN(2)/2)*EC53+(1-EXP(-LN(2)/2))/(LN(2)/2)*DW54*DZ54*VLOOKUP('Données projet'!$B$14,Paramètres!$A$1:$I$88,3,0)*0.475*44/12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projet'!$B$15,Paramètres!$A$1:$I$88,3,0)*VLOOKUP('Données projet'!$B$15,Paramètres!$A$1:$I$88,5,0)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projet'!$B$15,Paramètres!$A$1:$I$88,7,0))</f>
        <v>0</v>
      </c>
      <c r="ET54" s="16">
        <f>IF(ISNA(VLOOKUP(A54,'Données projet'!$A$191:$I$211,6,0)),0%,VLOOKUP(A54,'Données projet'!$A$191:$I$211,6,0)*VLOOKUP('Données projet'!$B$15,Paramètres!$A$1:$I$88,7,0))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projet'!$B$15,Paramètres!$A$1:$I$88,3,0)*0.475*44/12</f>
        <v>#N/A</v>
      </c>
      <c r="EW54" s="21" t="e">
        <f>EXP(-LN(2)/25)*EW53+(1-EXP(-LN(2)/25))/(LN(2)/25)*Calculateur!ER54*Calculateur!ET54*VLOOKUP('Données projet'!$B$15,Paramètres!$A$1:$I$88,3,0)*0.475*44/12</f>
        <v>#N/A</v>
      </c>
      <c r="EX54" s="21" t="e">
        <f>EXP(-LN(2)/2)*EX53+(1-EXP(-LN(2)/2))/(LN(2)/2)*ER54*EU54*VLOOKUP('Données projet'!$B$15,Paramètres!$A$1:$I$88,3,0)*0.475*44/12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projet'!$B$16,Paramètres!$A$1:$I$88,3,0)*VLOOKUP('Données projet'!$B$16,Paramètres!$A$1:$I$88,5,0)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projet'!$B$16,Paramètres!$A$1:$I$88,7,0))</f>
        <v>0</v>
      </c>
      <c r="FO54" s="16">
        <f>IF(ISNA(VLOOKUP(A54,'Données projet'!$A$217:$I$237,6,0)),0%,VLOOKUP(A54,'Données projet'!$A$217:$I$237,6,0)*VLOOKUP('Données projet'!$B$16,Paramètres!$A$1:$I$88,7,0))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projet'!$B$16,Paramètres!$A$1:$I$88,3,0)*0.475*44/12</f>
        <v>#N/A</v>
      </c>
      <c r="FR54" s="21" t="e">
        <f>EXP(-LN(2)/25)*FR53+(1-EXP(-LN(2)/25))/(LN(2)/25)*Calculateur!FM54*Calculateur!FO54*VLOOKUP('Données projet'!$B$16,Paramètres!$A$1:$I$88,3,0)*0.475*44/12</f>
        <v>#N/A</v>
      </c>
      <c r="FS54" s="21" t="e">
        <f>EXP(-LN(2)/2)*FS53+(1-EXP(-LN(2)/2))/(LN(2)/2)*FM54*FP54*VLOOKUP('Données projet'!$B$16,Paramètres!$A$1:$I$88,3,0)*0.475*44/12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projet'!$B$17,Paramètres!$A$1:$I$88,3,0)*VLOOKUP('Données projet'!$B$17,Paramètres!$A$1:$I$88,5,0)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projet'!$B$17,Paramètres!$A$1:$I$88,7,0))</f>
        <v>0</v>
      </c>
      <c r="GJ54" s="16">
        <f>IF(ISNA(VLOOKUP(A54,'Données projet'!$A$243:$I$263,6,0)),0%,VLOOKUP(A54,'Données projet'!$A$243:$I$263,6,0)*VLOOKUP('Données projet'!$B$17,Paramètres!$A$1:$I$88,7,0))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projet'!$B$17,Paramètres!$A$1:$I$88,3,0)*0.475*44/12</f>
        <v>#N/A</v>
      </c>
      <c r="GM54" s="21" t="e">
        <f>EXP(-LN(2)/25)*GM53+(1-EXP(-LN(2)/25))/(LN(2)/25)*Calculateur!GH54*Calculateur!GJ54*VLOOKUP('Données projet'!$B$17,Paramètres!$A$1:$I$88,3,0)*0.475*44/12</f>
        <v>#N/A</v>
      </c>
      <c r="GN54" s="21" t="e">
        <f>EXP(-LN(2)/2)*GN53+(1-EXP(-LN(2)/2))/(LN(2)/2)*GH54*GK54*VLOOKUP('Données projet'!$B$17,Paramètres!$A$1:$I$88,3,0)*0.475*44/12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projet'!$B$18,Paramètres!$A$1:$I$88,3,0)*VLOOKUP('Données projet'!$B$18,Paramètres!$A$1:$I$88,5,0)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projet'!$B$18,Paramètres!$A$1:$I$88,7,0))</f>
        <v>0</v>
      </c>
      <c r="HE54" s="16">
        <f>IF(ISNA(VLOOKUP(A54,'Données projet'!$A$269:$I$289,6,0)),0%,VLOOKUP(A54,'Données projet'!$A$269:$I$289,6,0)*VLOOKUP('Données projet'!$B$18,Paramètres!$A$1:$I$88,7,0))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projet'!$B$18,Paramètres!$A$1:$I$88,3,0)*0.475*44/12</f>
        <v>#N/A</v>
      </c>
      <c r="HH54" s="21" t="e">
        <f>EXP(-LN(2)/25)*HH53+(1-EXP(-LN(2)/25))/(LN(2)/25)*Calculateur!HC54*Calculateur!HE54*VLOOKUP('Données projet'!$B$18,Paramètres!$A$1:$I$88,3,0)*0.475*44/12</f>
        <v>#N/A</v>
      </c>
      <c r="HI54" s="21" t="e">
        <f>EXP(-LN(2)/2)*HI53+(1-EXP(-LN(2)/2))/(LN(2)/2)*HC54*HF54*VLOOKUP('Données projet'!$B$18,Paramètres!$A$1:$I$88,3,0)*0.475*44/12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5.875</v>
      </c>
      <c r="N55" s="13">
        <f>IF('Données projet'!$A$36&gt;35,N54+M55-V54,IF(A55&lt;'Données projet'!$A$36,$K$205^A55,IF(A55='Données projet'!$A$36,'Données projet'!$B$36,N54+M55-V54)))</f>
        <v>299.25</v>
      </c>
      <c r="O55" s="13">
        <f>N55*VLOOKUP('Données projet'!$B$9,Paramètres!$A$1:$I$88,3,0)*VLOOKUP('Données projet'!$B$9,Paramètres!$A$1:$I$88,5,0)</f>
        <v>178.95150000000001</v>
      </c>
      <c r="P55" s="13">
        <f t="shared" si="33"/>
        <v>45.088834979390157</v>
      </c>
      <c r="Q55" s="20">
        <f t="shared" si="53"/>
        <v>390.20358342243782</v>
      </c>
      <c r="R55" s="59">
        <f t="shared" si="0"/>
        <v>683.53691675577113</v>
      </c>
      <c r="S55" s="59">
        <f ca="1">AVERAGE(OFFSET($R$3,0,0,'Données projet'!$E$9+1,1))-AVERAGE(OFFSET($H$3,0,0,'Données projet'!$E$9+1,1))</f>
        <v>195.73441209602686</v>
      </c>
      <c r="T55" s="59">
        <f t="shared" si="34"/>
        <v>219.19129224309006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projet'!$B$9,Paramètres!$A$1:$I$88,7,0))</f>
        <v>0</v>
      </c>
      <c r="X55" s="16">
        <f>IF(ISNA(VLOOKUP(A55,'Données projet'!$A$35:$I$55,6,0)),0%,VLOOKUP(A55,'Données projet'!$A$35:$I$55,6,0)*VLOOKUP('Données projet'!$B$9,Paramètres!$A$1:$I$88,7,0))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projet'!$B$9,Paramètres!$A$1:$I$88,3,0)*0.475*44/12</f>
        <v>9.8654629952600903</v>
      </c>
      <c r="AA55" s="21">
        <f>EXP(-LN(2)/25)*AA54+(1-EXP(-LN(2)/25))/(LN(2)/25)*Calculateur!V55*Calculateur!X55*VLOOKUP('Données projet'!$B$9,Paramètres!$A$1:$I$88,3,0)*0.475*44/12</f>
        <v>7.6928053274929393</v>
      </c>
      <c r="AB55" s="21">
        <f>EXP(-LN(2)/2)*AB54+(1-EXP(-LN(2)/2))/(LN(2)/2)*V55*Y55*VLOOKUP('Données projet'!$B$9,Paramètres!$A$1:$I$88,3,0)*0.475*44/12</f>
        <v>1.9371268670677951E-5</v>
      </c>
      <c r="AC55" s="22">
        <f t="shared" si="3"/>
        <v>17.558287694021701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11.4</v>
      </c>
      <c r="AI55" s="13">
        <f>IF('Données projet'!$A$62&gt;35,AI54+AH55-AQ54,IF(A55&lt;'Données projet'!$A$62,$AF$205^A55,IF(A55='Données projet'!$A$62,'Données projet'!$B$62,AI54+AH55-AQ54)))</f>
        <v>295.79999999999995</v>
      </c>
      <c r="AJ55" s="13">
        <f>AI55*VLOOKUP('Données projet'!$B$10,Paramètres!$A$1:$I$88,3,0)*VLOOKUP('Données projet'!$B$10,Paramètres!$A$1:$I$88,5,0)</f>
        <v>176.88839999999999</v>
      </c>
      <c r="AK55" s="13">
        <f t="shared" si="35"/>
        <v>44.629211487047861</v>
      </c>
      <c r="AL55" s="20">
        <f t="shared" si="4"/>
        <v>385.80984000660828</v>
      </c>
      <c r="AM55" s="59">
        <f t="shared" si="5"/>
        <v>679.14317333994154</v>
      </c>
      <c r="AN55" s="59">
        <f ca="1">AVERAGE(OFFSET($AM$3,0,0,'Données projet'!$E$10+1,1))-AVERAGE(OFFSET($H$3,0,0,'Données projet'!$E$10+1,1))</f>
        <v>246.59447135626942</v>
      </c>
      <c r="AO55" s="59">
        <f t="shared" si="36"/>
        <v>262.00382544285367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projet'!$B$10,Paramètres!$A$1:$I$88,7,0))</f>
        <v>0</v>
      </c>
      <c r="AS55" s="16">
        <f>IF(ISNA(VLOOKUP(A55,'Données projet'!$A$61:$I$81,6,0)),0%,VLOOKUP(A55,'Données projet'!$A$61:$I$81,6,0)*VLOOKUP('Données projet'!$B$10,Paramètres!$A$1:$I$88,7,0))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projet'!$B$10,Paramètres!$A$1:$I$88,3,0)*0.475*44/12</f>
        <v>0</v>
      </c>
      <c r="AV55" s="21">
        <f>EXP(-LN(2)/25)*AV54+(1-EXP(-LN(2)/25))/(LN(2)/25)*Calculateur!AQ55*Calculateur!AS55*VLOOKUP('Données projet'!$B$10,Paramètres!$A$1:$I$88,3,0)*0.475*44/12</f>
        <v>6.9818713297905344</v>
      </c>
      <c r="AW55" s="21">
        <f>EXP(-LN(2)/2)*AW54+(1-EXP(-LN(2)/2))/(LN(2)/2)*AQ55*AT55*VLOOKUP('Données projet'!$B$10,Paramètres!$A$1:$I$88,3,0)*0.475*44/12</f>
        <v>1.158660150088817E-2</v>
      </c>
      <c r="AX55" s="21">
        <f t="shared" si="6"/>
        <v>6.9934579312914229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16.2</v>
      </c>
      <c r="BD55" s="12">
        <f>IF('Données projet'!$A$88&gt;35,BD54+BC55-BL54,IF(A55&lt;'Données projet'!$A$88,$BA$205^A55,IF(A55='Données projet'!$A$88,'Données projet'!$B$88,BD54+BC55-BL54)))</f>
        <v>433.39999999999981</v>
      </c>
      <c r="BE55" s="13">
        <f>BD55*VLOOKUP('Données projet'!$B$11,Paramètres!$A$1:$I$88,3,0)*VLOOKUP('Données projet'!$B$11,Paramètres!$A$1:$I$88,5,0)</f>
        <v>242.27059999999989</v>
      </c>
      <c r="BF55" s="13">
        <f t="shared" si="37"/>
        <v>58.927793080541385</v>
      </c>
      <c r="BG55" s="20">
        <f t="shared" si="7"/>
        <v>524.58720128194273</v>
      </c>
      <c r="BH55" s="59">
        <f t="shared" si="8"/>
        <v>817.92053461527598</v>
      </c>
      <c r="BI55" s="59">
        <f ca="1">AVERAGE(OFFSET($BH$3,0,0,'Données projet'!$E$11+1,1))-AVERAGE(OFFSET($H$3,0,0,'Données projet'!$E$11+1,1))</f>
        <v>355.96253323046608</v>
      </c>
      <c r="BJ55" s="59">
        <f t="shared" si="38"/>
        <v>366.8380442809696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projet'!$B$11,Paramètres!$A$1:$I$88,7,0))</f>
        <v>0</v>
      </c>
      <c r="BN55" s="16">
        <f>IF(ISNA(VLOOKUP(A55,'Données projet'!$A$87:$I$107,6,0)),0%,VLOOKUP(A55,'Données projet'!$A$87:$I$107,6,0)*VLOOKUP('Données projet'!$B$11,Paramètres!$A$1:$I$88,7,0))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projet'!$B$11,Paramètres!$A$1:$I$88,3,0)*0.475*44/12</f>
        <v>0</v>
      </c>
      <c r="BQ55" s="21">
        <f>EXP(-LN(2)/25)*BQ54+(1-EXP(-LN(2)/25))/(LN(2)/25)*Calculateur!BL55*Calculateur!BN55*VLOOKUP('Données projet'!$B$11,Paramètres!$A$1:$I$88,3,0)*0.475*44/12</f>
        <v>12.361498670769791</v>
      </c>
      <c r="BR55" s="21">
        <f>EXP(-LN(2)/2)*BR54+(1-EXP(-LN(2)/2))/(LN(2)/2)*BL55*BO55*VLOOKUP('Données projet'!$B$11,Paramètres!$A$1:$I$88,3,0)*0.475*44/12</f>
        <v>1.7914773861062338E-2</v>
      </c>
      <c r="BS55" s="22">
        <f t="shared" si="9"/>
        <v>12.379413444630853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213.19999999999973</v>
      </c>
      <c r="BZ55" s="13">
        <f>BY55*VLOOKUP('Données projet'!$B$12,Paramètres!$A$1:$I$88,3,0)*VLOOKUP('Données projet'!$B$12,Paramètres!$A$1:$I$88,5,0)</f>
        <v>139.68863999999982</v>
      </c>
      <c r="CA55" s="13">
        <f t="shared" si="39"/>
        <v>36.225668051124266</v>
      </c>
      <c r="CB55" s="20">
        <f t="shared" si="10"/>
        <v>306.38408652237445</v>
      </c>
      <c r="CC55" s="59">
        <f t="shared" si="11"/>
        <v>599.7174198557077</v>
      </c>
      <c r="CD55" s="59">
        <f ca="1">AVERAGE(OFFSET($CC$3,0,0,'Données projet'!$E$12+1,1))-AVERAGE(OFFSET($H$3,0,0,'Données projet'!$E$12+1,1))</f>
        <v>180.90147430936133</v>
      </c>
      <c r="CE55" s="59">
        <f t="shared" si="40"/>
        <v>226.87949199830018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projet'!$B$12,Paramètres!$A$1:$I$88,7,0))</f>
        <v>0</v>
      </c>
      <c r="CI55" s="16">
        <f>IF(ISNA(VLOOKUP(A55,'Données projet'!$A$113:$I$133,6,0)),0%,VLOOKUP(A55,'Données projet'!$A$113:$I$133,6,0)*VLOOKUP('Données projet'!$B$12,Paramètres!$A$1:$I$88,7,0))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projet'!$B$12,Paramètres!$A$1:$I$88,3,0)*0.475*44/12</f>
        <v>0</v>
      </c>
      <c r="CL55" s="21">
        <f>EXP(-LN(2)/25)*CL54+(1-EXP(-LN(2)/25))/(LN(2)/25)*Calculateur!CG55*Calculateur!CI55*VLOOKUP('Données projet'!$B$12,Paramètres!$A$1:$I$88,3,0)*0.475*44/12</f>
        <v>3.7332248334887113</v>
      </c>
      <c r="CM55" s="21">
        <f>EXP(-LN(2)/2)*CM54+(1-EXP(-LN(2)/2))/(LN(2)/2)*CG55*CJ55*VLOOKUP('Données projet'!$B$12,Paramètres!$A$1:$I$88,3,0)*0.475*44/12</f>
        <v>4.3273729752149265E-3</v>
      </c>
      <c r="CN55" s="22">
        <f t="shared" si="12"/>
        <v>3.7375522064639264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5.6843418860808015E-14</v>
      </c>
      <c r="CU55" s="17">
        <f>CT55*VLOOKUP('Données projet'!$B$13,Paramètres!$A$1:$I$88,3,0)*VLOOKUP('Données projet'!$B$13,Paramètres!$A$1:$I$88,5,0)</f>
        <v>2.8908289095852525E-14</v>
      </c>
      <c r="CV55" s="13">
        <f t="shared" si="41"/>
        <v>5.0177780569126974E-13</v>
      </c>
      <c r="CW55" s="20">
        <f t="shared" si="13"/>
        <v>9.2427828175423786E-13</v>
      </c>
      <c r="CX55" s="59">
        <f t="shared" si="14"/>
        <v>293.33333333333422</v>
      </c>
      <c r="CY55" s="59">
        <f ca="1">AVERAGE(OFFSET($CX$3,0,0,'Données projet'!$E$13+1,1))-AVERAGE(OFFSET($H$3,0,0,'Données projet'!$E$13+1,1))</f>
        <v>133.08385802816008</v>
      </c>
      <c r="CZ55" s="59">
        <f t="shared" si="42"/>
        <v>316.59112511251385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projet'!$B$13,Paramètres!$A$1:$I$88,7,0))</f>
        <v>0</v>
      </c>
      <c r="DD55" s="16">
        <f>IF(ISNA(VLOOKUP(A55,'Données projet'!$A$139:$I$159,6,0)),0%,VLOOKUP(A55,'Données projet'!$A$139:$I$159,6,0)*VLOOKUP('Données projet'!$B$13,Paramètres!$A$1:$I$88,7,0))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projet'!$B$13,Paramètres!$A$1:$I$88,3,0)*0.475*44/12</f>
        <v>46.704061645480017</v>
      </c>
      <c r="DG55" s="21">
        <f>EXP(-LN(2)/25)*DG54+(1-EXP(-LN(2)/25))/(LN(2)/25)*Calculateur!DB55*Calculateur!DD55*VLOOKUP('Données projet'!$B$13,Paramètres!$A$1:$I$88,3,0)*0.475*44/12</f>
        <v>0</v>
      </c>
      <c r="DH55" s="21">
        <f>EXP(-LN(2)/2)*DH54+(1-EXP(-LN(2)/2))/(LN(2)/2)*DB55*DE55*VLOOKUP('Données projet'!$B$13,Paramètres!$A$1:$I$88,3,0)*0.475*44/12</f>
        <v>2.7609393049522202E-3</v>
      </c>
      <c r="DI55" s="22">
        <f t="shared" si="15"/>
        <v>46.706822584784966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projet'!$B$14,Paramètres!$A$1:$I$88,3,0)*VLOOKUP('Données projet'!$B$14,Paramètres!$A$1:$I$88,5,0)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projet'!$B$14,Paramètres!$A$1:$I$88,7,0))</f>
        <v>0</v>
      </c>
      <c r="DY55" s="16">
        <f>IF(ISNA(VLOOKUP(A55,'Données projet'!$A$165:$I$185,6,0)),0%,VLOOKUP(A55,'Données projet'!$A$165:$I$185,6,0)*VLOOKUP('Données projet'!$B$14,Paramètres!$A$1:$I$88,7,0))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projet'!$B$14,Paramètres!$A$1:$I$88,3,0)*0.475*44/12</f>
        <v>#N/A</v>
      </c>
      <c r="EB55" s="21" t="e">
        <f>EXP(-LN(2)/25)*EB54+(1-EXP(-LN(2)/25))/(LN(2)/25)*Calculateur!DW55*Calculateur!DY55*VLOOKUP('Données projet'!$B$14,Paramètres!$A$1:$I$88,3,0)*0.475*44/12</f>
        <v>#N/A</v>
      </c>
      <c r="EC55" s="21" t="e">
        <f>EXP(-LN(2)/2)*EC54+(1-EXP(-LN(2)/2))/(LN(2)/2)*DW55*DZ55*VLOOKUP('Données projet'!$B$14,Paramètres!$A$1:$I$88,3,0)*0.475*44/12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projet'!$B$15,Paramètres!$A$1:$I$88,3,0)*VLOOKUP('Données projet'!$B$15,Paramètres!$A$1:$I$88,5,0)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projet'!$B$15,Paramètres!$A$1:$I$88,7,0))</f>
        <v>0</v>
      </c>
      <c r="ET55" s="16">
        <f>IF(ISNA(VLOOKUP(A55,'Données projet'!$A$191:$I$211,6,0)),0%,VLOOKUP(A55,'Données projet'!$A$191:$I$211,6,0)*VLOOKUP('Données projet'!$B$15,Paramètres!$A$1:$I$88,7,0))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projet'!$B$15,Paramètres!$A$1:$I$88,3,0)*0.475*44/12</f>
        <v>#N/A</v>
      </c>
      <c r="EW55" s="21" t="e">
        <f>EXP(-LN(2)/25)*EW54+(1-EXP(-LN(2)/25))/(LN(2)/25)*Calculateur!ER55*Calculateur!ET55*VLOOKUP('Données projet'!$B$15,Paramètres!$A$1:$I$88,3,0)*0.475*44/12</f>
        <v>#N/A</v>
      </c>
      <c r="EX55" s="21" t="e">
        <f>EXP(-LN(2)/2)*EX54+(1-EXP(-LN(2)/2))/(LN(2)/2)*ER55*EU55*VLOOKUP('Données projet'!$B$15,Paramètres!$A$1:$I$88,3,0)*0.475*44/12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projet'!$B$16,Paramètres!$A$1:$I$88,3,0)*VLOOKUP('Données projet'!$B$16,Paramètres!$A$1:$I$88,5,0)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projet'!$B$16,Paramètres!$A$1:$I$88,7,0))</f>
        <v>0</v>
      </c>
      <c r="FO55" s="16">
        <f>IF(ISNA(VLOOKUP(A55,'Données projet'!$A$217:$I$237,6,0)),0%,VLOOKUP(A55,'Données projet'!$A$217:$I$237,6,0)*VLOOKUP('Données projet'!$B$16,Paramètres!$A$1:$I$88,7,0))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projet'!$B$16,Paramètres!$A$1:$I$88,3,0)*0.475*44/12</f>
        <v>#N/A</v>
      </c>
      <c r="FR55" s="21" t="e">
        <f>EXP(-LN(2)/25)*FR54+(1-EXP(-LN(2)/25))/(LN(2)/25)*Calculateur!FM55*Calculateur!FO55*VLOOKUP('Données projet'!$B$16,Paramètres!$A$1:$I$88,3,0)*0.475*44/12</f>
        <v>#N/A</v>
      </c>
      <c r="FS55" s="21" t="e">
        <f>EXP(-LN(2)/2)*FS54+(1-EXP(-LN(2)/2))/(LN(2)/2)*FM55*FP55*VLOOKUP('Données projet'!$B$16,Paramètres!$A$1:$I$88,3,0)*0.475*44/12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projet'!$B$17,Paramètres!$A$1:$I$88,3,0)*VLOOKUP('Données projet'!$B$17,Paramètres!$A$1:$I$88,5,0)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projet'!$B$17,Paramètres!$A$1:$I$88,7,0))</f>
        <v>0</v>
      </c>
      <c r="GJ55" s="16">
        <f>IF(ISNA(VLOOKUP(A55,'Données projet'!$A$243:$I$263,6,0)),0%,VLOOKUP(A55,'Données projet'!$A$243:$I$263,6,0)*VLOOKUP('Données projet'!$B$17,Paramètres!$A$1:$I$88,7,0))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projet'!$B$17,Paramètres!$A$1:$I$88,3,0)*0.475*44/12</f>
        <v>#N/A</v>
      </c>
      <c r="GM55" s="21" t="e">
        <f>EXP(-LN(2)/25)*GM54+(1-EXP(-LN(2)/25))/(LN(2)/25)*Calculateur!GH55*Calculateur!GJ55*VLOOKUP('Données projet'!$B$17,Paramètres!$A$1:$I$88,3,0)*0.475*44/12</f>
        <v>#N/A</v>
      </c>
      <c r="GN55" s="21" t="e">
        <f>EXP(-LN(2)/2)*GN54+(1-EXP(-LN(2)/2))/(LN(2)/2)*GH55*GK55*VLOOKUP('Données projet'!$B$17,Paramètres!$A$1:$I$88,3,0)*0.475*44/12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projet'!$B$18,Paramètres!$A$1:$I$88,3,0)*VLOOKUP('Données projet'!$B$18,Paramètres!$A$1:$I$88,5,0)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projet'!$B$18,Paramètres!$A$1:$I$88,7,0))</f>
        <v>0</v>
      </c>
      <c r="HE55" s="16">
        <f>IF(ISNA(VLOOKUP(A55,'Données projet'!$A$269:$I$289,6,0)),0%,VLOOKUP(A55,'Données projet'!$A$269:$I$289,6,0)*VLOOKUP('Données projet'!$B$18,Paramètres!$A$1:$I$88,7,0))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projet'!$B$18,Paramètres!$A$1:$I$88,3,0)*0.475*44/12</f>
        <v>#N/A</v>
      </c>
      <c r="HH55" s="21" t="e">
        <f>EXP(-LN(2)/25)*HH54+(1-EXP(-LN(2)/25))/(LN(2)/25)*Calculateur!HC55*Calculateur!HE55*VLOOKUP('Données projet'!$B$18,Paramètres!$A$1:$I$88,3,0)*0.475*44/12</f>
        <v>#N/A</v>
      </c>
      <c r="HI55" s="21" t="e">
        <f>EXP(-LN(2)/2)*HI54+(1-EXP(-LN(2)/2))/(LN(2)/2)*HC55*HF55*VLOOKUP('Données projet'!$B$18,Paramètres!$A$1:$I$88,3,0)*0.475*44/12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5.875</v>
      </c>
      <c r="N56" s="13">
        <f>IF('Données projet'!$A$36&gt;35,N55+M56-V55,IF(A56&lt;'Données projet'!$A$36,$K$205^A56,IF(A56='Données projet'!$A$36,'Données projet'!$B$36,N55+M56-V55)))</f>
        <v>305.125</v>
      </c>
      <c r="O56" s="13">
        <f>N56*VLOOKUP('Données projet'!$B$9,Paramètres!$A$1:$I$88,3,0)*VLOOKUP('Données projet'!$B$9,Paramètres!$A$1:$I$88,5,0)</f>
        <v>182.46475000000004</v>
      </c>
      <c r="P56" s="13">
        <f t="shared" si="33"/>
        <v>45.870112833182944</v>
      </c>
      <c r="Q56" s="20">
        <f t="shared" si="53"/>
        <v>397.68321943446034</v>
      </c>
      <c r="R56" s="59">
        <f t="shared" si="0"/>
        <v>691.01655276779366</v>
      </c>
      <c r="S56" s="59">
        <f ca="1">AVERAGE(OFFSET($R$3,0,0,'Données projet'!$E$9+1,1))-AVERAGE(OFFSET($H$3,0,0,'Données projet'!$E$9+1,1))</f>
        <v>195.73441209602686</v>
      </c>
      <c r="T56" s="59">
        <f t="shared" si="34"/>
        <v>219.19129224309006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projet'!$B$9,Paramètres!$A$1:$I$88,7,0))</f>
        <v>0</v>
      </c>
      <c r="X56" s="16">
        <f>IF(ISNA(VLOOKUP(A56,'Données projet'!$A$35:$I$55,6,0)),0%,VLOOKUP(A56,'Données projet'!$A$35:$I$55,6,0)*VLOOKUP('Données projet'!$B$9,Paramètres!$A$1:$I$88,7,0))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projet'!$B$9,Paramètres!$A$1:$I$88,3,0)*0.475*44/12</f>
        <v>9.6720072832613049</v>
      </c>
      <c r="AA56" s="21">
        <f>EXP(-LN(2)/25)*AA55+(1-EXP(-LN(2)/25))/(LN(2)/25)*Calculateur!V56*Calculateur!X56*VLOOKUP('Données projet'!$B$9,Paramètres!$A$1:$I$88,3,0)*0.475*44/12</f>
        <v>7.4824451612655949</v>
      </c>
      <c r="AB56" s="21">
        <f>EXP(-LN(2)/2)*AB55+(1-EXP(-LN(2)/2))/(LN(2)/2)*V56*Y56*VLOOKUP('Données projet'!$B$9,Paramètres!$A$1:$I$88,3,0)*0.475*44/12</f>
        <v>1.3697555437222898E-5</v>
      </c>
      <c r="AC56" s="22">
        <f t="shared" si="3"/>
        <v>17.154466142082338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11.4</v>
      </c>
      <c r="AI56" s="13">
        <f>IF('Données projet'!$A$62&gt;35,AI55+AH56-AQ55,IF(A56&lt;'Données projet'!$A$62,$AF$205^A56,IF(A56='Données projet'!$A$62,'Données projet'!$B$62,AI55+AH56-AQ55)))</f>
        <v>307.19999999999993</v>
      </c>
      <c r="AJ56" s="13">
        <f>AI56*VLOOKUP('Données projet'!$B$10,Paramètres!$A$1:$I$88,3,0)*VLOOKUP('Données projet'!$B$10,Paramètres!$A$1:$I$88,5,0)</f>
        <v>183.70559999999998</v>
      </c>
      <c r="AK56" s="13">
        <f t="shared" si="35"/>
        <v>46.145633597806309</v>
      </c>
      <c r="AL56" s="20">
        <f t="shared" si="4"/>
        <v>400.32423184951267</v>
      </c>
      <c r="AM56" s="59">
        <f t="shared" si="5"/>
        <v>693.65756518284593</v>
      </c>
      <c r="AN56" s="59">
        <f ca="1">AVERAGE(OFFSET($AM$3,0,0,'Données projet'!$E$10+1,1))-AVERAGE(OFFSET($H$3,0,0,'Données projet'!$E$10+1,1))</f>
        <v>246.59447135626942</v>
      </c>
      <c r="AO56" s="59">
        <f t="shared" si="36"/>
        <v>262.00382544285367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projet'!$B$10,Paramètres!$A$1:$I$88,7,0))</f>
        <v>0</v>
      </c>
      <c r="AS56" s="16">
        <f>IF(ISNA(VLOOKUP(A56,'Données projet'!$A$61:$I$81,6,0)),0%,VLOOKUP(A56,'Données projet'!$A$61:$I$81,6,0)*VLOOKUP('Données projet'!$B$10,Paramètres!$A$1:$I$88,7,0))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projet'!$B$10,Paramètres!$A$1:$I$88,3,0)*0.475*44/12</f>
        <v>0</v>
      </c>
      <c r="AV56" s="21">
        <f>EXP(-LN(2)/25)*AV55+(1-EXP(-LN(2)/25))/(LN(2)/25)*Calculateur!AQ56*Calculateur!AS56*VLOOKUP('Données projet'!$B$10,Paramètres!$A$1:$I$88,3,0)*0.475*44/12</f>
        <v>6.7909516911167565</v>
      </c>
      <c r="AW56" s="21">
        <f>EXP(-LN(2)/2)*AW55+(1-EXP(-LN(2)/2))/(LN(2)/2)*AQ56*AT56*VLOOKUP('Données projet'!$B$10,Paramètres!$A$1:$I$88,3,0)*0.475*44/12</f>
        <v>8.1929644921842539E-3</v>
      </c>
      <c r="AX56" s="21">
        <f t="shared" si="6"/>
        <v>6.7991446556089405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16.2</v>
      </c>
      <c r="BD56" s="12">
        <f>IF('Données projet'!$A$88&gt;35,BD55+BC56-BL55,IF(A56&lt;'Données projet'!$A$88,$BA$205^A56,IF(A56='Données projet'!$A$88,'Données projet'!$B$88,BD55+BC56-BL55)))</f>
        <v>449.5999999999998</v>
      </c>
      <c r="BE56" s="13">
        <f>BD56*VLOOKUP('Données projet'!$B$11,Paramètres!$A$1:$I$88,3,0)*VLOOKUP('Données projet'!$B$11,Paramètres!$A$1:$I$88,5,0)</f>
        <v>251.32639999999989</v>
      </c>
      <c r="BF56" s="13">
        <f t="shared" si="37"/>
        <v>60.869881917806573</v>
      </c>
      <c r="BG56" s="20">
        <f t="shared" si="7"/>
        <v>543.74185767351298</v>
      </c>
      <c r="BH56" s="59">
        <f t="shared" si="8"/>
        <v>837.07519100684635</v>
      </c>
      <c r="BI56" s="59">
        <f ca="1">AVERAGE(OFFSET($BH$3,0,0,'Données projet'!$E$11+1,1))-AVERAGE(OFFSET($H$3,0,0,'Données projet'!$E$11+1,1))</f>
        <v>355.96253323046608</v>
      </c>
      <c r="BJ56" s="59">
        <f t="shared" si="38"/>
        <v>366.8380442809696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projet'!$B$11,Paramètres!$A$1:$I$88,7,0))</f>
        <v>0</v>
      </c>
      <c r="BN56" s="16">
        <f>IF(ISNA(VLOOKUP(A56,'Données projet'!$A$87:$I$107,6,0)),0%,VLOOKUP(A56,'Données projet'!$A$87:$I$107,6,0)*VLOOKUP('Données projet'!$B$11,Paramètres!$A$1:$I$88,7,0))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projet'!$B$11,Paramètres!$A$1:$I$88,3,0)*0.475*44/12</f>
        <v>0</v>
      </c>
      <c r="BQ56" s="21">
        <f>EXP(-LN(2)/25)*BQ55+(1-EXP(-LN(2)/25))/(LN(2)/25)*Calculateur!BL56*Calculateur!BN56*VLOOKUP('Données projet'!$B$11,Paramètres!$A$1:$I$88,3,0)*0.475*44/12</f>
        <v>12.023472839554628</v>
      </c>
      <c r="BR56" s="21">
        <f>EXP(-LN(2)/2)*BR55+(1-EXP(-LN(2)/2))/(LN(2)/2)*BL56*BO56*VLOOKUP('Données projet'!$B$11,Paramètres!$A$1:$I$88,3,0)*0.475*44/12</f>
        <v>1.2667658080580688E-2</v>
      </c>
      <c r="BS56" s="22">
        <f t="shared" si="9"/>
        <v>12.036140497635209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218.79999999999973</v>
      </c>
      <c r="BZ56" s="13">
        <f>BY56*VLOOKUP('Données projet'!$B$12,Paramètres!$A$1:$I$88,3,0)*VLOOKUP('Données projet'!$B$12,Paramètres!$A$1:$I$88,5,0)</f>
        <v>143.35775999999984</v>
      </c>
      <c r="CA56" s="13">
        <f t="shared" si="39"/>
        <v>37.065156899075156</v>
      </c>
      <c r="CB56" s="20">
        <f t="shared" si="10"/>
        <v>314.23658026588896</v>
      </c>
      <c r="CC56" s="59">
        <f t="shared" si="11"/>
        <v>607.56991359922222</v>
      </c>
      <c r="CD56" s="59">
        <f ca="1">AVERAGE(OFFSET($CC$3,0,0,'Données projet'!$E$12+1,1))-AVERAGE(OFFSET($H$3,0,0,'Données projet'!$E$12+1,1))</f>
        <v>180.90147430936133</v>
      </c>
      <c r="CE56" s="59">
        <f t="shared" si="40"/>
        <v>226.87949199830018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projet'!$B$12,Paramètres!$A$1:$I$88,7,0))</f>
        <v>0</v>
      </c>
      <c r="CI56" s="16">
        <f>IF(ISNA(VLOOKUP(A56,'Données projet'!$A$113:$I$133,6,0)),0%,VLOOKUP(A56,'Données projet'!$A$113:$I$133,6,0)*VLOOKUP('Données projet'!$B$12,Paramètres!$A$1:$I$88,7,0))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projet'!$B$12,Paramètres!$A$1:$I$88,3,0)*0.475*44/12</f>
        <v>0</v>
      </c>
      <c r="CL56" s="21">
        <f>EXP(-LN(2)/25)*CL55+(1-EXP(-LN(2)/25))/(LN(2)/25)*Calculateur!CG56*Calculateur!CI56*VLOOKUP('Données projet'!$B$12,Paramètres!$A$1:$I$88,3,0)*0.475*44/12</f>
        <v>3.6311396040952006</v>
      </c>
      <c r="CM56" s="21">
        <f>EXP(-LN(2)/2)*CM55+(1-EXP(-LN(2)/2))/(LN(2)/2)*CG56*CJ56*VLOOKUP('Données projet'!$B$12,Paramètres!$A$1:$I$88,3,0)*0.475*44/12</f>
        <v>3.0599147754978803E-3</v>
      </c>
      <c r="CN56" s="22">
        <f t="shared" si="12"/>
        <v>3.6341995188706986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5.6843418860808015E-14</v>
      </c>
      <c r="CU56" s="17">
        <f>CT56*VLOOKUP('Données projet'!$B$13,Paramètres!$A$1:$I$88,3,0)*VLOOKUP('Données projet'!$B$13,Paramètres!$A$1:$I$88,5,0)</f>
        <v>2.8908289095852525E-14</v>
      </c>
      <c r="CV56" s="13">
        <f t="shared" si="41"/>
        <v>5.0177780569126974E-13</v>
      </c>
      <c r="CW56" s="20">
        <f t="shared" si="13"/>
        <v>9.2427828175423786E-13</v>
      </c>
      <c r="CX56" s="59">
        <f t="shared" si="14"/>
        <v>293.33333333333422</v>
      </c>
      <c r="CY56" s="59">
        <f ca="1">AVERAGE(OFFSET($CX$3,0,0,'Données projet'!$E$13+1,1))-AVERAGE(OFFSET($H$3,0,0,'Données projet'!$E$13+1,1))</f>
        <v>133.08385802816008</v>
      </c>
      <c r="CZ56" s="59">
        <f t="shared" si="42"/>
        <v>316.59112511251385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projet'!$B$13,Paramètres!$A$1:$I$88,7,0))</f>
        <v>0</v>
      </c>
      <c r="DD56" s="16">
        <f>IF(ISNA(VLOOKUP(A56,'Données projet'!$A$139:$I$159,6,0)),0%,VLOOKUP(A56,'Données projet'!$A$139:$I$159,6,0)*VLOOKUP('Données projet'!$B$13,Paramètres!$A$1:$I$88,7,0))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projet'!$B$13,Paramètres!$A$1:$I$88,3,0)*0.475*44/12</f>
        <v>45.78822348327693</v>
      </c>
      <c r="DG56" s="21">
        <f>EXP(-LN(2)/25)*DG55+(1-EXP(-LN(2)/25))/(LN(2)/25)*Calculateur!DB56*Calculateur!DD56*VLOOKUP('Données projet'!$B$13,Paramètres!$A$1:$I$88,3,0)*0.475*44/12</f>
        <v>0</v>
      </c>
      <c r="DH56" s="21">
        <f>EXP(-LN(2)/2)*DH55+(1-EXP(-LN(2)/2))/(LN(2)/2)*DB56*DE56*VLOOKUP('Données projet'!$B$13,Paramètres!$A$1:$I$88,3,0)*0.475*44/12</f>
        <v>1.9522789049761884E-3</v>
      </c>
      <c r="DI56" s="22">
        <f t="shared" si="15"/>
        <v>45.790175762181903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projet'!$B$14,Paramètres!$A$1:$I$88,3,0)*VLOOKUP('Données projet'!$B$14,Paramètres!$A$1:$I$88,5,0)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projet'!$B$14,Paramètres!$A$1:$I$88,7,0))</f>
        <v>0</v>
      </c>
      <c r="DY56" s="16">
        <f>IF(ISNA(VLOOKUP(A56,'Données projet'!$A$165:$I$185,6,0)),0%,VLOOKUP(A56,'Données projet'!$A$165:$I$185,6,0)*VLOOKUP('Données projet'!$B$14,Paramètres!$A$1:$I$88,7,0))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projet'!$B$14,Paramètres!$A$1:$I$88,3,0)*0.475*44/12</f>
        <v>#N/A</v>
      </c>
      <c r="EB56" s="21" t="e">
        <f>EXP(-LN(2)/25)*EB55+(1-EXP(-LN(2)/25))/(LN(2)/25)*Calculateur!DW56*Calculateur!DY56*VLOOKUP('Données projet'!$B$14,Paramètres!$A$1:$I$88,3,0)*0.475*44/12</f>
        <v>#N/A</v>
      </c>
      <c r="EC56" s="21" t="e">
        <f>EXP(-LN(2)/2)*EC55+(1-EXP(-LN(2)/2))/(LN(2)/2)*DW56*DZ56*VLOOKUP('Données projet'!$B$14,Paramètres!$A$1:$I$88,3,0)*0.475*44/12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projet'!$B$15,Paramètres!$A$1:$I$88,3,0)*VLOOKUP('Données projet'!$B$15,Paramètres!$A$1:$I$88,5,0)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projet'!$B$15,Paramètres!$A$1:$I$88,7,0))</f>
        <v>0</v>
      </c>
      <c r="ET56" s="16">
        <f>IF(ISNA(VLOOKUP(A56,'Données projet'!$A$191:$I$211,6,0)),0%,VLOOKUP(A56,'Données projet'!$A$191:$I$211,6,0)*VLOOKUP('Données projet'!$B$15,Paramètres!$A$1:$I$88,7,0))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projet'!$B$15,Paramètres!$A$1:$I$88,3,0)*0.475*44/12</f>
        <v>#N/A</v>
      </c>
      <c r="EW56" s="21" t="e">
        <f>EXP(-LN(2)/25)*EW55+(1-EXP(-LN(2)/25))/(LN(2)/25)*Calculateur!ER56*Calculateur!ET56*VLOOKUP('Données projet'!$B$15,Paramètres!$A$1:$I$88,3,0)*0.475*44/12</f>
        <v>#N/A</v>
      </c>
      <c r="EX56" s="21" t="e">
        <f>EXP(-LN(2)/2)*EX55+(1-EXP(-LN(2)/2))/(LN(2)/2)*ER56*EU56*VLOOKUP('Données projet'!$B$15,Paramètres!$A$1:$I$88,3,0)*0.475*44/12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projet'!$B$16,Paramètres!$A$1:$I$88,3,0)*VLOOKUP('Données projet'!$B$16,Paramètres!$A$1:$I$88,5,0)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projet'!$B$16,Paramètres!$A$1:$I$88,7,0))</f>
        <v>0</v>
      </c>
      <c r="FO56" s="16">
        <f>IF(ISNA(VLOOKUP(A56,'Données projet'!$A$217:$I$237,6,0)),0%,VLOOKUP(A56,'Données projet'!$A$217:$I$237,6,0)*VLOOKUP('Données projet'!$B$16,Paramètres!$A$1:$I$88,7,0))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projet'!$B$16,Paramètres!$A$1:$I$88,3,0)*0.475*44/12</f>
        <v>#N/A</v>
      </c>
      <c r="FR56" s="21" t="e">
        <f>EXP(-LN(2)/25)*FR55+(1-EXP(-LN(2)/25))/(LN(2)/25)*Calculateur!FM56*Calculateur!FO56*VLOOKUP('Données projet'!$B$16,Paramètres!$A$1:$I$88,3,0)*0.475*44/12</f>
        <v>#N/A</v>
      </c>
      <c r="FS56" s="21" t="e">
        <f>EXP(-LN(2)/2)*FS55+(1-EXP(-LN(2)/2))/(LN(2)/2)*FM56*FP56*VLOOKUP('Données projet'!$B$16,Paramètres!$A$1:$I$88,3,0)*0.475*44/12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projet'!$B$17,Paramètres!$A$1:$I$88,3,0)*VLOOKUP('Données projet'!$B$17,Paramètres!$A$1:$I$88,5,0)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projet'!$B$17,Paramètres!$A$1:$I$88,7,0))</f>
        <v>0</v>
      </c>
      <c r="GJ56" s="16">
        <f>IF(ISNA(VLOOKUP(A56,'Données projet'!$A$243:$I$263,6,0)),0%,VLOOKUP(A56,'Données projet'!$A$243:$I$263,6,0)*VLOOKUP('Données projet'!$B$17,Paramètres!$A$1:$I$88,7,0))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projet'!$B$17,Paramètres!$A$1:$I$88,3,0)*0.475*44/12</f>
        <v>#N/A</v>
      </c>
      <c r="GM56" s="21" t="e">
        <f>EXP(-LN(2)/25)*GM55+(1-EXP(-LN(2)/25))/(LN(2)/25)*Calculateur!GH56*Calculateur!GJ56*VLOOKUP('Données projet'!$B$17,Paramètres!$A$1:$I$88,3,0)*0.475*44/12</f>
        <v>#N/A</v>
      </c>
      <c r="GN56" s="21" t="e">
        <f>EXP(-LN(2)/2)*GN55+(1-EXP(-LN(2)/2))/(LN(2)/2)*GH56*GK56*VLOOKUP('Données projet'!$B$17,Paramètres!$A$1:$I$88,3,0)*0.475*44/12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projet'!$B$18,Paramètres!$A$1:$I$88,3,0)*VLOOKUP('Données projet'!$B$18,Paramètres!$A$1:$I$88,5,0)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projet'!$B$18,Paramètres!$A$1:$I$88,7,0))</f>
        <v>0</v>
      </c>
      <c r="HE56" s="16">
        <f>IF(ISNA(VLOOKUP(A56,'Données projet'!$A$269:$I$289,6,0)),0%,VLOOKUP(A56,'Données projet'!$A$269:$I$289,6,0)*VLOOKUP('Données projet'!$B$18,Paramètres!$A$1:$I$88,7,0))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projet'!$B$18,Paramètres!$A$1:$I$88,3,0)*0.475*44/12</f>
        <v>#N/A</v>
      </c>
      <c r="HH56" s="21" t="e">
        <f>EXP(-LN(2)/25)*HH55+(1-EXP(-LN(2)/25))/(LN(2)/25)*Calculateur!HC56*Calculateur!HE56*VLOOKUP('Données projet'!$B$18,Paramètres!$A$1:$I$88,3,0)*0.475*44/12</f>
        <v>#N/A</v>
      </c>
      <c r="HI56" s="21" t="e">
        <f>EXP(-LN(2)/2)*HI55+(1-EXP(-LN(2)/2))/(LN(2)/2)*HC56*HF56*VLOOKUP('Données projet'!$B$18,Paramètres!$A$1:$I$88,3,0)*0.475*44/12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311</v>
      </c>
      <c r="L57" s="12">
        <f>VLOOKUP(A57,'Données projet'!$A$35:$I$55,9,0)</f>
        <v>5.875</v>
      </c>
      <c r="M57" s="12">
        <f t="array" ref="M57">INDEX(L:L,MIN(IF(ISNUMBER(L57:L253),ROW(L57:L253),"")))</f>
        <v>5.875</v>
      </c>
      <c r="N57" s="13">
        <f>IF('Données projet'!$A$36&gt;35,N56+M57-V56,IF(A57&lt;'Données projet'!$A$36,$K$205^A57,IF(A57='Données projet'!$A$36,'Données projet'!$B$36,N56+M57-V56)))</f>
        <v>311</v>
      </c>
      <c r="O57" s="13">
        <f>N57*VLOOKUP('Données projet'!$B$9,Paramètres!$A$1:$I$88,3,0)*VLOOKUP('Données projet'!$B$9,Paramètres!$A$1:$I$88,5,0)</f>
        <v>185.97800000000001</v>
      </c>
      <c r="P57" s="13">
        <f t="shared" si="33"/>
        <v>46.649641523668571</v>
      </c>
      <c r="Q57" s="20">
        <f t="shared" si="53"/>
        <v>405.15980898705612</v>
      </c>
      <c r="R57" s="59">
        <f t="shared" si="0"/>
        <v>698.49314232038944</v>
      </c>
      <c r="S57" s="59">
        <f ca="1">AVERAGE(OFFSET($R$3,0,0,'Données projet'!$E$9+1,1))-AVERAGE(OFFSET($H$3,0,0,'Données projet'!$E$9+1,1))</f>
        <v>195.73441209602686</v>
      </c>
      <c r="T57" s="59">
        <f t="shared" si="34"/>
        <v>219.19129224309006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16</v>
      </c>
      <c r="W57" s="16">
        <f>IF(ISNA(VLOOKUP(A57,'Données projet'!$A$35:$I$55,5,0)),0%,VLOOKUP(A57,'Données projet'!$A$35:$I$55,5,0)*VLOOKUP('Données projet'!$B$9,Paramètres!$A$1:$I$88,7,0))</f>
        <v>0</v>
      </c>
      <c r="X57" s="16">
        <f>IF(ISNA(VLOOKUP(A57,'Données projet'!$A$35:$I$55,6,0)),0%,VLOOKUP(A57,'Données projet'!$A$35:$I$55,6,0)*VLOOKUP('Données projet'!$B$9,Paramètres!$A$1:$I$88,7,0))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projet'!$B$9,Paramètres!$A$1:$I$88,3,0)*0.475*44/12</f>
        <v>9.4823451197784827</v>
      </c>
      <c r="AA57" s="21">
        <f>EXP(-LN(2)/25)*AA56+(1-EXP(-LN(2)/25))/(LN(2)/25)*Calculateur!V57*Calculateur!X57*VLOOKUP('Données projet'!$B$9,Paramètres!$A$1:$I$88,3,0)*0.475*44/12</f>
        <v>7.2778373048460976</v>
      </c>
      <c r="AB57" s="21">
        <f>EXP(-LN(2)/2)*AB56+(1-EXP(-LN(2)/2))/(LN(2)/2)*V57*Y57*VLOOKUP('Données projet'!$B$9,Paramètres!$A$1:$I$88,3,0)*0.475*44/12</f>
        <v>9.6856343353389756E-6</v>
      </c>
      <c r="AC57" s="22">
        <f t="shared" si="3"/>
        <v>16.760192110258917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11.4</v>
      </c>
      <c r="AI57" s="13">
        <f>IF('Données projet'!$A$62&gt;35,AI56+AH57-AQ56,IF(A57&lt;'Données projet'!$A$62,$AF$205^A57,IF(A57='Données projet'!$A$62,'Données projet'!$B$62,AI56+AH57-AQ56)))</f>
        <v>318.59999999999991</v>
      </c>
      <c r="AJ57" s="13">
        <f>AI57*VLOOKUP('Données projet'!$B$10,Paramètres!$A$1:$I$88,3,0)*VLOOKUP('Données projet'!$B$10,Paramètres!$A$1:$I$88,5,0)</f>
        <v>190.52279999999996</v>
      </c>
      <c r="AK57" s="13">
        <f t="shared" si="35"/>
        <v>47.655518017541539</v>
      </c>
      <c r="AL57" s="20">
        <f t="shared" si="4"/>
        <v>414.82723721388476</v>
      </c>
      <c r="AM57" s="59">
        <f t="shared" si="5"/>
        <v>708.16057054721807</v>
      </c>
      <c r="AN57" s="59">
        <f ca="1">AVERAGE(OFFSET($AM$3,0,0,'Données projet'!$E$10+1,1))-AVERAGE(OFFSET($H$3,0,0,'Données projet'!$E$10+1,1))</f>
        <v>246.59447135626942</v>
      </c>
      <c r="AO57" s="59">
        <f t="shared" si="36"/>
        <v>262.00382544285367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projet'!$B$10,Paramètres!$A$1:$I$88,7,0))</f>
        <v>0</v>
      </c>
      <c r="AS57" s="16">
        <f>IF(ISNA(VLOOKUP(A57,'Données projet'!$A$61:$I$81,6,0)),0%,VLOOKUP(A57,'Données projet'!$A$61:$I$81,6,0)*VLOOKUP('Données projet'!$B$10,Paramètres!$A$1:$I$88,7,0))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projet'!$B$10,Paramètres!$A$1:$I$88,3,0)*0.475*44/12</f>
        <v>0</v>
      </c>
      <c r="AV57" s="21">
        <f>EXP(-LN(2)/25)*AV56+(1-EXP(-LN(2)/25))/(LN(2)/25)*Calculateur!AQ57*Calculateur!AS57*VLOOKUP('Données projet'!$B$10,Paramètres!$A$1:$I$88,3,0)*0.475*44/12</f>
        <v>6.6052527600025401</v>
      </c>
      <c r="AW57" s="21">
        <f>EXP(-LN(2)/2)*AW56+(1-EXP(-LN(2)/2))/(LN(2)/2)*AQ57*AT57*VLOOKUP('Données projet'!$B$10,Paramètres!$A$1:$I$88,3,0)*0.475*44/12</f>
        <v>5.7933007504440848E-3</v>
      </c>
      <c r="AX57" s="21">
        <f t="shared" si="6"/>
        <v>6.611046060752984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16.2</v>
      </c>
      <c r="BD57" s="12">
        <f>IF('Données projet'!$A$88&gt;35,BD56+BC57-BL56,IF(A57&lt;'Données projet'!$A$88,$BA$205^A57,IF(A57='Données projet'!$A$88,'Données projet'!$B$88,BD56+BC57-BL56)))</f>
        <v>465.79999999999978</v>
      </c>
      <c r="BE57" s="13">
        <f>BD57*VLOOKUP('Données projet'!$B$11,Paramètres!$A$1:$I$88,3,0)*VLOOKUP('Données projet'!$B$11,Paramètres!$A$1:$I$88,5,0)</f>
        <v>260.3821999999999</v>
      </c>
      <c r="BF57" s="13">
        <f t="shared" si="37"/>
        <v>62.803840584871082</v>
      </c>
      <c r="BG57" s="20">
        <f t="shared" si="7"/>
        <v>562.88235401865029</v>
      </c>
      <c r="BH57" s="59">
        <f t="shared" si="8"/>
        <v>856.21568735198366</v>
      </c>
      <c r="BI57" s="59">
        <f ca="1">AVERAGE(OFFSET($BH$3,0,0,'Données projet'!$E$11+1,1))-AVERAGE(OFFSET($H$3,0,0,'Données projet'!$E$11+1,1))</f>
        <v>355.96253323046608</v>
      </c>
      <c r="BJ57" s="59">
        <f t="shared" si="38"/>
        <v>366.8380442809696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projet'!$B$11,Paramètres!$A$1:$I$88,7,0))</f>
        <v>0</v>
      </c>
      <c r="BN57" s="16">
        <f>IF(ISNA(VLOOKUP(A57,'Données projet'!$A$87:$I$107,6,0)),0%,VLOOKUP(A57,'Données projet'!$A$87:$I$107,6,0)*VLOOKUP('Données projet'!$B$11,Paramètres!$A$1:$I$88,7,0))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projet'!$B$11,Paramètres!$A$1:$I$88,3,0)*0.475*44/12</f>
        <v>0</v>
      </c>
      <c r="BQ57" s="21">
        <f>EXP(-LN(2)/25)*BQ56+(1-EXP(-LN(2)/25))/(LN(2)/25)*Calculateur!BL57*Calculateur!BN57*VLOOKUP('Données projet'!$B$11,Paramètres!$A$1:$I$88,3,0)*0.475*44/12</f>
        <v>11.69469034247005</v>
      </c>
      <c r="BR57" s="21">
        <f>EXP(-LN(2)/2)*BR56+(1-EXP(-LN(2)/2))/(LN(2)/2)*BL57*BO57*VLOOKUP('Données projet'!$B$11,Paramètres!$A$1:$I$88,3,0)*0.475*44/12</f>
        <v>8.957386930531169E-3</v>
      </c>
      <c r="BS57" s="22">
        <f t="shared" si="9"/>
        <v>11.703647729400581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224.39999999999972</v>
      </c>
      <c r="BZ57" s="13">
        <f>BY57*VLOOKUP('Données projet'!$B$12,Paramètres!$A$1:$I$88,3,0)*VLOOKUP('Données projet'!$B$12,Paramètres!$A$1:$I$88,5,0)</f>
        <v>147.02687999999981</v>
      </c>
      <c r="CA57" s="13">
        <f t="shared" si="39"/>
        <v>37.902148209767198</v>
      </c>
      <c r="CB57" s="20">
        <f t="shared" si="10"/>
        <v>322.08472413201088</v>
      </c>
      <c r="CC57" s="59">
        <f t="shared" si="11"/>
        <v>615.41805746534419</v>
      </c>
      <c r="CD57" s="59">
        <f ca="1">AVERAGE(OFFSET($CC$3,0,0,'Données projet'!$E$12+1,1))-AVERAGE(OFFSET($H$3,0,0,'Données projet'!$E$12+1,1))</f>
        <v>180.90147430936133</v>
      </c>
      <c r="CE57" s="59">
        <f t="shared" si="40"/>
        <v>226.87949199830018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projet'!$B$12,Paramètres!$A$1:$I$88,7,0))</f>
        <v>0</v>
      </c>
      <c r="CI57" s="16">
        <f>IF(ISNA(VLOOKUP(A57,'Données projet'!$A$113:$I$133,6,0)),0%,VLOOKUP(A57,'Données projet'!$A$113:$I$133,6,0)*VLOOKUP('Données projet'!$B$12,Paramètres!$A$1:$I$88,7,0))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projet'!$B$12,Paramètres!$A$1:$I$88,3,0)*0.475*44/12</f>
        <v>0</v>
      </c>
      <c r="CL57" s="21">
        <f>EXP(-LN(2)/25)*CL56+(1-EXP(-LN(2)/25))/(LN(2)/25)*Calculateur!CG57*Calculateur!CI57*VLOOKUP('Données projet'!$B$12,Paramètres!$A$1:$I$88,3,0)*0.475*44/12</f>
        <v>3.5318459006678848</v>
      </c>
      <c r="CM57" s="21">
        <f>EXP(-LN(2)/2)*CM56+(1-EXP(-LN(2)/2))/(LN(2)/2)*CG57*CJ57*VLOOKUP('Données projet'!$B$12,Paramètres!$A$1:$I$88,3,0)*0.475*44/12</f>
        <v>2.1636864876074633E-3</v>
      </c>
      <c r="CN57" s="22">
        <f t="shared" si="12"/>
        <v>3.5340095871554924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5.6843418860808015E-14</v>
      </c>
      <c r="CU57" s="17">
        <f>CT57*VLOOKUP('Données projet'!$B$13,Paramètres!$A$1:$I$88,3,0)*VLOOKUP('Données projet'!$B$13,Paramètres!$A$1:$I$88,5,0)</f>
        <v>2.8908289095852525E-14</v>
      </c>
      <c r="CV57" s="13">
        <f t="shared" si="41"/>
        <v>5.0177780569126974E-13</v>
      </c>
      <c r="CW57" s="20">
        <f t="shared" si="13"/>
        <v>9.2427828175423786E-13</v>
      </c>
      <c r="CX57" s="59">
        <f t="shared" si="14"/>
        <v>293.33333333333422</v>
      </c>
      <c r="CY57" s="59">
        <f ca="1">AVERAGE(OFFSET($CX$3,0,0,'Données projet'!$E$13+1,1))-AVERAGE(OFFSET($H$3,0,0,'Données projet'!$E$13+1,1))</f>
        <v>133.08385802816008</v>
      </c>
      <c r="CZ57" s="59">
        <f t="shared" si="42"/>
        <v>316.59112511251385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projet'!$B$13,Paramètres!$A$1:$I$88,7,0))</f>
        <v>0</v>
      </c>
      <c r="DD57" s="16">
        <f>IF(ISNA(VLOOKUP(A57,'Données projet'!$A$139:$I$159,6,0)),0%,VLOOKUP(A57,'Données projet'!$A$139:$I$159,6,0)*VLOOKUP('Données projet'!$B$13,Paramètres!$A$1:$I$88,7,0))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projet'!$B$13,Paramètres!$A$1:$I$88,3,0)*0.475*44/12</f>
        <v>44.890344348828528</v>
      </c>
      <c r="DG57" s="21">
        <f>EXP(-LN(2)/25)*DG56+(1-EXP(-LN(2)/25))/(LN(2)/25)*Calculateur!DB57*Calculateur!DD57*VLOOKUP('Données projet'!$B$13,Paramètres!$A$1:$I$88,3,0)*0.475*44/12</f>
        <v>0</v>
      </c>
      <c r="DH57" s="21">
        <f>EXP(-LN(2)/2)*DH56+(1-EXP(-LN(2)/2))/(LN(2)/2)*DB57*DE57*VLOOKUP('Données projet'!$B$13,Paramètres!$A$1:$I$88,3,0)*0.475*44/12</f>
        <v>1.3804696524761103E-3</v>
      </c>
      <c r="DI57" s="22">
        <f t="shared" si="15"/>
        <v>44.891724818481002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projet'!$B$14,Paramètres!$A$1:$I$88,3,0)*VLOOKUP('Données projet'!$B$14,Paramètres!$A$1:$I$88,5,0)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projet'!$B$14,Paramètres!$A$1:$I$88,7,0))</f>
        <v>0</v>
      </c>
      <c r="DY57" s="16">
        <f>IF(ISNA(VLOOKUP(A57,'Données projet'!$A$165:$I$185,6,0)),0%,VLOOKUP(A57,'Données projet'!$A$165:$I$185,6,0)*VLOOKUP('Données projet'!$B$14,Paramètres!$A$1:$I$88,7,0))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projet'!$B$14,Paramètres!$A$1:$I$88,3,0)*0.475*44/12</f>
        <v>#N/A</v>
      </c>
      <c r="EB57" s="21" t="e">
        <f>EXP(-LN(2)/25)*EB56+(1-EXP(-LN(2)/25))/(LN(2)/25)*Calculateur!DW57*Calculateur!DY57*VLOOKUP('Données projet'!$B$14,Paramètres!$A$1:$I$88,3,0)*0.475*44/12</f>
        <v>#N/A</v>
      </c>
      <c r="EC57" s="21" t="e">
        <f>EXP(-LN(2)/2)*EC56+(1-EXP(-LN(2)/2))/(LN(2)/2)*DW57*DZ57*VLOOKUP('Données projet'!$B$14,Paramètres!$A$1:$I$88,3,0)*0.475*44/12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projet'!$B$15,Paramètres!$A$1:$I$88,3,0)*VLOOKUP('Données projet'!$B$15,Paramètres!$A$1:$I$88,5,0)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projet'!$B$15,Paramètres!$A$1:$I$88,7,0))</f>
        <v>0</v>
      </c>
      <c r="ET57" s="16">
        <f>IF(ISNA(VLOOKUP(A57,'Données projet'!$A$191:$I$211,6,0)),0%,VLOOKUP(A57,'Données projet'!$A$191:$I$211,6,0)*VLOOKUP('Données projet'!$B$15,Paramètres!$A$1:$I$88,7,0))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projet'!$B$15,Paramètres!$A$1:$I$88,3,0)*0.475*44/12</f>
        <v>#N/A</v>
      </c>
      <c r="EW57" s="21" t="e">
        <f>EXP(-LN(2)/25)*EW56+(1-EXP(-LN(2)/25))/(LN(2)/25)*Calculateur!ER57*Calculateur!ET57*VLOOKUP('Données projet'!$B$15,Paramètres!$A$1:$I$88,3,0)*0.475*44/12</f>
        <v>#N/A</v>
      </c>
      <c r="EX57" s="21" t="e">
        <f>EXP(-LN(2)/2)*EX56+(1-EXP(-LN(2)/2))/(LN(2)/2)*ER57*EU57*VLOOKUP('Données projet'!$B$15,Paramètres!$A$1:$I$88,3,0)*0.475*44/12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projet'!$B$16,Paramètres!$A$1:$I$88,3,0)*VLOOKUP('Données projet'!$B$16,Paramètres!$A$1:$I$88,5,0)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projet'!$B$16,Paramètres!$A$1:$I$88,7,0))</f>
        <v>0</v>
      </c>
      <c r="FO57" s="16">
        <f>IF(ISNA(VLOOKUP(A57,'Données projet'!$A$217:$I$237,6,0)),0%,VLOOKUP(A57,'Données projet'!$A$217:$I$237,6,0)*VLOOKUP('Données projet'!$B$16,Paramètres!$A$1:$I$88,7,0))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projet'!$B$16,Paramètres!$A$1:$I$88,3,0)*0.475*44/12</f>
        <v>#N/A</v>
      </c>
      <c r="FR57" s="21" t="e">
        <f>EXP(-LN(2)/25)*FR56+(1-EXP(-LN(2)/25))/(LN(2)/25)*Calculateur!FM57*Calculateur!FO57*VLOOKUP('Données projet'!$B$16,Paramètres!$A$1:$I$88,3,0)*0.475*44/12</f>
        <v>#N/A</v>
      </c>
      <c r="FS57" s="21" t="e">
        <f>EXP(-LN(2)/2)*FS56+(1-EXP(-LN(2)/2))/(LN(2)/2)*FM57*FP57*VLOOKUP('Données projet'!$B$16,Paramètres!$A$1:$I$88,3,0)*0.475*44/12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projet'!$B$17,Paramètres!$A$1:$I$88,3,0)*VLOOKUP('Données projet'!$B$17,Paramètres!$A$1:$I$88,5,0)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projet'!$B$17,Paramètres!$A$1:$I$88,7,0))</f>
        <v>0</v>
      </c>
      <c r="GJ57" s="16">
        <f>IF(ISNA(VLOOKUP(A57,'Données projet'!$A$243:$I$263,6,0)),0%,VLOOKUP(A57,'Données projet'!$A$243:$I$263,6,0)*VLOOKUP('Données projet'!$B$17,Paramètres!$A$1:$I$88,7,0))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projet'!$B$17,Paramètres!$A$1:$I$88,3,0)*0.475*44/12</f>
        <v>#N/A</v>
      </c>
      <c r="GM57" s="21" t="e">
        <f>EXP(-LN(2)/25)*GM56+(1-EXP(-LN(2)/25))/(LN(2)/25)*Calculateur!GH57*Calculateur!GJ57*VLOOKUP('Données projet'!$B$17,Paramètres!$A$1:$I$88,3,0)*0.475*44/12</f>
        <v>#N/A</v>
      </c>
      <c r="GN57" s="21" t="e">
        <f>EXP(-LN(2)/2)*GN56+(1-EXP(-LN(2)/2))/(LN(2)/2)*GH57*GK57*VLOOKUP('Données projet'!$B$17,Paramètres!$A$1:$I$88,3,0)*0.475*44/12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projet'!$B$18,Paramètres!$A$1:$I$88,3,0)*VLOOKUP('Données projet'!$B$18,Paramètres!$A$1:$I$88,5,0)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projet'!$B$18,Paramètres!$A$1:$I$88,7,0))</f>
        <v>0</v>
      </c>
      <c r="HE57" s="16">
        <f>IF(ISNA(VLOOKUP(A57,'Données projet'!$A$269:$I$289,6,0)),0%,VLOOKUP(A57,'Données projet'!$A$269:$I$289,6,0)*VLOOKUP('Données projet'!$B$18,Paramètres!$A$1:$I$88,7,0))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projet'!$B$18,Paramètres!$A$1:$I$88,3,0)*0.475*44/12</f>
        <v>#N/A</v>
      </c>
      <c r="HH57" s="21" t="e">
        <f>EXP(-LN(2)/25)*HH56+(1-EXP(-LN(2)/25))/(LN(2)/25)*Calculateur!HC57*Calculateur!HE57*VLOOKUP('Données projet'!$B$18,Paramètres!$A$1:$I$88,3,0)*0.475*44/12</f>
        <v>#N/A</v>
      </c>
      <c r="HI57" s="21" t="e">
        <f>EXP(-LN(2)/2)*HI56+(1-EXP(-LN(2)/2))/(LN(2)/2)*HC57*HF57*VLOOKUP('Données projet'!$B$18,Paramètres!$A$1:$I$88,3,0)*0.475*44/12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2.625</v>
      </c>
      <c r="N58" s="13">
        <f>IF('Données projet'!$A$36&gt;35,N57+M58-V57,IF(A58&lt;'Données projet'!$A$36,$K$205^A58,IF(A58='Données projet'!$A$36,'Données projet'!$B$36,N57+M58-V57)))</f>
        <v>297.625</v>
      </c>
      <c r="O58" s="13">
        <f>N58*VLOOKUP('Données projet'!$B$9,Paramètres!$A$1:$I$88,3,0)*VLOOKUP('Données projet'!$B$9,Paramètres!$A$1:$I$88,5,0)</f>
        <v>177.97975</v>
      </c>
      <c r="P58" s="13">
        <f t="shared" si="33"/>
        <v>44.87242292972973</v>
      </c>
      <c r="Q58" s="20">
        <f t="shared" si="53"/>
        <v>388.13420118594587</v>
      </c>
      <c r="R58" s="59">
        <f t="shared" si="0"/>
        <v>681.46753451927918</v>
      </c>
      <c r="S58" s="59">
        <f ca="1">AVERAGE(OFFSET($R$3,0,0,'Données projet'!$E$9+1,1))-AVERAGE(OFFSET($H$3,0,0,'Données projet'!$E$9+1,1))</f>
        <v>195.73441209602686</v>
      </c>
      <c r="T58" s="59">
        <f t="shared" si="34"/>
        <v>219.19129224309006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projet'!$B$9,Paramètres!$A$1:$I$88,7,0))</f>
        <v>0</v>
      </c>
      <c r="X58" s="16">
        <f>IF(ISNA(VLOOKUP(A58,'Données projet'!$A$35:$I$55,6,0)),0%,VLOOKUP(A58,'Données projet'!$A$35:$I$55,6,0)*VLOOKUP('Données projet'!$B$9,Paramètres!$A$1:$I$88,7,0))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projet'!$B$9,Paramètres!$A$1:$I$88,3,0)*0.475*44/12</f>
        <v>9.2964021156390615</v>
      </c>
      <c r="AA58" s="21">
        <f>EXP(-LN(2)/25)*AA57+(1-EXP(-LN(2)/25))/(LN(2)/25)*Calculateur!V58*Calculateur!X58*VLOOKUP('Données projet'!$B$9,Paramètres!$A$1:$I$88,3,0)*0.475*44/12</f>
        <v>7.0788244610202513</v>
      </c>
      <c r="AB58" s="21">
        <f>EXP(-LN(2)/2)*AB57+(1-EXP(-LN(2)/2))/(LN(2)/2)*V58*Y58*VLOOKUP('Données projet'!$B$9,Paramètres!$A$1:$I$88,3,0)*0.475*44/12</f>
        <v>6.8487777186114488E-6</v>
      </c>
      <c r="AC58" s="22">
        <f t="shared" si="3"/>
        <v>16.375233425437031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11.4</v>
      </c>
      <c r="AI58" s="13">
        <f>IF('Données projet'!$A$62&gt;35,AI57+AH58-AQ57,IF(A58&lt;'Données projet'!$A$62,$AF$205^A58,IF(A58='Données projet'!$A$62,'Données projet'!$B$62,AI57+AH58-AQ57)))</f>
        <v>329.99999999999989</v>
      </c>
      <c r="AJ58" s="13">
        <f>AI58*VLOOKUP('Données projet'!$B$10,Paramètres!$A$1:$I$88,3,0)*VLOOKUP('Données projet'!$B$10,Paramètres!$A$1:$I$88,5,0)</f>
        <v>197.33999999999995</v>
      </c>
      <c r="AK58" s="13">
        <f t="shared" si="35"/>
        <v>49.159125474269977</v>
      </c>
      <c r="AL58" s="20">
        <f t="shared" si="4"/>
        <v>429.31931020102019</v>
      </c>
      <c r="AM58" s="59">
        <f t="shared" si="5"/>
        <v>722.6526435343535</v>
      </c>
      <c r="AN58" s="59">
        <f ca="1">AVERAGE(OFFSET($AM$3,0,0,'Données projet'!$E$10+1,1))-AVERAGE(OFFSET($H$3,0,0,'Données projet'!$E$10+1,1))</f>
        <v>246.59447135626942</v>
      </c>
      <c r="AO58" s="59">
        <f t="shared" si="36"/>
        <v>262.00382544285367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projet'!$B$10,Paramètres!$A$1:$I$88,7,0))</f>
        <v>0</v>
      </c>
      <c r="AS58" s="16">
        <f>IF(ISNA(VLOOKUP(A58,'Données projet'!$A$61:$I$81,6,0)),0%,VLOOKUP(A58,'Données projet'!$A$61:$I$81,6,0)*VLOOKUP('Données projet'!$B$10,Paramètres!$A$1:$I$88,7,0))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projet'!$B$10,Paramètres!$A$1:$I$88,3,0)*0.475*44/12</f>
        <v>0</v>
      </c>
      <c r="AV58" s="21">
        <f>EXP(-LN(2)/25)*AV57+(1-EXP(-LN(2)/25))/(LN(2)/25)*Calculateur!AQ58*Calculateur!AS58*VLOOKUP('Données projet'!$B$10,Paramètres!$A$1:$I$88,3,0)*0.475*44/12</f>
        <v>6.4246317759251248</v>
      </c>
      <c r="AW58" s="21">
        <f>EXP(-LN(2)/2)*AW57+(1-EXP(-LN(2)/2))/(LN(2)/2)*AQ58*AT58*VLOOKUP('Données projet'!$B$10,Paramètres!$A$1:$I$88,3,0)*0.475*44/12</f>
        <v>4.096482246092127E-3</v>
      </c>
      <c r="AX58" s="21">
        <f t="shared" si="6"/>
        <v>6.4287282581712173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16.2</v>
      </c>
      <c r="BD58" s="12">
        <f>IF('Données projet'!$A$88&gt;35,BD57+BC58-BL57,IF(A58&lt;'Données projet'!$A$88,$BA$205^A58,IF(A58='Données projet'!$A$88,'Données projet'!$B$88,BD57+BC58-BL57)))</f>
        <v>481.99999999999977</v>
      </c>
      <c r="BE58" s="13">
        <f>BD58*VLOOKUP('Données projet'!$B$11,Paramètres!$A$1:$I$88,3,0)*VLOOKUP('Données projet'!$B$11,Paramètres!$A$1:$I$88,5,0)</f>
        <v>269.43799999999987</v>
      </c>
      <c r="BF58" s="13">
        <f t="shared" si="37"/>
        <v>64.729984244002736</v>
      </c>
      <c r="BG58" s="20">
        <f t="shared" si="7"/>
        <v>582.00923922497111</v>
      </c>
      <c r="BH58" s="59">
        <f t="shared" si="8"/>
        <v>875.34257255830448</v>
      </c>
      <c r="BI58" s="59">
        <f ca="1">AVERAGE(OFFSET($BH$3,0,0,'Données projet'!$E$11+1,1))-AVERAGE(OFFSET($H$3,0,0,'Données projet'!$E$11+1,1))</f>
        <v>355.96253323046608</v>
      </c>
      <c r="BJ58" s="59">
        <f t="shared" si="38"/>
        <v>366.8380442809696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projet'!$B$11,Paramètres!$A$1:$I$88,7,0))</f>
        <v>0</v>
      </c>
      <c r="BN58" s="16">
        <f>IF(ISNA(VLOOKUP(A58,'Données projet'!$A$87:$I$107,6,0)),0%,VLOOKUP(A58,'Données projet'!$A$87:$I$107,6,0)*VLOOKUP('Données projet'!$B$11,Paramètres!$A$1:$I$88,7,0))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projet'!$B$11,Paramètres!$A$1:$I$88,3,0)*0.475*44/12</f>
        <v>0</v>
      </c>
      <c r="BQ58" s="21">
        <f>EXP(-LN(2)/25)*BQ57+(1-EXP(-LN(2)/25))/(LN(2)/25)*Calculateur!BL58*Calculateur!BN58*VLOOKUP('Données projet'!$B$11,Paramètres!$A$1:$I$88,3,0)*0.475*44/12</f>
        <v>11.37489842005817</v>
      </c>
      <c r="BR58" s="21">
        <f>EXP(-LN(2)/2)*BR57+(1-EXP(-LN(2)/2))/(LN(2)/2)*BL58*BO58*VLOOKUP('Données projet'!$B$11,Paramètres!$A$1:$I$88,3,0)*0.475*44/12</f>
        <v>6.333829040290344E-3</v>
      </c>
      <c r="BS58" s="22">
        <f t="shared" si="9"/>
        <v>11.38123224909846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229.99999999999972</v>
      </c>
      <c r="BZ58" s="13">
        <f>BY58*VLOOKUP('Données projet'!$B$12,Paramètres!$A$1:$I$88,3,0)*VLOOKUP('Données projet'!$B$12,Paramètres!$A$1:$I$88,5,0)</f>
        <v>150.69599999999983</v>
      </c>
      <c r="CA58" s="13">
        <f t="shared" si="39"/>
        <v>38.736711478840597</v>
      </c>
      <c r="CB58" s="20">
        <f t="shared" si="10"/>
        <v>329.92863915898039</v>
      </c>
      <c r="CC58" s="59">
        <f t="shared" si="11"/>
        <v>623.2619724923137</v>
      </c>
      <c r="CD58" s="59">
        <f ca="1">AVERAGE(OFFSET($CC$3,0,0,'Données projet'!$E$12+1,1))-AVERAGE(OFFSET($H$3,0,0,'Données projet'!$E$12+1,1))</f>
        <v>180.90147430936133</v>
      </c>
      <c r="CE58" s="59">
        <f t="shared" si="40"/>
        <v>226.87949199830018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projet'!$B$12,Paramètres!$A$1:$I$88,7,0))</f>
        <v>0</v>
      </c>
      <c r="CI58" s="16">
        <f>IF(ISNA(VLOOKUP(A58,'Données projet'!$A$113:$I$133,6,0)),0%,VLOOKUP(A58,'Données projet'!$A$113:$I$133,6,0)*VLOOKUP('Données projet'!$B$12,Paramètres!$A$1:$I$88,7,0))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projet'!$B$12,Paramètres!$A$1:$I$88,3,0)*0.475*44/12</f>
        <v>0</v>
      </c>
      <c r="CL58" s="21">
        <f>EXP(-LN(2)/25)*CL57+(1-EXP(-LN(2)/25))/(LN(2)/25)*Calculateur!CG58*Calculateur!CI58*VLOOKUP('Données projet'!$B$12,Paramètres!$A$1:$I$88,3,0)*0.475*44/12</f>
        <v>3.4352673887824179</v>
      </c>
      <c r="CM58" s="21">
        <f>EXP(-LN(2)/2)*CM57+(1-EXP(-LN(2)/2))/(LN(2)/2)*CG58*CJ58*VLOOKUP('Données projet'!$B$12,Paramètres!$A$1:$I$88,3,0)*0.475*44/12</f>
        <v>1.5299573877489401E-3</v>
      </c>
      <c r="CN58" s="22">
        <f t="shared" si="12"/>
        <v>3.4367973461701666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5.6843418860808015E-14</v>
      </c>
      <c r="CU58" s="17">
        <f>CT58*VLOOKUP('Données projet'!$B$13,Paramètres!$A$1:$I$88,3,0)*VLOOKUP('Données projet'!$B$13,Paramètres!$A$1:$I$88,5,0)</f>
        <v>2.8908289095852525E-14</v>
      </c>
      <c r="CV58" s="13">
        <f t="shared" si="41"/>
        <v>5.0177780569126974E-13</v>
      </c>
      <c r="CW58" s="20">
        <f t="shared" si="13"/>
        <v>9.2427828175423786E-13</v>
      </c>
      <c r="CX58" s="59">
        <f t="shared" si="14"/>
        <v>293.33333333333422</v>
      </c>
      <c r="CY58" s="59">
        <f ca="1">AVERAGE(OFFSET($CX$3,0,0,'Données projet'!$E$13+1,1))-AVERAGE(OFFSET($H$3,0,0,'Données projet'!$E$13+1,1))</f>
        <v>133.08385802816008</v>
      </c>
      <c r="CZ58" s="59">
        <f t="shared" si="42"/>
        <v>316.59112511251385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projet'!$B$13,Paramètres!$A$1:$I$88,7,0))</f>
        <v>0</v>
      </c>
      <c r="DD58" s="16">
        <f>IF(ISNA(VLOOKUP(A58,'Données projet'!$A$139:$I$159,6,0)),0%,VLOOKUP(A58,'Données projet'!$A$139:$I$159,6,0)*VLOOKUP('Données projet'!$B$13,Paramètres!$A$1:$I$88,7,0))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projet'!$B$13,Paramètres!$A$1:$I$88,3,0)*0.475*44/12</f>
        <v>44.010072076554465</v>
      </c>
      <c r="DG58" s="21">
        <f>EXP(-LN(2)/25)*DG57+(1-EXP(-LN(2)/25))/(LN(2)/25)*Calculateur!DB58*Calculateur!DD58*VLOOKUP('Données projet'!$B$13,Paramètres!$A$1:$I$88,3,0)*0.475*44/12</f>
        <v>0</v>
      </c>
      <c r="DH58" s="21">
        <f>EXP(-LN(2)/2)*DH57+(1-EXP(-LN(2)/2))/(LN(2)/2)*DB58*DE58*VLOOKUP('Données projet'!$B$13,Paramètres!$A$1:$I$88,3,0)*0.475*44/12</f>
        <v>9.761394524880943E-4</v>
      </c>
      <c r="DI58" s="22">
        <f t="shared" si="15"/>
        <v>44.011048216006955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projet'!$B$14,Paramètres!$A$1:$I$88,3,0)*VLOOKUP('Données projet'!$B$14,Paramètres!$A$1:$I$88,5,0)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projet'!$B$14,Paramètres!$A$1:$I$88,7,0))</f>
        <v>0</v>
      </c>
      <c r="DY58" s="16">
        <f>IF(ISNA(VLOOKUP(A58,'Données projet'!$A$165:$I$185,6,0)),0%,VLOOKUP(A58,'Données projet'!$A$165:$I$185,6,0)*VLOOKUP('Données projet'!$B$14,Paramètres!$A$1:$I$88,7,0))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projet'!$B$14,Paramètres!$A$1:$I$88,3,0)*0.475*44/12</f>
        <v>#N/A</v>
      </c>
      <c r="EB58" s="21" t="e">
        <f>EXP(-LN(2)/25)*EB57+(1-EXP(-LN(2)/25))/(LN(2)/25)*Calculateur!DW58*Calculateur!DY58*VLOOKUP('Données projet'!$B$14,Paramètres!$A$1:$I$88,3,0)*0.475*44/12</f>
        <v>#N/A</v>
      </c>
      <c r="EC58" s="21" t="e">
        <f>EXP(-LN(2)/2)*EC57+(1-EXP(-LN(2)/2))/(LN(2)/2)*DW58*DZ58*VLOOKUP('Données projet'!$B$14,Paramètres!$A$1:$I$88,3,0)*0.475*44/12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projet'!$B$15,Paramètres!$A$1:$I$88,3,0)*VLOOKUP('Données projet'!$B$15,Paramètres!$A$1:$I$88,5,0)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projet'!$B$15,Paramètres!$A$1:$I$88,7,0))</f>
        <v>0</v>
      </c>
      <c r="ET58" s="16">
        <f>IF(ISNA(VLOOKUP(A58,'Données projet'!$A$191:$I$211,6,0)),0%,VLOOKUP(A58,'Données projet'!$A$191:$I$211,6,0)*VLOOKUP('Données projet'!$B$15,Paramètres!$A$1:$I$88,7,0))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projet'!$B$15,Paramètres!$A$1:$I$88,3,0)*0.475*44/12</f>
        <v>#N/A</v>
      </c>
      <c r="EW58" s="21" t="e">
        <f>EXP(-LN(2)/25)*EW57+(1-EXP(-LN(2)/25))/(LN(2)/25)*Calculateur!ER58*Calculateur!ET58*VLOOKUP('Données projet'!$B$15,Paramètres!$A$1:$I$88,3,0)*0.475*44/12</f>
        <v>#N/A</v>
      </c>
      <c r="EX58" s="21" t="e">
        <f>EXP(-LN(2)/2)*EX57+(1-EXP(-LN(2)/2))/(LN(2)/2)*ER58*EU58*VLOOKUP('Données projet'!$B$15,Paramètres!$A$1:$I$88,3,0)*0.475*44/12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projet'!$B$16,Paramètres!$A$1:$I$88,3,0)*VLOOKUP('Données projet'!$B$16,Paramètres!$A$1:$I$88,5,0)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projet'!$B$16,Paramètres!$A$1:$I$88,7,0))</f>
        <v>0</v>
      </c>
      <c r="FO58" s="16">
        <f>IF(ISNA(VLOOKUP(A58,'Données projet'!$A$217:$I$237,6,0)),0%,VLOOKUP(A58,'Données projet'!$A$217:$I$237,6,0)*VLOOKUP('Données projet'!$B$16,Paramètres!$A$1:$I$88,7,0))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projet'!$B$16,Paramètres!$A$1:$I$88,3,0)*0.475*44/12</f>
        <v>#N/A</v>
      </c>
      <c r="FR58" s="21" t="e">
        <f>EXP(-LN(2)/25)*FR57+(1-EXP(-LN(2)/25))/(LN(2)/25)*Calculateur!FM58*Calculateur!FO58*VLOOKUP('Données projet'!$B$16,Paramètres!$A$1:$I$88,3,0)*0.475*44/12</f>
        <v>#N/A</v>
      </c>
      <c r="FS58" s="21" t="e">
        <f>EXP(-LN(2)/2)*FS57+(1-EXP(-LN(2)/2))/(LN(2)/2)*FM58*FP58*VLOOKUP('Données projet'!$B$16,Paramètres!$A$1:$I$88,3,0)*0.475*44/12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projet'!$B$17,Paramètres!$A$1:$I$88,3,0)*VLOOKUP('Données projet'!$B$17,Paramètres!$A$1:$I$88,5,0)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projet'!$B$17,Paramètres!$A$1:$I$88,7,0))</f>
        <v>0</v>
      </c>
      <c r="GJ58" s="16">
        <f>IF(ISNA(VLOOKUP(A58,'Données projet'!$A$243:$I$263,6,0)),0%,VLOOKUP(A58,'Données projet'!$A$243:$I$263,6,0)*VLOOKUP('Données projet'!$B$17,Paramètres!$A$1:$I$88,7,0))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projet'!$B$17,Paramètres!$A$1:$I$88,3,0)*0.475*44/12</f>
        <v>#N/A</v>
      </c>
      <c r="GM58" s="21" t="e">
        <f>EXP(-LN(2)/25)*GM57+(1-EXP(-LN(2)/25))/(LN(2)/25)*Calculateur!GH58*Calculateur!GJ58*VLOOKUP('Données projet'!$B$17,Paramètres!$A$1:$I$88,3,0)*0.475*44/12</f>
        <v>#N/A</v>
      </c>
      <c r="GN58" s="21" t="e">
        <f>EXP(-LN(2)/2)*GN57+(1-EXP(-LN(2)/2))/(LN(2)/2)*GH58*GK58*VLOOKUP('Données projet'!$B$17,Paramètres!$A$1:$I$88,3,0)*0.475*44/12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projet'!$B$18,Paramètres!$A$1:$I$88,3,0)*VLOOKUP('Données projet'!$B$18,Paramètres!$A$1:$I$88,5,0)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projet'!$B$18,Paramètres!$A$1:$I$88,7,0))</f>
        <v>0</v>
      </c>
      <c r="HE58" s="16">
        <f>IF(ISNA(VLOOKUP(A58,'Données projet'!$A$269:$I$289,6,0)),0%,VLOOKUP(A58,'Données projet'!$A$269:$I$289,6,0)*VLOOKUP('Données projet'!$B$18,Paramètres!$A$1:$I$88,7,0))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projet'!$B$18,Paramètres!$A$1:$I$88,3,0)*0.475*44/12</f>
        <v>#N/A</v>
      </c>
      <c r="HH58" s="21" t="e">
        <f>EXP(-LN(2)/25)*HH57+(1-EXP(-LN(2)/25))/(LN(2)/25)*Calculateur!HC58*Calculateur!HE58*VLOOKUP('Données projet'!$B$18,Paramètres!$A$1:$I$88,3,0)*0.475*44/12</f>
        <v>#N/A</v>
      </c>
      <c r="HI58" s="21" t="e">
        <f>EXP(-LN(2)/2)*HI57+(1-EXP(-LN(2)/2))/(LN(2)/2)*HC58*HF58*VLOOKUP('Données projet'!$B$18,Paramètres!$A$1:$I$88,3,0)*0.475*44/12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2.625</v>
      </c>
      <c r="N59" s="13">
        <f>IF('Données projet'!$A$36&gt;35,N58+M59-V58,IF(A59&lt;'Données projet'!$A$36,$K$205^A59,IF(A59='Données projet'!$A$36,'Données projet'!$B$36,N58+M59-V58)))</f>
        <v>300.25</v>
      </c>
      <c r="O59" s="13">
        <f>N59*VLOOKUP('Données projet'!$B$9,Paramètres!$A$1:$I$88,3,0)*VLOOKUP('Données projet'!$B$9,Paramètres!$A$1:$I$88,5,0)</f>
        <v>179.54950000000002</v>
      </c>
      <c r="P59" s="13">
        <f t="shared" si="33"/>
        <v>45.221943603548368</v>
      </c>
      <c r="Q59" s="20">
        <f t="shared" si="53"/>
        <v>391.47693094284676</v>
      </c>
      <c r="R59" s="59">
        <f t="shared" si="0"/>
        <v>684.81026427618008</v>
      </c>
      <c r="S59" s="59">
        <f ca="1">AVERAGE(OFFSET($R$3,0,0,'Données projet'!$E$9+1,1))-AVERAGE(OFFSET($H$3,0,0,'Données projet'!$E$9+1,1))</f>
        <v>195.73441209602686</v>
      </c>
      <c r="T59" s="59">
        <f t="shared" si="34"/>
        <v>219.19129224309006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projet'!$B$9,Paramètres!$A$1:$I$88,7,0))</f>
        <v>0</v>
      </c>
      <c r="X59" s="16">
        <f>IF(ISNA(VLOOKUP(A59,'Données projet'!$A$35:$I$55,6,0)),0%,VLOOKUP(A59,'Données projet'!$A$35:$I$55,6,0)*VLOOKUP('Données projet'!$B$9,Paramètres!$A$1:$I$88,7,0))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projet'!$B$9,Paramètres!$A$1:$I$88,3,0)*0.475*44/12</f>
        <v>9.1141053403967796</v>
      </c>
      <c r="AA59" s="21">
        <f>EXP(-LN(2)/25)*AA58+(1-EXP(-LN(2)/25))/(LN(2)/25)*Calculateur!V59*Calculateur!X59*VLOOKUP('Données projet'!$B$9,Paramètres!$A$1:$I$88,3,0)*0.475*44/12</f>
        <v>6.885253633874453</v>
      </c>
      <c r="AB59" s="21">
        <f>EXP(-LN(2)/2)*AB58+(1-EXP(-LN(2)/2))/(LN(2)/2)*V59*Y59*VLOOKUP('Données projet'!$B$9,Paramètres!$A$1:$I$88,3,0)*0.475*44/12</f>
        <v>4.8428171676694878E-6</v>
      </c>
      <c r="AC59" s="22">
        <f t="shared" si="3"/>
        <v>15.999363817088399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11.4</v>
      </c>
      <c r="AI59" s="13">
        <f>IF('Données projet'!$A$62&gt;35,AI58+AH59-AQ58,IF(A59&lt;'Données projet'!$A$62,$AF$205^A59,IF(A59='Données projet'!$A$62,'Données projet'!$B$62,AI58+AH59-AQ58)))</f>
        <v>341.39999999999986</v>
      </c>
      <c r="AJ59" s="13">
        <f>AI59*VLOOKUP('Données projet'!$B$10,Paramètres!$A$1:$I$88,3,0)*VLOOKUP('Données projet'!$B$10,Paramètres!$A$1:$I$88,5,0)</f>
        <v>204.15719999999996</v>
      </c>
      <c r="AK59" s="13">
        <f t="shared" si="35"/>
        <v>50.656697660408256</v>
      </c>
      <c r="AL59" s="20">
        <f t="shared" si="4"/>
        <v>443.80087175854425</v>
      </c>
      <c r="AM59" s="59">
        <f t="shared" si="5"/>
        <v>737.13420509187756</v>
      </c>
      <c r="AN59" s="59">
        <f ca="1">AVERAGE(OFFSET($AM$3,0,0,'Données projet'!$E$10+1,1))-AVERAGE(OFFSET($H$3,0,0,'Données projet'!$E$10+1,1))</f>
        <v>246.59447135626942</v>
      </c>
      <c r="AO59" s="59">
        <f t="shared" si="36"/>
        <v>262.00382544285367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projet'!$B$10,Paramètres!$A$1:$I$88,7,0))</f>
        <v>0</v>
      </c>
      <c r="AS59" s="16">
        <f>IF(ISNA(VLOOKUP(A59,'Données projet'!$A$61:$I$81,6,0)),0%,VLOOKUP(A59,'Données projet'!$A$61:$I$81,6,0)*VLOOKUP('Données projet'!$B$10,Paramètres!$A$1:$I$88,7,0))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projet'!$B$10,Paramètres!$A$1:$I$88,3,0)*0.475*44/12</f>
        <v>0</v>
      </c>
      <c r="AV59" s="21">
        <f>EXP(-LN(2)/25)*AV58+(1-EXP(-LN(2)/25))/(LN(2)/25)*Calculateur!AQ59*Calculateur!AS59*VLOOKUP('Données projet'!$B$10,Paramètres!$A$1:$I$88,3,0)*0.475*44/12</f>
        <v>6.2489498821557508</v>
      </c>
      <c r="AW59" s="21">
        <f>EXP(-LN(2)/2)*AW58+(1-EXP(-LN(2)/2))/(LN(2)/2)*AQ59*AT59*VLOOKUP('Données projet'!$B$10,Paramètres!$A$1:$I$88,3,0)*0.475*44/12</f>
        <v>2.8966503752220424E-3</v>
      </c>
      <c r="AX59" s="21">
        <f t="shared" si="6"/>
        <v>6.2518465325309727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16.2</v>
      </c>
      <c r="BD59" s="12">
        <f>IF('Données projet'!$A$88&gt;35,BD58+BC59-BL58,IF(A59&lt;'Données projet'!$A$88,$BA$205^A59,IF(A59='Données projet'!$A$88,'Données projet'!$B$88,BD58+BC59-BL58)))</f>
        <v>498.19999999999976</v>
      </c>
      <c r="BE59" s="13">
        <f>BD59*VLOOKUP('Données projet'!$B$11,Paramètres!$A$1:$I$88,3,0)*VLOOKUP('Données projet'!$B$11,Paramètres!$A$1:$I$88,5,0)</f>
        <v>278.49379999999985</v>
      </c>
      <c r="BF59" s="13">
        <f t="shared" si="37"/>
        <v>66.648605670285122</v>
      </c>
      <c r="BG59" s="20">
        <f t="shared" si="7"/>
        <v>601.12302320907963</v>
      </c>
      <c r="BH59" s="59">
        <f t="shared" si="8"/>
        <v>894.456356542413</v>
      </c>
      <c r="BI59" s="59">
        <f ca="1">AVERAGE(OFFSET($BH$3,0,0,'Données projet'!$E$11+1,1))-AVERAGE(OFFSET($H$3,0,0,'Données projet'!$E$11+1,1))</f>
        <v>355.96253323046608</v>
      </c>
      <c r="BJ59" s="59">
        <f t="shared" si="38"/>
        <v>366.8380442809696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projet'!$B$11,Paramètres!$A$1:$I$88,7,0))</f>
        <v>0</v>
      </c>
      <c r="BN59" s="16">
        <f>IF(ISNA(VLOOKUP(A59,'Données projet'!$A$87:$I$107,6,0)),0%,VLOOKUP(A59,'Données projet'!$A$87:$I$107,6,0)*VLOOKUP('Données projet'!$B$11,Paramètres!$A$1:$I$88,7,0))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projet'!$B$11,Paramètres!$A$1:$I$88,3,0)*0.475*44/12</f>
        <v>0</v>
      </c>
      <c r="BQ59" s="21">
        <f>EXP(-LN(2)/25)*BQ58+(1-EXP(-LN(2)/25))/(LN(2)/25)*Calculateur!BL59*Calculateur!BN59*VLOOKUP('Données projet'!$B$11,Paramètres!$A$1:$I$88,3,0)*0.475*44/12</f>
        <v>11.063851224581768</v>
      </c>
      <c r="BR59" s="21">
        <f>EXP(-LN(2)/2)*BR58+(1-EXP(-LN(2)/2))/(LN(2)/2)*BL59*BO59*VLOOKUP('Données projet'!$B$11,Paramètres!$A$1:$I$88,3,0)*0.475*44/12</f>
        <v>4.4786934652655845E-3</v>
      </c>
      <c r="BS59" s="22">
        <f t="shared" si="9"/>
        <v>11.068329918047034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5.6</v>
      </c>
      <c r="BY59" s="12">
        <f>IF('Données projet'!$A$114&gt;35,BY58+BX59-CG58,IF(A59&lt;'Données projet'!$A$114,$BV$205^A59,IF(A59='Données projet'!$A$114,'Données projet'!$B$114,BY58+BX59-CG58)))</f>
        <v>235.59999999999971</v>
      </c>
      <c r="BZ59" s="13">
        <f>BY59*VLOOKUP('Données projet'!$B$12,Paramètres!$A$1:$I$88,3,0)*VLOOKUP('Données projet'!$B$12,Paramètres!$A$1:$I$88,5,0)</f>
        <v>154.36511999999979</v>
      </c>
      <c r="CA59" s="13">
        <f t="shared" si="39"/>
        <v>39.568912624848238</v>
      </c>
      <c r="CB59" s="20">
        <f t="shared" si="10"/>
        <v>337.76844015494368</v>
      </c>
      <c r="CC59" s="59">
        <f t="shared" si="11"/>
        <v>631.10177348827699</v>
      </c>
      <c r="CD59" s="59">
        <f ca="1">AVERAGE(OFFSET($CC$3,0,0,'Données projet'!$E$12+1,1))-AVERAGE(OFFSET($H$3,0,0,'Données projet'!$E$12+1,1))</f>
        <v>180.90147430936133</v>
      </c>
      <c r="CE59" s="59">
        <f t="shared" si="40"/>
        <v>226.87949199830018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projet'!$B$12,Paramètres!$A$1:$I$88,7,0))</f>
        <v>0</v>
      </c>
      <c r="CI59" s="16">
        <f>IF(ISNA(VLOOKUP(A59,'Données projet'!$A$113:$I$133,6,0)),0%,VLOOKUP(A59,'Données projet'!$A$113:$I$133,6,0)*VLOOKUP('Données projet'!$B$12,Paramètres!$A$1:$I$88,7,0))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projet'!$B$12,Paramètres!$A$1:$I$88,3,0)*0.475*44/12</f>
        <v>0</v>
      </c>
      <c r="CL59" s="21">
        <f>EXP(-LN(2)/25)*CL58+(1-EXP(-LN(2)/25))/(LN(2)/25)*Calculateur!CG59*Calculateur!CI59*VLOOKUP('Données projet'!$B$12,Paramètres!$A$1:$I$88,3,0)*0.475*44/12</f>
        <v>3.3413298213833023</v>
      </c>
      <c r="CM59" s="21">
        <f>EXP(-LN(2)/2)*CM58+(1-EXP(-LN(2)/2))/(LN(2)/2)*CG59*CJ59*VLOOKUP('Données projet'!$B$12,Paramètres!$A$1:$I$88,3,0)*0.475*44/12</f>
        <v>1.0818432438037316E-3</v>
      </c>
      <c r="CN59" s="22">
        <f t="shared" si="12"/>
        <v>3.342411664627106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5.6843418860808015E-14</v>
      </c>
      <c r="CU59" s="17">
        <f>CT59*VLOOKUP('Données projet'!$B$13,Paramètres!$A$1:$I$88,3,0)*VLOOKUP('Données projet'!$B$13,Paramètres!$A$1:$I$88,5,0)</f>
        <v>2.8908289095852525E-14</v>
      </c>
      <c r="CV59" s="13">
        <f t="shared" si="41"/>
        <v>5.0177780569126974E-13</v>
      </c>
      <c r="CW59" s="20">
        <f t="shared" si="13"/>
        <v>9.2427828175423786E-13</v>
      </c>
      <c r="CX59" s="59">
        <f t="shared" si="14"/>
        <v>293.33333333333422</v>
      </c>
      <c r="CY59" s="59">
        <f ca="1">AVERAGE(OFFSET($CX$3,0,0,'Données projet'!$E$13+1,1))-AVERAGE(OFFSET($H$3,0,0,'Données projet'!$E$13+1,1))</f>
        <v>133.08385802816008</v>
      </c>
      <c r="CZ59" s="59">
        <f t="shared" si="42"/>
        <v>316.59112511251385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projet'!$B$13,Paramètres!$A$1:$I$88,7,0))</f>
        <v>0</v>
      </c>
      <c r="DD59" s="16">
        <f>IF(ISNA(VLOOKUP(A59,'Données projet'!$A$139:$I$159,6,0)),0%,VLOOKUP(A59,'Données projet'!$A$139:$I$159,6,0)*VLOOKUP('Données projet'!$B$13,Paramètres!$A$1:$I$88,7,0))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projet'!$B$13,Paramètres!$A$1:$I$88,3,0)*0.475*44/12</f>
        <v>43.147061406626626</v>
      </c>
      <c r="DG59" s="21">
        <f>EXP(-LN(2)/25)*DG58+(1-EXP(-LN(2)/25))/(LN(2)/25)*Calculateur!DB59*Calculateur!DD59*VLOOKUP('Données projet'!$B$13,Paramètres!$A$1:$I$88,3,0)*0.475*44/12</f>
        <v>0</v>
      </c>
      <c r="DH59" s="21">
        <f>EXP(-LN(2)/2)*DH58+(1-EXP(-LN(2)/2))/(LN(2)/2)*DB59*DE59*VLOOKUP('Données projet'!$B$13,Paramètres!$A$1:$I$88,3,0)*0.475*44/12</f>
        <v>6.9023482623805526E-4</v>
      </c>
      <c r="DI59" s="22">
        <f t="shared" si="15"/>
        <v>43.147751641452864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projet'!$B$14,Paramètres!$A$1:$I$88,3,0)*VLOOKUP('Données projet'!$B$14,Paramètres!$A$1:$I$88,5,0)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projet'!$B$14,Paramètres!$A$1:$I$88,7,0))</f>
        <v>0</v>
      </c>
      <c r="DY59" s="16">
        <f>IF(ISNA(VLOOKUP(A59,'Données projet'!$A$165:$I$185,6,0)),0%,VLOOKUP(A59,'Données projet'!$A$165:$I$185,6,0)*VLOOKUP('Données projet'!$B$14,Paramètres!$A$1:$I$88,7,0))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projet'!$B$14,Paramètres!$A$1:$I$88,3,0)*0.475*44/12</f>
        <v>#N/A</v>
      </c>
      <c r="EB59" s="21" t="e">
        <f>EXP(-LN(2)/25)*EB58+(1-EXP(-LN(2)/25))/(LN(2)/25)*Calculateur!DW59*Calculateur!DY59*VLOOKUP('Données projet'!$B$14,Paramètres!$A$1:$I$88,3,0)*0.475*44/12</f>
        <v>#N/A</v>
      </c>
      <c r="EC59" s="21" t="e">
        <f>EXP(-LN(2)/2)*EC58+(1-EXP(-LN(2)/2))/(LN(2)/2)*DW59*DZ59*VLOOKUP('Données projet'!$B$14,Paramètres!$A$1:$I$88,3,0)*0.475*44/12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projet'!$B$15,Paramètres!$A$1:$I$88,3,0)*VLOOKUP('Données projet'!$B$15,Paramètres!$A$1:$I$88,5,0)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projet'!$B$15,Paramètres!$A$1:$I$88,7,0))</f>
        <v>0</v>
      </c>
      <c r="ET59" s="16">
        <f>IF(ISNA(VLOOKUP(A59,'Données projet'!$A$191:$I$211,6,0)),0%,VLOOKUP(A59,'Données projet'!$A$191:$I$211,6,0)*VLOOKUP('Données projet'!$B$15,Paramètres!$A$1:$I$88,7,0))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projet'!$B$15,Paramètres!$A$1:$I$88,3,0)*0.475*44/12</f>
        <v>#N/A</v>
      </c>
      <c r="EW59" s="21" t="e">
        <f>EXP(-LN(2)/25)*EW58+(1-EXP(-LN(2)/25))/(LN(2)/25)*Calculateur!ER59*Calculateur!ET59*VLOOKUP('Données projet'!$B$15,Paramètres!$A$1:$I$88,3,0)*0.475*44/12</f>
        <v>#N/A</v>
      </c>
      <c r="EX59" s="21" t="e">
        <f>EXP(-LN(2)/2)*EX58+(1-EXP(-LN(2)/2))/(LN(2)/2)*ER59*EU59*VLOOKUP('Données projet'!$B$15,Paramètres!$A$1:$I$88,3,0)*0.475*44/12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projet'!$B$16,Paramètres!$A$1:$I$88,3,0)*VLOOKUP('Données projet'!$B$16,Paramètres!$A$1:$I$88,5,0)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projet'!$B$16,Paramètres!$A$1:$I$88,7,0))</f>
        <v>0</v>
      </c>
      <c r="FO59" s="16">
        <f>IF(ISNA(VLOOKUP(A59,'Données projet'!$A$217:$I$237,6,0)),0%,VLOOKUP(A59,'Données projet'!$A$217:$I$237,6,0)*VLOOKUP('Données projet'!$B$16,Paramètres!$A$1:$I$88,7,0))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projet'!$B$16,Paramètres!$A$1:$I$88,3,0)*0.475*44/12</f>
        <v>#N/A</v>
      </c>
      <c r="FR59" s="21" t="e">
        <f>EXP(-LN(2)/25)*FR58+(1-EXP(-LN(2)/25))/(LN(2)/25)*Calculateur!FM59*Calculateur!FO59*VLOOKUP('Données projet'!$B$16,Paramètres!$A$1:$I$88,3,0)*0.475*44/12</f>
        <v>#N/A</v>
      </c>
      <c r="FS59" s="21" t="e">
        <f>EXP(-LN(2)/2)*FS58+(1-EXP(-LN(2)/2))/(LN(2)/2)*FM59*FP59*VLOOKUP('Données projet'!$B$16,Paramètres!$A$1:$I$88,3,0)*0.475*44/12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projet'!$B$17,Paramètres!$A$1:$I$88,3,0)*VLOOKUP('Données projet'!$B$17,Paramètres!$A$1:$I$88,5,0)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projet'!$B$17,Paramètres!$A$1:$I$88,7,0))</f>
        <v>0</v>
      </c>
      <c r="GJ59" s="16">
        <f>IF(ISNA(VLOOKUP(A59,'Données projet'!$A$243:$I$263,6,0)),0%,VLOOKUP(A59,'Données projet'!$A$243:$I$263,6,0)*VLOOKUP('Données projet'!$B$17,Paramètres!$A$1:$I$88,7,0))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projet'!$B$17,Paramètres!$A$1:$I$88,3,0)*0.475*44/12</f>
        <v>#N/A</v>
      </c>
      <c r="GM59" s="21" t="e">
        <f>EXP(-LN(2)/25)*GM58+(1-EXP(-LN(2)/25))/(LN(2)/25)*Calculateur!GH59*Calculateur!GJ59*VLOOKUP('Données projet'!$B$17,Paramètres!$A$1:$I$88,3,0)*0.475*44/12</f>
        <v>#N/A</v>
      </c>
      <c r="GN59" s="21" t="e">
        <f>EXP(-LN(2)/2)*GN58+(1-EXP(-LN(2)/2))/(LN(2)/2)*GH59*GK59*VLOOKUP('Données projet'!$B$17,Paramètres!$A$1:$I$88,3,0)*0.475*44/12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projet'!$B$18,Paramètres!$A$1:$I$88,3,0)*VLOOKUP('Données projet'!$B$18,Paramètres!$A$1:$I$88,5,0)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projet'!$B$18,Paramètres!$A$1:$I$88,7,0))</f>
        <v>0</v>
      </c>
      <c r="HE59" s="16">
        <f>IF(ISNA(VLOOKUP(A59,'Données projet'!$A$269:$I$289,6,0)),0%,VLOOKUP(A59,'Données projet'!$A$269:$I$289,6,0)*VLOOKUP('Données projet'!$B$18,Paramètres!$A$1:$I$88,7,0))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projet'!$B$18,Paramètres!$A$1:$I$88,3,0)*0.475*44/12</f>
        <v>#N/A</v>
      </c>
      <c r="HH59" s="21" t="e">
        <f>EXP(-LN(2)/25)*HH58+(1-EXP(-LN(2)/25))/(LN(2)/25)*Calculateur!HC59*Calculateur!HE59*VLOOKUP('Données projet'!$B$18,Paramètres!$A$1:$I$88,3,0)*0.475*44/12</f>
        <v>#N/A</v>
      </c>
      <c r="HI59" s="21" t="e">
        <f>EXP(-LN(2)/2)*HI58+(1-EXP(-LN(2)/2))/(LN(2)/2)*HC59*HF59*VLOOKUP('Données projet'!$B$18,Paramètres!$A$1:$I$88,3,0)*0.475*44/12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2.625</v>
      </c>
      <c r="N60" s="13">
        <f>IF('Données projet'!$A$36&gt;35,N59+M60-V59,IF(A60&lt;'Données projet'!$A$36,$K$205^A60,IF(A60='Données projet'!$A$36,'Données projet'!$B$36,N59+M60-V59)))</f>
        <v>302.875</v>
      </c>
      <c r="O60" s="13">
        <f>N60*VLOOKUP('Données projet'!$B$9,Paramètres!$A$1:$I$88,3,0)*VLOOKUP('Données projet'!$B$9,Paramètres!$A$1:$I$88,5,0)</f>
        <v>181.11925000000002</v>
      </c>
      <c r="P60" s="13">
        <f t="shared" si="33"/>
        <v>45.571108763102352</v>
      </c>
      <c r="Q60" s="20">
        <f t="shared" si="53"/>
        <v>394.81904151240332</v>
      </c>
      <c r="R60" s="59">
        <f t="shared" si="0"/>
        <v>688.15237484573663</v>
      </c>
      <c r="S60" s="59">
        <f ca="1">AVERAGE(OFFSET($R$3,0,0,'Données projet'!$E$9+1,1))-AVERAGE(OFFSET($H$3,0,0,'Données projet'!$E$9+1,1))</f>
        <v>195.73441209602686</v>
      </c>
      <c r="T60" s="59">
        <f t="shared" si="34"/>
        <v>219.19129224309006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projet'!$B$9,Paramètres!$A$1:$I$88,7,0))</f>
        <v>0</v>
      </c>
      <c r="X60" s="16">
        <f>IF(ISNA(VLOOKUP(A60,'Données projet'!$A$35:$I$55,6,0)),0%,VLOOKUP(A60,'Données projet'!$A$35:$I$55,6,0)*VLOOKUP('Données projet'!$B$9,Paramètres!$A$1:$I$88,7,0))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projet'!$B$9,Paramètres!$A$1:$I$88,3,0)*0.475*44/12</f>
        <v>8.9353832937269448</v>
      </c>
      <c r="AA60" s="21">
        <f>EXP(-LN(2)/25)*AA59+(1-EXP(-LN(2)/25))/(LN(2)/25)*Calculateur!V60*Calculateur!X60*VLOOKUP('Données projet'!$B$9,Paramètres!$A$1:$I$88,3,0)*0.475*44/12</f>
        <v>6.6969760111764041</v>
      </c>
      <c r="AB60" s="21">
        <f>EXP(-LN(2)/2)*AB59+(1-EXP(-LN(2)/2))/(LN(2)/2)*V60*Y60*VLOOKUP('Données projet'!$B$9,Paramètres!$A$1:$I$88,3,0)*0.475*44/12</f>
        <v>3.4243888593057244E-6</v>
      </c>
      <c r="AC60" s="22">
        <f t="shared" si="3"/>
        <v>15.632362729292209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11.4</v>
      </c>
      <c r="AI60" s="13">
        <f>IF('Données projet'!$A$62&gt;35,AI59+AH60-AQ59,IF(A60&lt;'Données projet'!$A$62,$AF$205^A60,IF(A60='Données projet'!$A$62,'Données projet'!$B$62,AI59+AH60-AQ59)))</f>
        <v>352.79999999999984</v>
      </c>
      <c r="AJ60" s="13">
        <f>AI60*VLOOKUP('Données projet'!$B$10,Paramètres!$A$1:$I$88,3,0)*VLOOKUP('Données projet'!$B$10,Paramètres!$A$1:$I$88,5,0)</f>
        <v>210.97439999999992</v>
      </c>
      <c r="AK60" s="13">
        <f t="shared" si="35"/>
        <v>52.148459211324706</v>
      </c>
      <c r="AL60" s="20">
        <f t="shared" si="4"/>
        <v>458.27231312639037</v>
      </c>
      <c r="AM60" s="59">
        <f t="shared" si="5"/>
        <v>751.60564645972363</v>
      </c>
      <c r="AN60" s="59">
        <f ca="1">AVERAGE(OFFSET($AM$3,0,0,'Données projet'!$E$10+1,1))-AVERAGE(OFFSET($H$3,0,0,'Données projet'!$E$10+1,1))</f>
        <v>246.59447135626942</v>
      </c>
      <c r="AO60" s="59">
        <f t="shared" si="36"/>
        <v>262.00382544285367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projet'!$B$10,Paramètres!$A$1:$I$88,7,0))</f>
        <v>0</v>
      </c>
      <c r="AS60" s="16">
        <f>IF(ISNA(VLOOKUP(A60,'Données projet'!$A$61:$I$81,6,0)),0%,VLOOKUP(A60,'Données projet'!$A$61:$I$81,6,0)*VLOOKUP('Données projet'!$B$10,Paramètres!$A$1:$I$88,7,0))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projet'!$B$10,Paramètres!$A$1:$I$88,3,0)*0.475*44/12</f>
        <v>0</v>
      </c>
      <c r="AV60" s="21">
        <f>EXP(-LN(2)/25)*AV59+(1-EXP(-LN(2)/25))/(LN(2)/25)*Calculateur!AQ60*Calculateur!AS60*VLOOKUP('Données projet'!$B$10,Paramètres!$A$1:$I$88,3,0)*0.475*44/12</f>
        <v>6.07807201901021</v>
      </c>
      <c r="AW60" s="21">
        <f>EXP(-LN(2)/2)*AW59+(1-EXP(-LN(2)/2))/(LN(2)/2)*AQ60*AT60*VLOOKUP('Données projet'!$B$10,Paramètres!$A$1:$I$88,3,0)*0.475*44/12</f>
        <v>2.0482411230460635E-3</v>
      </c>
      <c r="AX60" s="21">
        <f t="shared" si="6"/>
        <v>6.0801202601332562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16.2</v>
      </c>
      <c r="BD60" s="12">
        <f>IF('Données projet'!$A$88&gt;35,BD59+BC60-BL59,IF(A60&lt;'Données projet'!$A$88,$BA$205^A60,IF(A60='Données projet'!$A$88,'Données projet'!$B$88,BD59+BC60-BL59)))</f>
        <v>514.39999999999975</v>
      </c>
      <c r="BE60" s="13">
        <f>BD60*VLOOKUP('Données projet'!$B$11,Paramètres!$A$1:$I$88,3,0)*VLOOKUP('Données projet'!$B$11,Paramètres!$A$1:$I$88,5,0)</f>
        <v>287.54959999999988</v>
      </c>
      <c r="BF60" s="13">
        <f t="shared" si="37"/>
        <v>68.559977517591122</v>
      </c>
      <c r="BG60" s="20">
        <f t="shared" si="7"/>
        <v>620.22418084313767</v>
      </c>
      <c r="BH60" s="59">
        <f t="shared" si="8"/>
        <v>913.55751417647093</v>
      </c>
      <c r="BI60" s="59">
        <f ca="1">AVERAGE(OFFSET($BH$3,0,0,'Données projet'!$E$11+1,1))-AVERAGE(OFFSET($H$3,0,0,'Données projet'!$E$11+1,1))</f>
        <v>355.96253323046608</v>
      </c>
      <c r="BJ60" s="59">
        <f t="shared" si="38"/>
        <v>366.8380442809696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projet'!$B$11,Paramètres!$A$1:$I$88,7,0))</f>
        <v>0</v>
      </c>
      <c r="BN60" s="16">
        <f>IF(ISNA(VLOOKUP(A60,'Données projet'!$A$87:$I$107,6,0)),0%,VLOOKUP(A60,'Données projet'!$A$87:$I$107,6,0)*VLOOKUP('Données projet'!$B$11,Paramètres!$A$1:$I$88,7,0))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projet'!$B$11,Paramètres!$A$1:$I$88,3,0)*0.475*44/12</f>
        <v>0</v>
      </c>
      <c r="BQ60" s="21">
        <f>EXP(-LN(2)/25)*BQ59+(1-EXP(-LN(2)/25))/(LN(2)/25)*Calculateur!BL60*Calculateur!BN60*VLOOKUP('Données projet'!$B$11,Paramètres!$A$1:$I$88,3,0)*0.475*44/12</f>
        <v>10.761309631022931</v>
      </c>
      <c r="BR60" s="21">
        <f>EXP(-LN(2)/2)*BR59+(1-EXP(-LN(2)/2))/(LN(2)/2)*BL60*BO60*VLOOKUP('Données projet'!$B$11,Paramètres!$A$1:$I$88,3,0)*0.475*44/12</f>
        <v>3.166914520145172E-3</v>
      </c>
      <c r="BS60" s="22">
        <f t="shared" si="9"/>
        <v>10.764476545543076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5.6</v>
      </c>
      <c r="BY60" s="12">
        <f>IF('Données projet'!$A$114&gt;35,BY59+BX60-CG59,IF(A60&lt;'Données projet'!$A$114,$BV$205^A60,IF(A60='Données projet'!$A$114,'Données projet'!$B$114,BY59+BX60-CG59)))</f>
        <v>241.1999999999997</v>
      </c>
      <c r="BZ60" s="13">
        <f>BY60*VLOOKUP('Données projet'!$B$12,Paramètres!$A$1:$I$88,3,0)*VLOOKUP('Données projet'!$B$12,Paramètres!$A$1:$I$88,5,0)</f>
        <v>158.03423999999981</v>
      </c>
      <c r="CA60" s="13">
        <f t="shared" si="39"/>
        <v>40.39881425395928</v>
      </c>
      <c r="CB60" s="20">
        <f t="shared" si="10"/>
        <v>345.60423615897867</v>
      </c>
      <c r="CC60" s="59">
        <f t="shared" si="11"/>
        <v>638.93756949231192</v>
      </c>
      <c r="CD60" s="59">
        <f ca="1">AVERAGE(OFFSET($CC$3,0,0,'Données projet'!$E$12+1,1))-AVERAGE(OFFSET($H$3,0,0,'Données projet'!$E$12+1,1))</f>
        <v>180.90147430936133</v>
      </c>
      <c r="CE60" s="59">
        <f t="shared" si="40"/>
        <v>226.87949199830018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projet'!$B$12,Paramètres!$A$1:$I$88,7,0))</f>
        <v>0</v>
      </c>
      <c r="CI60" s="16">
        <f>IF(ISNA(VLOOKUP(A60,'Données projet'!$A$113:$I$133,6,0)),0%,VLOOKUP(A60,'Données projet'!$A$113:$I$133,6,0)*VLOOKUP('Données projet'!$B$12,Paramètres!$A$1:$I$88,7,0))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projet'!$B$12,Paramètres!$A$1:$I$88,3,0)*0.475*44/12</f>
        <v>0</v>
      </c>
      <c r="CL60" s="21">
        <f>EXP(-LN(2)/25)*CL59+(1-EXP(-LN(2)/25))/(LN(2)/25)*Calculateur!CG60*Calculateur!CI60*VLOOKUP('Données projet'!$B$12,Paramètres!$A$1:$I$88,3,0)*0.475*44/12</f>
        <v>3.2499609817046773</v>
      </c>
      <c r="CM60" s="21">
        <f>EXP(-LN(2)/2)*CM59+(1-EXP(-LN(2)/2))/(LN(2)/2)*CG60*CJ60*VLOOKUP('Données projet'!$B$12,Paramètres!$A$1:$I$88,3,0)*0.475*44/12</f>
        <v>7.6497869387447007E-4</v>
      </c>
      <c r="CN60" s="22">
        <f t="shared" si="12"/>
        <v>3.2507259603985519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5.6843418860808015E-14</v>
      </c>
      <c r="CU60" s="17">
        <f>CT60*VLOOKUP('Données projet'!$B$13,Paramètres!$A$1:$I$88,3,0)*VLOOKUP('Données projet'!$B$13,Paramètres!$A$1:$I$88,5,0)</f>
        <v>2.8908289095852525E-14</v>
      </c>
      <c r="CV60" s="13">
        <f t="shared" si="41"/>
        <v>5.0177780569126974E-13</v>
      </c>
      <c r="CW60" s="20">
        <f t="shared" si="13"/>
        <v>9.2427828175423786E-13</v>
      </c>
      <c r="CX60" s="59">
        <f t="shared" si="14"/>
        <v>293.33333333333422</v>
      </c>
      <c r="CY60" s="59">
        <f ca="1">AVERAGE(OFFSET($CX$3,0,0,'Données projet'!$E$13+1,1))-AVERAGE(OFFSET($H$3,0,0,'Données projet'!$E$13+1,1))</f>
        <v>133.08385802816008</v>
      </c>
      <c r="CZ60" s="59">
        <f t="shared" si="42"/>
        <v>316.59112511251385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projet'!$B$13,Paramètres!$A$1:$I$88,7,0))</f>
        <v>0</v>
      </c>
      <c r="DD60" s="16">
        <f>IF(ISNA(VLOOKUP(A60,'Données projet'!$A$139:$I$159,6,0)),0%,VLOOKUP(A60,'Données projet'!$A$139:$I$159,6,0)*VLOOKUP('Données projet'!$B$13,Paramètres!$A$1:$I$88,7,0))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projet'!$B$13,Paramètres!$A$1:$I$88,3,0)*0.475*44/12</f>
        <v>42.300973849551539</v>
      </c>
      <c r="DG60" s="21">
        <f>EXP(-LN(2)/25)*DG59+(1-EXP(-LN(2)/25))/(LN(2)/25)*Calculateur!DB60*Calculateur!DD60*VLOOKUP('Données projet'!$B$13,Paramètres!$A$1:$I$88,3,0)*0.475*44/12</f>
        <v>0</v>
      </c>
      <c r="DH60" s="21">
        <f>EXP(-LN(2)/2)*DH59+(1-EXP(-LN(2)/2))/(LN(2)/2)*DB60*DE60*VLOOKUP('Données projet'!$B$13,Paramètres!$A$1:$I$88,3,0)*0.475*44/12</f>
        <v>4.8806972624404721E-4</v>
      </c>
      <c r="DI60" s="22">
        <f t="shared" si="15"/>
        <v>42.301461919277784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projet'!$B$14,Paramètres!$A$1:$I$88,3,0)*VLOOKUP('Données projet'!$B$14,Paramètres!$A$1:$I$88,5,0)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projet'!$B$14,Paramètres!$A$1:$I$88,7,0))</f>
        <v>0</v>
      </c>
      <c r="DY60" s="16">
        <f>IF(ISNA(VLOOKUP(A60,'Données projet'!$A$165:$I$185,6,0)),0%,VLOOKUP(A60,'Données projet'!$A$165:$I$185,6,0)*VLOOKUP('Données projet'!$B$14,Paramètres!$A$1:$I$88,7,0))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projet'!$B$14,Paramètres!$A$1:$I$88,3,0)*0.475*44/12</f>
        <v>#N/A</v>
      </c>
      <c r="EB60" s="21" t="e">
        <f>EXP(-LN(2)/25)*EB59+(1-EXP(-LN(2)/25))/(LN(2)/25)*Calculateur!DW60*Calculateur!DY60*VLOOKUP('Données projet'!$B$14,Paramètres!$A$1:$I$88,3,0)*0.475*44/12</f>
        <v>#N/A</v>
      </c>
      <c r="EC60" s="21" t="e">
        <f>EXP(-LN(2)/2)*EC59+(1-EXP(-LN(2)/2))/(LN(2)/2)*DW60*DZ60*VLOOKUP('Données projet'!$B$14,Paramètres!$A$1:$I$88,3,0)*0.475*44/12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projet'!$B$15,Paramètres!$A$1:$I$88,3,0)*VLOOKUP('Données projet'!$B$15,Paramètres!$A$1:$I$88,5,0)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projet'!$B$15,Paramètres!$A$1:$I$88,7,0))</f>
        <v>0</v>
      </c>
      <c r="ET60" s="16">
        <f>IF(ISNA(VLOOKUP(A60,'Données projet'!$A$191:$I$211,6,0)),0%,VLOOKUP(A60,'Données projet'!$A$191:$I$211,6,0)*VLOOKUP('Données projet'!$B$15,Paramètres!$A$1:$I$88,7,0))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projet'!$B$15,Paramètres!$A$1:$I$88,3,0)*0.475*44/12</f>
        <v>#N/A</v>
      </c>
      <c r="EW60" s="21" t="e">
        <f>EXP(-LN(2)/25)*EW59+(1-EXP(-LN(2)/25))/(LN(2)/25)*Calculateur!ER60*Calculateur!ET60*VLOOKUP('Données projet'!$B$15,Paramètres!$A$1:$I$88,3,0)*0.475*44/12</f>
        <v>#N/A</v>
      </c>
      <c r="EX60" s="21" t="e">
        <f>EXP(-LN(2)/2)*EX59+(1-EXP(-LN(2)/2))/(LN(2)/2)*ER60*EU60*VLOOKUP('Données projet'!$B$15,Paramètres!$A$1:$I$88,3,0)*0.475*44/12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projet'!$B$16,Paramètres!$A$1:$I$88,3,0)*VLOOKUP('Données projet'!$B$16,Paramètres!$A$1:$I$88,5,0)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projet'!$B$16,Paramètres!$A$1:$I$88,7,0))</f>
        <v>0</v>
      </c>
      <c r="FO60" s="16">
        <f>IF(ISNA(VLOOKUP(A60,'Données projet'!$A$217:$I$237,6,0)),0%,VLOOKUP(A60,'Données projet'!$A$217:$I$237,6,0)*VLOOKUP('Données projet'!$B$16,Paramètres!$A$1:$I$88,7,0))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projet'!$B$16,Paramètres!$A$1:$I$88,3,0)*0.475*44/12</f>
        <v>#N/A</v>
      </c>
      <c r="FR60" s="21" t="e">
        <f>EXP(-LN(2)/25)*FR59+(1-EXP(-LN(2)/25))/(LN(2)/25)*Calculateur!FM60*Calculateur!FO60*VLOOKUP('Données projet'!$B$16,Paramètres!$A$1:$I$88,3,0)*0.475*44/12</f>
        <v>#N/A</v>
      </c>
      <c r="FS60" s="21" t="e">
        <f>EXP(-LN(2)/2)*FS59+(1-EXP(-LN(2)/2))/(LN(2)/2)*FM60*FP60*VLOOKUP('Données projet'!$B$16,Paramètres!$A$1:$I$88,3,0)*0.475*44/12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projet'!$B$17,Paramètres!$A$1:$I$88,3,0)*VLOOKUP('Données projet'!$B$17,Paramètres!$A$1:$I$88,5,0)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projet'!$B$17,Paramètres!$A$1:$I$88,7,0))</f>
        <v>0</v>
      </c>
      <c r="GJ60" s="16">
        <f>IF(ISNA(VLOOKUP(A60,'Données projet'!$A$243:$I$263,6,0)),0%,VLOOKUP(A60,'Données projet'!$A$243:$I$263,6,0)*VLOOKUP('Données projet'!$B$17,Paramètres!$A$1:$I$88,7,0))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projet'!$B$17,Paramètres!$A$1:$I$88,3,0)*0.475*44/12</f>
        <v>#N/A</v>
      </c>
      <c r="GM60" s="21" t="e">
        <f>EXP(-LN(2)/25)*GM59+(1-EXP(-LN(2)/25))/(LN(2)/25)*Calculateur!GH60*Calculateur!GJ60*VLOOKUP('Données projet'!$B$17,Paramètres!$A$1:$I$88,3,0)*0.475*44/12</f>
        <v>#N/A</v>
      </c>
      <c r="GN60" s="21" t="e">
        <f>EXP(-LN(2)/2)*GN59+(1-EXP(-LN(2)/2))/(LN(2)/2)*GH60*GK60*VLOOKUP('Données projet'!$B$17,Paramètres!$A$1:$I$88,3,0)*0.475*44/12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projet'!$B$18,Paramètres!$A$1:$I$88,3,0)*VLOOKUP('Données projet'!$B$18,Paramètres!$A$1:$I$88,5,0)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projet'!$B$18,Paramètres!$A$1:$I$88,7,0))</f>
        <v>0</v>
      </c>
      <c r="HE60" s="16">
        <f>IF(ISNA(VLOOKUP(A60,'Données projet'!$A$269:$I$289,6,0)),0%,VLOOKUP(A60,'Données projet'!$A$269:$I$289,6,0)*VLOOKUP('Données projet'!$B$18,Paramètres!$A$1:$I$88,7,0))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projet'!$B$18,Paramètres!$A$1:$I$88,3,0)*0.475*44/12</f>
        <v>#N/A</v>
      </c>
      <c r="HH60" s="21" t="e">
        <f>EXP(-LN(2)/25)*HH59+(1-EXP(-LN(2)/25))/(LN(2)/25)*Calculateur!HC60*Calculateur!HE60*VLOOKUP('Données projet'!$B$18,Paramètres!$A$1:$I$88,3,0)*0.475*44/12</f>
        <v>#N/A</v>
      </c>
      <c r="HI60" s="21" t="e">
        <f>EXP(-LN(2)/2)*HI59+(1-EXP(-LN(2)/2))/(LN(2)/2)*HC60*HF60*VLOOKUP('Données projet'!$B$18,Paramètres!$A$1:$I$88,3,0)*0.475*44/12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2.625</v>
      </c>
      <c r="N61" s="13">
        <f>IF('Données projet'!$A$36&gt;35,N60+M61-V60,IF(A61&lt;'Données projet'!$A$36,$K$205^A61,IF(A61='Données projet'!$A$36,'Données projet'!$B$36,N60+M61-V60)))</f>
        <v>305.5</v>
      </c>
      <c r="O61" s="13">
        <f>N61*VLOOKUP('Données projet'!$B$9,Paramètres!$A$1:$I$88,3,0)*VLOOKUP('Données projet'!$B$9,Paramètres!$A$1:$I$88,5,0)</f>
        <v>182.68900000000002</v>
      </c>
      <c r="P61" s="13">
        <f t="shared" si="33"/>
        <v>45.919921846619154</v>
      </c>
      <c r="Q61" s="20">
        <f t="shared" si="53"/>
        <v>398.16053888286166</v>
      </c>
      <c r="R61" s="59">
        <f t="shared" si="0"/>
        <v>691.49387221619497</v>
      </c>
      <c r="S61" s="59">
        <f ca="1">AVERAGE(OFFSET($R$3,0,0,'Données projet'!$E$9+1,1))-AVERAGE(OFFSET($H$3,0,0,'Données projet'!$E$9+1,1))</f>
        <v>195.73441209602686</v>
      </c>
      <c r="T61" s="59">
        <f t="shared" si="34"/>
        <v>219.19129224309006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projet'!$B$9,Paramètres!$A$1:$I$88,7,0))</f>
        <v>0</v>
      </c>
      <c r="X61" s="16">
        <f>IF(ISNA(VLOOKUP(A61,'Données projet'!$A$35:$I$55,6,0)),0%,VLOOKUP(A61,'Données projet'!$A$35:$I$55,6,0)*VLOOKUP('Données projet'!$B$9,Paramètres!$A$1:$I$88,7,0))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projet'!$B$9,Paramètres!$A$1:$I$88,3,0)*0.475*44/12</f>
        <v>8.7601658773826205</v>
      </c>
      <c r="AA61" s="21">
        <f>EXP(-LN(2)/25)*AA60+(1-EXP(-LN(2)/25))/(LN(2)/25)*Calculateur!V61*Calculateur!X61*VLOOKUP('Données projet'!$B$9,Paramètres!$A$1:$I$88,3,0)*0.475*44/12</f>
        <v>6.5138468499721229</v>
      </c>
      <c r="AB61" s="21">
        <f>EXP(-LN(2)/2)*AB60+(1-EXP(-LN(2)/2))/(LN(2)/2)*V61*Y61*VLOOKUP('Données projet'!$B$9,Paramètres!$A$1:$I$88,3,0)*0.475*44/12</f>
        <v>2.4214085838347439E-6</v>
      </c>
      <c r="AC61" s="22">
        <f t="shared" si="3"/>
        <v>15.274015148763327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11.4</v>
      </c>
      <c r="AI61" s="13">
        <f>IF('Données projet'!$A$62&gt;35,AI60+AH61-AQ60,IF(A61&lt;'Données projet'!$A$62,$AF$205^A61,IF(A61='Données projet'!$A$62,'Données projet'!$B$62,AI60+AH61-AQ60)))</f>
        <v>364.19999999999982</v>
      </c>
      <c r="AJ61" s="13">
        <f>AI61*VLOOKUP('Données projet'!$B$10,Paramètres!$A$1:$I$88,3,0)*VLOOKUP('Données projet'!$B$10,Paramètres!$A$1:$I$88,5,0)</f>
        <v>217.7915999999999</v>
      </c>
      <c r="AK61" s="13">
        <f t="shared" si="35"/>
        <v>53.634619420976641</v>
      </c>
      <c r="AL61" s="20">
        <f t="shared" si="4"/>
        <v>472.73399882486751</v>
      </c>
      <c r="AM61" s="59">
        <f t="shared" si="5"/>
        <v>766.06733215820077</v>
      </c>
      <c r="AN61" s="59">
        <f ca="1">AVERAGE(OFFSET($AM$3,0,0,'Données projet'!$E$10+1,1))-AVERAGE(OFFSET($H$3,0,0,'Données projet'!$E$10+1,1))</f>
        <v>246.59447135626942</v>
      </c>
      <c r="AO61" s="59">
        <f t="shared" si="36"/>
        <v>262.00382544285367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projet'!$B$10,Paramètres!$A$1:$I$88,7,0))</f>
        <v>0</v>
      </c>
      <c r="AS61" s="16">
        <f>IF(ISNA(VLOOKUP(A61,'Données projet'!$A$61:$I$81,6,0)),0%,VLOOKUP(A61,'Données projet'!$A$61:$I$81,6,0)*VLOOKUP('Données projet'!$B$10,Paramètres!$A$1:$I$88,7,0))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projet'!$B$10,Paramètres!$A$1:$I$88,3,0)*0.475*44/12</f>
        <v>0</v>
      </c>
      <c r="AV61" s="21">
        <f>EXP(-LN(2)/25)*AV60+(1-EXP(-LN(2)/25))/(LN(2)/25)*Calculateur!AQ61*Calculateur!AS61*VLOOKUP('Données projet'!$B$10,Paramètres!$A$1:$I$88,3,0)*0.475*44/12</f>
        <v>5.9118668200184601</v>
      </c>
      <c r="AW61" s="21">
        <f>EXP(-LN(2)/2)*AW60+(1-EXP(-LN(2)/2))/(LN(2)/2)*AQ61*AT61*VLOOKUP('Données projet'!$B$10,Paramètres!$A$1:$I$88,3,0)*0.475*44/12</f>
        <v>1.4483251876110212E-3</v>
      </c>
      <c r="AX61" s="21">
        <f t="shared" si="6"/>
        <v>5.913315145206071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16.2</v>
      </c>
      <c r="BD61" s="12">
        <f>IF('Données projet'!$A$88&gt;35,BD60+BC61-BL60,IF(A61&lt;'Données projet'!$A$88,$BA$205^A61,IF(A61='Données projet'!$A$88,'Données projet'!$B$88,BD60+BC61-BL60)))</f>
        <v>530.5999999999998</v>
      </c>
      <c r="BE61" s="13">
        <f>BD61*VLOOKUP('Données projet'!$B$11,Paramètres!$A$1:$I$88,3,0)*VLOOKUP('Données projet'!$B$11,Paramètres!$A$1:$I$88,5,0)</f>
        <v>296.60539999999986</v>
      </c>
      <c r="BF61" s="13">
        <f t="shared" si="37"/>
        <v>70.464354291088782</v>
      </c>
      <c r="BG61" s="20">
        <f t="shared" si="7"/>
        <v>639.31315539031277</v>
      </c>
      <c r="BH61" s="59">
        <f t="shared" si="8"/>
        <v>932.64648872364614</v>
      </c>
      <c r="BI61" s="59">
        <f ca="1">AVERAGE(OFFSET($BH$3,0,0,'Données projet'!$E$11+1,1))-AVERAGE(OFFSET($H$3,0,0,'Données projet'!$E$11+1,1))</f>
        <v>355.96253323046608</v>
      </c>
      <c r="BJ61" s="59">
        <f t="shared" si="38"/>
        <v>366.8380442809696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projet'!$B$11,Paramètres!$A$1:$I$88,7,0))</f>
        <v>0</v>
      </c>
      <c r="BN61" s="16">
        <f>IF(ISNA(VLOOKUP(A61,'Données projet'!$A$87:$I$107,6,0)),0%,VLOOKUP(A61,'Données projet'!$A$87:$I$107,6,0)*VLOOKUP('Données projet'!$B$11,Paramètres!$A$1:$I$88,7,0))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projet'!$B$11,Paramètres!$A$1:$I$88,3,0)*0.475*44/12</f>
        <v>0</v>
      </c>
      <c r="BQ61" s="21">
        <f>EXP(-LN(2)/25)*BQ60+(1-EXP(-LN(2)/25))/(LN(2)/25)*Calculateur!BL61*Calculateur!BN61*VLOOKUP('Données projet'!$B$11,Paramètres!$A$1:$I$88,3,0)*0.475*44/12</f>
        <v>10.467041053249931</v>
      </c>
      <c r="BR61" s="21">
        <f>EXP(-LN(2)/2)*BR60+(1-EXP(-LN(2)/2))/(LN(2)/2)*BL61*BO61*VLOOKUP('Données projet'!$B$11,Paramètres!$A$1:$I$88,3,0)*0.475*44/12</f>
        <v>2.2393467326327922E-3</v>
      </c>
      <c r="BS61" s="22">
        <f t="shared" si="9"/>
        <v>10.469280399982564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5.6</v>
      </c>
      <c r="BY61" s="12">
        <f>IF('Données projet'!$A$114&gt;35,BY60+BX61-CG60,IF(A61&lt;'Données projet'!$A$114,$BV$205^A61,IF(A61='Données projet'!$A$114,'Données projet'!$B$114,BY60+BX61-CG60)))</f>
        <v>246.7999999999997</v>
      </c>
      <c r="BZ61" s="13">
        <f>BY61*VLOOKUP('Données projet'!$B$12,Paramètres!$A$1:$I$88,3,0)*VLOOKUP('Données projet'!$B$12,Paramètres!$A$1:$I$88,5,0)</f>
        <v>161.7033599999998</v>
      </c>
      <c r="CA61" s="13">
        <f t="shared" si="39"/>
        <v>41.226475899386834</v>
      </c>
      <c r="CB61" s="20">
        <f t="shared" si="10"/>
        <v>353.43613085809835</v>
      </c>
      <c r="CC61" s="59">
        <f t="shared" si="11"/>
        <v>646.76946419143167</v>
      </c>
      <c r="CD61" s="59">
        <f ca="1">AVERAGE(OFFSET($CC$3,0,0,'Données projet'!$E$12+1,1))-AVERAGE(OFFSET($H$3,0,0,'Données projet'!$E$12+1,1))</f>
        <v>180.90147430936133</v>
      </c>
      <c r="CE61" s="59">
        <f t="shared" si="40"/>
        <v>226.87949199830018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projet'!$B$12,Paramètres!$A$1:$I$88,7,0))</f>
        <v>0</v>
      </c>
      <c r="CI61" s="16">
        <f>IF(ISNA(VLOOKUP(A61,'Données projet'!$A$113:$I$133,6,0)),0%,VLOOKUP(A61,'Données projet'!$A$113:$I$133,6,0)*VLOOKUP('Données projet'!$B$12,Paramètres!$A$1:$I$88,7,0))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projet'!$B$12,Paramètres!$A$1:$I$88,3,0)*0.475*44/12</f>
        <v>0</v>
      </c>
      <c r="CL61" s="21">
        <f>EXP(-LN(2)/25)*CL60+(1-EXP(-LN(2)/25))/(LN(2)/25)*Calculateur!CG61*Calculateur!CI61*VLOOKUP('Données projet'!$B$12,Paramètres!$A$1:$I$88,3,0)*0.475*44/12</f>
        <v>3.1610906277519426</v>
      </c>
      <c r="CM61" s="21">
        <f>EXP(-LN(2)/2)*CM60+(1-EXP(-LN(2)/2))/(LN(2)/2)*CG61*CJ61*VLOOKUP('Données projet'!$B$12,Paramètres!$A$1:$I$88,3,0)*0.475*44/12</f>
        <v>5.4092162190186581E-4</v>
      </c>
      <c r="CN61" s="22">
        <f t="shared" si="12"/>
        <v>3.1616315493738445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5.6843418860808015E-14</v>
      </c>
      <c r="CU61" s="17">
        <f>CT61*VLOOKUP('Données projet'!$B$13,Paramètres!$A$1:$I$88,3,0)*VLOOKUP('Données projet'!$B$13,Paramètres!$A$1:$I$88,5,0)</f>
        <v>2.8908289095852525E-14</v>
      </c>
      <c r="CV61" s="13">
        <f t="shared" si="41"/>
        <v>5.0177780569126974E-13</v>
      </c>
      <c r="CW61" s="20">
        <f t="shared" si="13"/>
        <v>9.2427828175423786E-13</v>
      </c>
      <c r="CX61" s="59">
        <f t="shared" si="14"/>
        <v>293.33333333333422</v>
      </c>
      <c r="CY61" s="59">
        <f ca="1">AVERAGE(OFFSET($CX$3,0,0,'Données projet'!$E$13+1,1))-AVERAGE(OFFSET($H$3,0,0,'Données projet'!$E$13+1,1))</f>
        <v>133.08385802816008</v>
      </c>
      <c r="CZ61" s="59">
        <f t="shared" si="42"/>
        <v>316.59112511251385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projet'!$B$13,Paramètres!$A$1:$I$88,7,0))</f>
        <v>0</v>
      </c>
      <c r="DD61" s="16">
        <f>IF(ISNA(VLOOKUP(A61,'Données projet'!$A$139:$I$159,6,0)),0%,VLOOKUP(A61,'Données projet'!$A$139:$I$159,6,0)*VLOOKUP('Données projet'!$B$13,Paramètres!$A$1:$I$88,7,0))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projet'!$B$13,Paramètres!$A$1:$I$88,3,0)*0.475*44/12</f>
        <v>41.471477553408242</v>
      </c>
      <c r="DG61" s="21">
        <f>EXP(-LN(2)/25)*DG60+(1-EXP(-LN(2)/25))/(LN(2)/25)*Calculateur!DB61*Calculateur!DD61*VLOOKUP('Données projet'!$B$13,Paramètres!$A$1:$I$88,3,0)*0.475*44/12</f>
        <v>0</v>
      </c>
      <c r="DH61" s="21">
        <f>EXP(-LN(2)/2)*DH60+(1-EXP(-LN(2)/2))/(LN(2)/2)*DB61*DE61*VLOOKUP('Données projet'!$B$13,Paramètres!$A$1:$I$88,3,0)*0.475*44/12</f>
        <v>3.4511741311902768E-4</v>
      </c>
      <c r="DI61" s="22">
        <f t="shared" si="15"/>
        <v>41.471822670821361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projet'!$B$14,Paramètres!$A$1:$I$88,3,0)*VLOOKUP('Données projet'!$B$14,Paramètres!$A$1:$I$88,5,0)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projet'!$B$14,Paramètres!$A$1:$I$88,7,0))</f>
        <v>0</v>
      </c>
      <c r="DY61" s="16">
        <f>IF(ISNA(VLOOKUP(A61,'Données projet'!$A$165:$I$185,6,0)),0%,VLOOKUP(A61,'Données projet'!$A$165:$I$185,6,0)*VLOOKUP('Données projet'!$B$14,Paramètres!$A$1:$I$88,7,0))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projet'!$B$14,Paramètres!$A$1:$I$88,3,0)*0.475*44/12</f>
        <v>#N/A</v>
      </c>
      <c r="EB61" s="21" t="e">
        <f>EXP(-LN(2)/25)*EB60+(1-EXP(-LN(2)/25))/(LN(2)/25)*Calculateur!DW61*Calculateur!DY61*VLOOKUP('Données projet'!$B$14,Paramètres!$A$1:$I$88,3,0)*0.475*44/12</f>
        <v>#N/A</v>
      </c>
      <c r="EC61" s="21" t="e">
        <f>EXP(-LN(2)/2)*EC60+(1-EXP(-LN(2)/2))/(LN(2)/2)*DW61*DZ61*VLOOKUP('Données projet'!$B$14,Paramètres!$A$1:$I$88,3,0)*0.475*44/12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projet'!$B$15,Paramètres!$A$1:$I$88,3,0)*VLOOKUP('Données projet'!$B$15,Paramètres!$A$1:$I$88,5,0)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projet'!$B$15,Paramètres!$A$1:$I$88,7,0))</f>
        <v>0</v>
      </c>
      <c r="ET61" s="16">
        <f>IF(ISNA(VLOOKUP(A61,'Données projet'!$A$191:$I$211,6,0)),0%,VLOOKUP(A61,'Données projet'!$A$191:$I$211,6,0)*VLOOKUP('Données projet'!$B$15,Paramètres!$A$1:$I$88,7,0))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projet'!$B$15,Paramètres!$A$1:$I$88,3,0)*0.475*44/12</f>
        <v>#N/A</v>
      </c>
      <c r="EW61" s="21" t="e">
        <f>EXP(-LN(2)/25)*EW60+(1-EXP(-LN(2)/25))/(LN(2)/25)*Calculateur!ER61*Calculateur!ET61*VLOOKUP('Données projet'!$B$15,Paramètres!$A$1:$I$88,3,0)*0.475*44/12</f>
        <v>#N/A</v>
      </c>
      <c r="EX61" s="21" t="e">
        <f>EXP(-LN(2)/2)*EX60+(1-EXP(-LN(2)/2))/(LN(2)/2)*ER61*EU61*VLOOKUP('Données projet'!$B$15,Paramètres!$A$1:$I$88,3,0)*0.475*44/12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projet'!$B$16,Paramètres!$A$1:$I$88,3,0)*VLOOKUP('Données projet'!$B$16,Paramètres!$A$1:$I$88,5,0)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projet'!$B$16,Paramètres!$A$1:$I$88,7,0))</f>
        <v>0</v>
      </c>
      <c r="FO61" s="16">
        <f>IF(ISNA(VLOOKUP(A61,'Données projet'!$A$217:$I$237,6,0)),0%,VLOOKUP(A61,'Données projet'!$A$217:$I$237,6,0)*VLOOKUP('Données projet'!$B$16,Paramètres!$A$1:$I$88,7,0))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projet'!$B$16,Paramètres!$A$1:$I$88,3,0)*0.475*44/12</f>
        <v>#N/A</v>
      </c>
      <c r="FR61" s="21" t="e">
        <f>EXP(-LN(2)/25)*FR60+(1-EXP(-LN(2)/25))/(LN(2)/25)*Calculateur!FM61*Calculateur!FO61*VLOOKUP('Données projet'!$B$16,Paramètres!$A$1:$I$88,3,0)*0.475*44/12</f>
        <v>#N/A</v>
      </c>
      <c r="FS61" s="21" t="e">
        <f>EXP(-LN(2)/2)*FS60+(1-EXP(-LN(2)/2))/(LN(2)/2)*FM61*FP61*VLOOKUP('Données projet'!$B$16,Paramètres!$A$1:$I$88,3,0)*0.475*44/12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projet'!$B$17,Paramètres!$A$1:$I$88,3,0)*VLOOKUP('Données projet'!$B$17,Paramètres!$A$1:$I$88,5,0)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projet'!$B$17,Paramètres!$A$1:$I$88,7,0))</f>
        <v>0</v>
      </c>
      <c r="GJ61" s="16">
        <f>IF(ISNA(VLOOKUP(A61,'Données projet'!$A$243:$I$263,6,0)),0%,VLOOKUP(A61,'Données projet'!$A$243:$I$263,6,0)*VLOOKUP('Données projet'!$B$17,Paramètres!$A$1:$I$88,7,0))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projet'!$B$17,Paramètres!$A$1:$I$88,3,0)*0.475*44/12</f>
        <v>#N/A</v>
      </c>
      <c r="GM61" s="21" t="e">
        <f>EXP(-LN(2)/25)*GM60+(1-EXP(-LN(2)/25))/(LN(2)/25)*Calculateur!GH61*Calculateur!GJ61*VLOOKUP('Données projet'!$B$17,Paramètres!$A$1:$I$88,3,0)*0.475*44/12</f>
        <v>#N/A</v>
      </c>
      <c r="GN61" s="21" t="e">
        <f>EXP(-LN(2)/2)*GN60+(1-EXP(-LN(2)/2))/(LN(2)/2)*GH61*GK61*VLOOKUP('Données projet'!$B$17,Paramètres!$A$1:$I$88,3,0)*0.475*44/12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projet'!$B$18,Paramètres!$A$1:$I$88,3,0)*VLOOKUP('Données projet'!$B$18,Paramètres!$A$1:$I$88,5,0)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projet'!$B$18,Paramètres!$A$1:$I$88,7,0))</f>
        <v>0</v>
      </c>
      <c r="HE61" s="16">
        <f>IF(ISNA(VLOOKUP(A61,'Données projet'!$A$269:$I$289,6,0)),0%,VLOOKUP(A61,'Données projet'!$A$269:$I$289,6,0)*VLOOKUP('Données projet'!$B$18,Paramètres!$A$1:$I$88,7,0))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projet'!$B$18,Paramètres!$A$1:$I$88,3,0)*0.475*44/12</f>
        <v>#N/A</v>
      </c>
      <c r="HH61" s="21" t="e">
        <f>EXP(-LN(2)/25)*HH60+(1-EXP(-LN(2)/25))/(LN(2)/25)*Calculateur!HC61*Calculateur!HE61*VLOOKUP('Données projet'!$B$18,Paramètres!$A$1:$I$88,3,0)*0.475*44/12</f>
        <v>#N/A</v>
      </c>
      <c r="HI61" s="21" t="e">
        <f>EXP(-LN(2)/2)*HI60+(1-EXP(-LN(2)/2))/(LN(2)/2)*HC61*HF61*VLOOKUP('Données projet'!$B$18,Paramètres!$A$1:$I$88,3,0)*0.475*44/12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2.625</v>
      </c>
      <c r="N62" s="13">
        <f>IF('Données projet'!$A$36&gt;35,N61+M62-V61,IF(A62&lt;'Données projet'!$A$36,$K$205^A62,IF(A62='Données projet'!$A$36,'Données projet'!$B$36,N61+M62-V61)))</f>
        <v>308.125</v>
      </c>
      <c r="O62" s="13">
        <f>N62*VLOOKUP('Données projet'!$B$9,Paramètres!$A$1:$I$88,3,0)*VLOOKUP('Données projet'!$B$9,Paramètres!$A$1:$I$88,5,0)</f>
        <v>184.25875000000002</v>
      </c>
      <c r="P62" s="13">
        <f t="shared" si="33"/>
        <v>46.26838622983076</v>
      </c>
      <c r="Q62" s="20">
        <f t="shared" si="53"/>
        <v>401.50142893362187</v>
      </c>
      <c r="R62" s="59">
        <f t="shared" si="0"/>
        <v>694.83476226695518</v>
      </c>
      <c r="S62" s="59">
        <f ca="1">AVERAGE(OFFSET($R$3,0,0,'Données projet'!$E$9+1,1))-AVERAGE(OFFSET($H$3,0,0,'Données projet'!$E$9+1,1))</f>
        <v>195.73441209602686</v>
      </c>
      <c r="T62" s="59">
        <f t="shared" si="34"/>
        <v>219.19129224309006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projet'!$B$9,Paramètres!$A$1:$I$88,7,0))</f>
        <v>0</v>
      </c>
      <c r="X62" s="16">
        <f>IF(ISNA(VLOOKUP(A62,'Données projet'!$A$35:$I$55,6,0)),0%,VLOOKUP(A62,'Données projet'!$A$35:$I$55,6,0)*VLOOKUP('Données projet'!$B$9,Paramètres!$A$1:$I$88,7,0))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projet'!$B$9,Paramètres!$A$1:$I$88,3,0)*0.475*44/12</f>
        <v>8.5883843677007388</v>
      </c>
      <c r="AA62" s="21">
        <f>EXP(-LN(2)/25)*AA61+(1-EXP(-LN(2)/25))/(LN(2)/25)*Calculateur!V62*Calculateur!X62*VLOOKUP('Données projet'!$B$9,Paramètres!$A$1:$I$88,3,0)*0.475*44/12</f>
        <v>6.3357253653113172</v>
      </c>
      <c r="AB62" s="21">
        <f>EXP(-LN(2)/2)*AB61+(1-EXP(-LN(2)/2))/(LN(2)/2)*V62*Y62*VLOOKUP('Données projet'!$B$9,Paramètres!$A$1:$I$88,3,0)*0.475*44/12</f>
        <v>1.7121944296528622E-6</v>
      </c>
      <c r="AC62" s="22">
        <f t="shared" si="3"/>
        <v>14.924111445206485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11.4</v>
      </c>
      <c r="AI62" s="13">
        <f>IF('Données projet'!$A$62&gt;35,AI61+AH62-AQ61,IF(A62&lt;'Données projet'!$A$62,$AF$205^A62,IF(A62='Données projet'!$A$62,'Données projet'!$B$62,AI61+AH62-AQ61)))</f>
        <v>375.5999999999998</v>
      </c>
      <c r="AJ62" s="13">
        <f>AI62*VLOOKUP('Données projet'!$B$10,Paramètres!$A$1:$I$88,3,0)*VLOOKUP('Données projet'!$B$10,Paramètres!$A$1:$I$88,5,0)</f>
        <v>224.60879999999992</v>
      </c>
      <c r="AK62" s="13">
        <f t="shared" si="35"/>
        <v>55.11537373670501</v>
      </c>
      <c r="AL62" s="20">
        <f t="shared" si="4"/>
        <v>487.1862692580944</v>
      </c>
      <c r="AM62" s="59">
        <f t="shared" si="5"/>
        <v>780.51960259142766</v>
      </c>
      <c r="AN62" s="59">
        <f ca="1">AVERAGE(OFFSET($AM$3,0,0,'Données projet'!$E$10+1,1))-AVERAGE(OFFSET($H$3,0,0,'Données projet'!$E$10+1,1))</f>
        <v>246.59447135626942</v>
      </c>
      <c r="AO62" s="59">
        <f t="shared" si="36"/>
        <v>262.00382544285367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projet'!$B$10,Paramètres!$A$1:$I$88,7,0))</f>
        <v>0</v>
      </c>
      <c r="AS62" s="16">
        <f>IF(ISNA(VLOOKUP(A62,'Données projet'!$A$61:$I$81,6,0)),0%,VLOOKUP(A62,'Données projet'!$A$61:$I$81,6,0)*VLOOKUP('Données projet'!$B$10,Paramètres!$A$1:$I$88,7,0))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projet'!$B$10,Paramètres!$A$1:$I$88,3,0)*0.475*44/12</f>
        <v>0</v>
      </c>
      <c r="AV62" s="21">
        <f>EXP(-LN(2)/25)*AV61+(1-EXP(-LN(2)/25))/(LN(2)/25)*Calculateur!AQ62*Calculateur!AS62*VLOOKUP('Données projet'!$B$10,Paramètres!$A$1:$I$88,3,0)*0.475*44/12</f>
        <v>5.7502065109334906</v>
      </c>
      <c r="AW62" s="21">
        <f>EXP(-LN(2)/2)*AW61+(1-EXP(-LN(2)/2))/(LN(2)/2)*AQ62*AT62*VLOOKUP('Données projet'!$B$10,Paramètres!$A$1:$I$88,3,0)*0.475*44/12</f>
        <v>1.0241205615230317E-3</v>
      </c>
      <c r="AX62" s="21">
        <f t="shared" si="6"/>
        <v>5.7512306314950132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16.2</v>
      </c>
      <c r="BD62" s="12">
        <f>IF('Données projet'!$A$88&gt;35,BD61+BC62-BL61,IF(A62&lt;'Données projet'!$A$88,$BA$205^A62,IF(A62='Données projet'!$A$88,'Données projet'!$B$88,BD61+BC62-BL61)))</f>
        <v>546.79999999999984</v>
      </c>
      <c r="BE62" s="13">
        <f>BD62*VLOOKUP('Données projet'!$B$11,Paramètres!$A$1:$I$88,3,0)*VLOOKUP('Données projet'!$B$11,Paramètres!$A$1:$I$88,5,0)</f>
        <v>305.66119999999995</v>
      </c>
      <c r="BF62" s="13">
        <f t="shared" si="37"/>
        <v>72.361974072085076</v>
      </c>
      <c r="BG62" s="20">
        <f t="shared" si="7"/>
        <v>658.39036150888137</v>
      </c>
      <c r="BH62" s="59">
        <f t="shared" si="8"/>
        <v>951.72369484221463</v>
      </c>
      <c r="BI62" s="59">
        <f ca="1">AVERAGE(OFFSET($BH$3,0,0,'Données projet'!$E$11+1,1))-AVERAGE(OFFSET($H$3,0,0,'Données projet'!$E$11+1,1))</f>
        <v>355.96253323046608</v>
      </c>
      <c r="BJ62" s="59">
        <f t="shared" si="38"/>
        <v>366.8380442809696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projet'!$B$11,Paramètres!$A$1:$I$88,7,0))</f>
        <v>0</v>
      </c>
      <c r="BN62" s="16">
        <f>IF(ISNA(VLOOKUP(A62,'Données projet'!$A$87:$I$107,6,0)),0%,VLOOKUP(A62,'Données projet'!$A$87:$I$107,6,0)*VLOOKUP('Données projet'!$B$11,Paramètres!$A$1:$I$88,7,0))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projet'!$B$11,Paramètres!$A$1:$I$88,3,0)*0.475*44/12</f>
        <v>0</v>
      </c>
      <c r="BQ62" s="21">
        <f>EXP(-LN(2)/25)*BQ61+(1-EXP(-LN(2)/25))/(LN(2)/25)*Calculateur!BL62*Calculateur!BN62*VLOOKUP('Données projet'!$B$11,Paramètres!$A$1:$I$88,3,0)*0.475*44/12</f>
        <v>10.180819265211046</v>
      </c>
      <c r="BR62" s="21">
        <f>EXP(-LN(2)/2)*BR61+(1-EXP(-LN(2)/2))/(LN(2)/2)*BL62*BO62*VLOOKUP('Données projet'!$B$11,Paramètres!$A$1:$I$88,3,0)*0.475*44/12</f>
        <v>1.583457260072586E-3</v>
      </c>
      <c r="BS62" s="22">
        <f t="shared" si="9"/>
        <v>10.182402722471119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5.6</v>
      </c>
      <c r="BY62" s="12">
        <f>IF('Données projet'!$A$114&gt;35,BY61+BX62-CG61,IF(A62&lt;'Données projet'!$A$114,$BV$205^A62,IF(A62='Données projet'!$A$114,'Données projet'!$B$114,BY61+BX62-CG61)))</f>
        <v>252.39999999999969</v>
      </c>
      <c r="BZ62" s="13">
        <f>BY62*VLOOKUP('Données projet'!$B$12,Paramètres!$A$1:$I$88,3,0)*VLOOKUP('Données projet'!$B$12,Paramètres!$A$1:$I$88,5,0)</f>
        <v>165.3724799999998</v>
      </c>
      <c r="CA62" s="13">
        <f t="shared" si="39"/>
        <v>42.051954238472774</v>
      </c>
      <c r="CB62" s="20">
        <f t="shared" si="10"/>
        <v>361.26422296533974</v>
      </c>
      <c r="CC62" s="59">
        <f t="shared" si="11"/>
        <v>654.597556298673</v>
      </c>
      <c r="CD62" s="59">
        <f ca="1">AVERAGE(OFFSET($CC$3,0,0,'Données projet'!$E$12+1,1))-AVERAGE(OFFSET($H$3,0,0,'Données projet'!$E$12+1,1))</f>
        <v>180.90147430936133</v>
      </c>
      <c r="CE62" s="59">
        <f t="shared" si="40"/>
        <v>226.87949199830018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projet'!$B$12,Paramètres!$A$1:$I$88,7,0))</f>
        <v>0</v>
      </c>
      <c r="CI62" s="16">
        <f>IF(ISNA(VLOOKUP(A62,'Données projet'!$A$113:$I$133,6,0)),0%,VLOOKUP(A62,'Données projet'!$A$113:$I$133,6,0)*VLOOKUP('Données projet'!$B$12,Paramètres!$A$1:$I$88,7,0))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projet'!$B$12,Paramètres!$A$1:$I$88,3,0)*0.475*44/12</f>
        <v>0</v>
      </c>
      <c r="CL62" s="21">
        <f>EXP(-LN(2)/25)*CL61+(1-EXP(-LN(2)/25))/(LN(2)/25)*Calculateur!CG62*Calculateur!CI62*VLOOKUP('Données projet'!$B$12,Paramètres!$A$1:$I$88,3,0)*0.475*44/12</f>
        <v>3.0746504383015343</v>
      </c>
      <c r="CM62" s="21">
        <f>EXP(-LN(2)/2)*CM61+(1-EXP(-LN(2)/2))/(LN(2)/2)*CG62*CJ62*VLOOKUP('Données projet'!$B$12,Paramètres!$A$1:$I$88,3,0)*0.475*44/12</f>
        <v>3.8248934693723503E-4</v>
      </c>
      <c r="CN62" s="22">
        <f t="shared" si="12"/>
        <v>3.0750329276484716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5.6843418860808015E-14</v>
      </c>
      <c r="CU62" s="17">
        <f>CT62*VLOOKUP('Données projet'!$B$13,Paramètres!$A$1:$I$88,3,0)*VLOOKUP('Données projet'!$B$13,Paramètres!$A$1:$I$88,5,0)</f>
        <v>2.8908289095852525E-14</v>
      </c>
      <c r="CV62" s="13">
        <f t="shared" si="41"/>
        <v>5.0177780569126974E-13</v>
      </c>
      <c r="CW62" s="20">
        <f t="shared" si="13"/>
        <v>9.2427828175423786E-13</v>
      </c>
      <c r="CX62" s="59">
        <f t="shared" si="14"/>
        <v>293.33333333333422</v>
      </c>
      <c r="CY62" s="59">
        <f ca="1">AVERAGE(OFFSET($CX$3,0,0,'Données projet'!$E$13+1,1))-AVERAGE(OFFSET($H$3,0,0,'Données projet'!$E$13+1,1))</f>
        <v>133.08385802816008</v>
      </c>
      <c r="CZ62" s="59">
        <f t="shared" si="42"/>
        <v>316.59112511251385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projet'!$B$13,Paramètres!$A$1:$I$88,7,0))</f>
        <v>0</v>
      </c>
      <c r="DD62" s="16">
        <f>IF(ISNA(VLOOKUP(A62,'Données projet'!$A$139:$I$159,6,0)),0%,VLOOKUP(A62,'Données projet'!$A$139:$I$159,6,0)*VLOOKUP('Données projet'!$B$13,Paramètres!$A$1:$I$88,7,0))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projet'!$B$13,Paramètres!$A$1:$I$88,3,0)*0.475*44/12</f>
        <v>40.658247173689531</v>
      </c>
      <c r="DG62" s="21">
        <f>EXP(-LN(2)/25)*DG61+(1-EXP(-LN(2)/25))/(LN(2)/25)*Calculateur!DB62*Calculateur!DD62*VLOOKUP('Données projet'!$B$13,Paramètres!$A$1:$I$88,3,0)*0.475*44/12</f>
        <v>0</v>
      </c>
      <c r="DH62" s="21">
        <f>EXP(-LN(2)/2)*DH61+(1-EXP(-LN(2)/2))/(LN(2)/2)*DB62*DE62*VLOOKUP('Données projet'!$B$13,Paramètres!$A$1:$I$88,3,0)*0.475*44/12</f>
        <v>2.4403486312202366E-4</v>
      </c>
      <c r="DI62" s="22">
        <f t="shared" si="15"/>
        <v>40.658491208552654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projet'!$B$14,Paramètres!$A$1:$I$88,3,0)*VLOOKUP('Données projet'!$B$14,Paramètres!$A$1:$I$88,5,0)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projet'!$B$14,Paramètres!$A$1:$I$88,7,0))</f>
        <v>0</v>
      </c>
      <c r="DY62" s="16">
        <f>IF(ISNA(VLOOKUP(A62,'Données projet'!$A$165:$I$185,6,0)),0%,VLOOKUP(A62,'Données projet'!$A$165:$I$185,6,0)*VLOOKUP('Données projet'!$B$14,Paramètres!$A$1:$I$88,7,0))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projet'!$B$14,Paramètres!$A$1:$I$88,3,0)*0.475*44/12</f>
        <v>#N/A</v>
      </c>
      <c r="EB62" s="21" t="e">
        <f>EXP(-LN(2)/25)*EB61+(1-EXP(-LN(2)/25))/(LN(2)/25)*Calculateur!DW62*Calculateur!DY62*VLOOKUP('Données projet'!$B$14,Paramètres!$A$1:$I$88,3,0)*0.475*44/12</f>
        <v>#N/A</v>
      </c>
      <c r="EC62" s="21" t="e">
        <f>EXP(-LN(2)/2)*EC61+(1-EXP(-LN(2)/2))/(LN(2)/2)*DW62*DZ62*VLOOKUP('Données projet'!$B$14,Paramètres!$A$1:$I$88,3,0)*0.475*44/12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projet'!$B$15,Paramètres!$A$1:$I$88,3,0)*VLOOKUP('Données projet'!$B$15,Paramètres!$A$1:$I$88,5,0)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projet'!$B$15,Paramètres!$A$1:$I$88,7,0))</f>
        <v>0</v>
      </c>
      <c r="ET62" s="16">
        <f>IF(ISNA(VLOOKUP(A62,'Données projet'!$A$191:$I$211,6,0)),0%,VLOOKUP(A62,'Données projet'!$A$191:$I$211,6,0)*VLOOKUP('Données projet'!$B$15,Paramètres!$A$1:$I$88,7,0))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projet'!$B$15,Paramètres!$A$1:$I$88,3,0)*0.475*44/12</f>
        <v>#N/A</v>
      </c>
      <c r="EW62" s="21" t="e">
        <f>EXP(-LN(2)/25)*EW61+(1-EXP(-LN(2)/25))/(LN(2)/25)*Calculateur!ER62*Calculateur!ET62*VLOOKUP('Données projet'!$B$15,Paramètres!$A$1:$I$88,3,0)*0.475*44/12</f>
        <v>#N/A</v>
      </c>
      <c r="EX62" s="21" t="e">
        <f>EXP(-LN(2)/2)*EX61+(1-EXP(-LN(2)/2))/(LN(2)/2)*ER62*EU62*VLOOKUP('Données projet'!$B$15,Paramètres!$A$1:$I$88,3,0)*0.475*44/12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projet'!$B$16,Paramètres!$A$1:$I$88,3,0)*VLOOKUP('Données projet'!$B$16,Paramètres!$A$1:$I$88,5,0)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projet'!$B$16,Paramètres!$A$1:$I$88,7,0))</f>
        <v>0</v>
      </c>
      <c r="FO62" s="16">
        <f>IF(ISNA(VLOOKUP(A62,'Données projet'!$A$217:$I$237,6,0)),0%,VLOOKUP(A62,'Données projet'!$A$217:$I$237,6,0)*VLOOKUP('Données projet'!$B$16,Paramètres!$A$1:$I$88,7,0))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projet'!$B$16,Paramètres!$A$1:$I$88,3,0)*0.475*44/12</f>
        <v>#N/A</v>
      </c>
      <c r="FR62" s="21" t="e">
        <f>EXP(-LN(2)/25)*FR61+(1-EXP(-LN(2)/25))/(LN(2)/25)*Calculateur!FM62*Calculateur!FO62*VLOOKUP('Données projet'!$B$16,Paramètres!$A$1:$I$88,3,0)*0.475*44/12</f>
        <v>#N/A</v>
      </c>
      <c r="FS62" s="21" t="e">
        <f>EXP(-LN(2)/2)*FS61+(1-EXP(-LN(2)/2))/(LN(2)/2)*FM62*FP62*VLOOKUP('Données projet'!$B$16,Paramètres!$A$1:$I$88,3,0)*0.475*44/12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projet'!$B$17,Paramètres!$A$1:$I$88,3,0)*VLOOKUP('Données projet'!$B$17,Paramètres!$A$1:$I$88,5,0)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projet'!$B$17,Paramètres!$A$1:$I$88,7,0))</f>
        <v>0</v>
      </c>
      <c r="GJ62" s="16">
        <f>IF(ISNA(VLOOKUP(A62,'Données projet'!$A$243:$I$263,6,0)),0%,VLOOKUP(A62,'Données projet'!$A$243:$I$263,6,0)*VLOOKUP('Données projet'!$B$17,Paramètres!$A$1:$I$88,7,0))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projet'!$B$17,Paramètres!$A$1:$I$88,3,0)*0.475*44/12</f>
        <v>#N/A</v>
      </c>
      <c r="GM62" s="21" t="e">
        <f>EXP(-LN(2)/25)*GM61+(1-EXP(-LN(2)/25))/(LN(2)/25)*Calculateur!GH62*Calculateur!GJ62*VLOOKUP('Données projet'!$B$17,Paramètres!$A$1:$I$88,3,0)*0.475*44/12</f>
        <v>#N/A</v>
      </c>
      <c r="GN62" s="21" t="e">
        <f>EXP(-LN(2)/2)*GN61+(1-EXP(-LN(2)/2))/(LN(2)/2)*GH62*GK62*VLOOKUP('Données projet'!$B$17,Paramètres!$A$1:$I$88,3,0)*0.475*44/12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projet'!$B$18,Paramètres!$A$1:$I$88,3,0)*VLOOKUP('Données projet'!$B$18,Paramètres!$A$1:$I$88,5,0)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projet'!$B$18,Paramètres!$A$1:$I$88,7,0))</f>
        <v>0</v>
      </c>
      <c r="HE62" s="16">
        <f>IF(ISNA(VLOOKUP(A62,'Données projet'!$A$269:$I$289,6,0)),0%,VLOOKUP(A62,'Données projet'!$A$269:$I$289,6,0)*VLOOKUP('Données projet'!$B$18,Paramètres!$A$1:$I$88,7,0))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projet'!$B$18,Paramètres!$A$1:$I$88,3,0)*0.475*44/12</f>
        <v>#N/A</v>
      </c>
      <c r="HH62" s="21" t="e">
        <f>EXP(-LN(2)/25)*HH61+(1-EXP(-LN(2)/25))/(LN(2)/25)*Calculateur!HC62*Calculateur!HE62*VLOOKUP('Données projet'!$B$18,Paramètres!$A$1:$I$88,3,0)*0.475*44/12</f>
        <v>#N/A</v>
      </c>
      <c r="HI62" s="21" t="e">
        <f>EXP(-LN(2)/2)*HI61+(1-EXP(-LN(2)/2))/(LN(2)/2)*HC62*HF62*VLOOKUP('Données projet'!$B$18,Paramètres!$A$1:$I$88,3,0)*0.475*44/12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2.625</v>
      </c>
      <c r="N63" s="13">
        <f>IF('Données projet'!$A$36&gt;35,N62+M63-V62,IF(A63&lt;'Données projet'!$A$36,$K$205^A63,IF(A63='Données projet'!$A$36,'Données projet'!$B$36,N62+M63-V62)))</f>
        <v>310.75</v>
      </c>
      <c r="O63" s="13">
        <f>N63*VLOOKUP('Données projet'!$B$9,Paramètres!$A$1:$I$88,3,0)*VLOOKUP('Données projet'!$B$9,Paramètres!$A$1:$I$88,5,0)</f>
        <v>185.82849999999999</v>
      </c>
      <c r="P63" s="13">
        <f t="shared" si="33"/>
        <v>46.616505227631926</v>
      </c>
      <c r="Q63" s="20">
        <f t="shared" si="53"/>
        <v>404.84171743812561</v>
      </c>
      <c r="R63" s="59">
        <f t="shared" si="0"/>
        <v>698.17505077145893</v>
      </c>
      <c r="S63" s="59">
        <f ca="1">AVERAGE(OFFSET($R$3,0,0,'Données projet'!$E$9+1,1))-AVERAGE(OFFSET($H$3,0,0,'Données projet'!$E$9+1,1))</f>
        <v>195.73441209602686</v>
      </c>
      <c r="T63" s="59">
        <f t="shared" si="34"/>
        <v>219.19129224309006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projet'!$B$9,Paramètres!$A$1:$I$88,7,0))</f>
        <v>0</v>
      </c>
      <c r="X63" s="16">
        <f>IF(ISNA(VLOOKUP(A63,'Données projet'!$A$35:$I$55,6,0)),0%,VLOOKUP(A63,'Données projet'!$A$35:$I$55,6,0)*VLOOKUP('Données projet'!$B$9,Paramètres!$A$1:$I$88,7,0))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projet'!$B$9,Paramètres!$A$1:$I$88,3,0)*0.475*44/12</f>
        <v>8.4199713886473422</v>
      </c>
      <c r="AA63" s="21">
        <f>EXP(-LN(2)/25)*AA62+(1-EXP(-LN(2)/25))/(LN(2)/25)*Calculateur!V63*Calculateur!X63*VLOOKUP('Données projet'!$B$9,Paramètres!$A$1:$I$88,3,0)*0.475*44/12</f>
        <v>6.1624746220155631</v>
      </c>
      <c r="AB63" s="21">
        <f>EXP(-LN(2)/2)*AB62+(1-EXP(-LN(2)/2))/(LN(2)/2)*V63*Y63*VLOOKUP('Données projet'!$B$9,Paramètres!$A$1:$I$88,3,0)*0.475*44/12</f>
        <v>1.2107042919173719E-6</v>
      </c>
      <c r="AC63" s="22">
        <f t="shared" si="3"/>
        <v>14.582447221367199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387</v>
      </c>
      <c r="AG63" s="12">
        <f>VLOOKUP(A63,'Données projet'!$A$61:$I$81,9,0)</f>
        <v>11.4</v>
      </c>
      <c r="AH63" s="12">
        <f t="array" ref="AH63">INDEX(AG:AG,MIN(IF(ISNUMBER(AG63:AG259),ROW(AG63:AG259),"")))</f>
        <v>11.4</v>
      </c>
      <c r="AI63" s="13">
        <f>IF('Données projet'!$A$62&gt;35,AI62+AH63-AQ62,IF(A63&lt;'Données projet'!$A$62,$AF$205^A63,IF(A63='Données projet'!$A$62,'Données projet'!$B$62,AI62+AH63-AQ62)))</f>
        <v>386.99999999999977</v>
      </c>
      <c r="AJ63" s="13">
        <f>AI63*VLOOKUP('Données projet'!$B$10,Paramètres!$A$1:$I$88,3,0)*VLOOKUP('Données projet'!$B$10,Paramètres!$A$1:$I$88,5,0)</f>
        <v>231.42599999999987</v>
      </c>
      <c r="AK63" s="13">
        <f t="shared" si="35"/>
        <v>56.590905067453171</v>
      </c>
      <c r="AL63" s="20">
        <f t="shared" si="4"/>
        <v>501.62944299248062</v>
      </c>
      <c r="AM63" s="59">
        <f t="shared" si="5"/>
        <v>794.96277632581393</v>
      </c>
      <c r="AN63" s="59">
        <f ca="1">AVERAGE(OFFSET($AM$3,0,0,'Données projet'!$E$10+1,1))-AVERAGE(OFFSET($H$3,0,0,'Données projet'!$E$10+1,1))</f>
        <v>246.59447135626942</v>
      </c>
      <c r="AO63" s="59">
        <f t="shared" si="36"/>
        <v>262.00382544285367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57</v>
      </c>
      <c r="AR63" s="16">
        <f>IF(ISNA(VLOOKUP(A63,'Données projet'!$A$61:$I$81,5,0)),0%,VLOOKUP(A63,'Données projet'!$A$61:$I$81,5,0)*VLOOKUP('Données projet'!$B$10,Paramètres!$A$1:$I$88,7,0))</f>
        <v>0</v>
      </c>
      <c r="AS63" s="16">
        <f>IF(ISNA(VLOOKUP(A63,'Données projet'!$A$61:$I$81,6,0)),0%,VLOOKUP(A63,'Données projet'!$A$61:$I$81,6,0)*VLOOKUP('Données projet'!$B$10,Paramètres!$A$1:$I$88,7,0))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projet'!$B$10,Paramètres!$A$1:$I$88,3,0)*0.475*44/12</f>
        <v>0</v>
      </c>
      <c r="AV63" s="21">
        <f>EXP(-LN(2)/25)*AV62+(1-EXP(-LN(2)/25))/(LN(2)/25)*Calculateur!AQ63*Calculateur!AS63*VLOOKUP('Données projet'!$B$10,Paramètres!$A$1:$I$88,3,0)*0.475*44/12</f>
        <v>5.5929668115017961</v>
      </c>
      <c r="AW63" s="21">
        <f>EXP(-LN(2)/2)*AW62+(1-EXP(-LN(2)/2))/(LN(2)/2)*AQ63*AT63*VLOOKUP('Données projet'!$B$10,Paramètres!$A$1:$I$88,3,0)*0.475*44/12</f>
        <v>7.241625938055106E-4</v>
      </c>
      <c r="AX63" s="21">
        <f t="shared" si="6"/>
        <v>5.593690974095602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563</v>
      </c>
      <c r="BB63" s="12">
        <f>VLOOKUP(A63,'Données projet'!$A$87:$I$107,9,0)</f>
        <v>16.2</v>
      </c>
      <c r="BC63" s="12">
        <f t="array" ref="BC63">INDEX(BB:BB,MIN(IF(ISNUMBER(BB63:BB259),ROW(BB63:BB259),"")))</f>
        <v>16.2</v>
      </c>
      <c r="BD63" s="12">
        <f>IF('Données projet'!$A$88&gt;35,BD62+BC63-BL62,IF(A63&lt;'Données projet'!$A$88,$BA$205^A63,IF(A63='Données projet'!$A$88,'Données projet'!$B$88,BD62+BC63-BL62)))</f>
        <v>562.99999999999989</v>
      </c>
      <c r="BE63" s="13">
        <f>BD63*VLOOKUP('Données projet'!$B$11,Paramètres!$A$1:$I$88,3,0)*VLOOKUP('Données projet'!$B$11,Paramètres!$A$1:$I$88,5,0)</f>
        <v>314.71699999999993</v>
      </c>
      <c r="BF63" s="13">
        <f t="shared" si="37"/>
        <v>74.253060032718466</v>
      </c>
      <c r="BG63" s="20">
        <f t="shared" si="7"/>
        <v>677.45618789031789</v>
      </c>
      <c r="BH63" s="59">
        <f t="shared" si="8"/>
        <v>970.78952122365126</v>
      </c>
      <c r="BI63" s="59">
        <f ca="1">AVERAGE(OFFSET($BH$3,0,0,'Données projet'!$E$11+1,1))-AVERAGE(OFFSET($H$3,0,0,'Données projet'!$E$11+1,1))</f>
        <v>355.96253323046608</v>
      </c>
      <c r="BJ63" s="59">
        <f t="shared" si="38"/>
        <v>366.8380442809696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83</v>
      </c>
      <c r="BM63" s="16">
        <f>IF(ISNA(VLOOKUP(A63,'Données projet'!$A$87:$I$107,5,0)),0%,VLOOKUP(A63,'Données projet'!$A$87:$I$107,5,0)*VLOOKUP('Données projet'!$B$11,Paramètres!$A$1:$I$88,7,0))</f>
        <v>0</v>
      </c>
      <c r="BN63" s="16">
        <f>IF(ISNA(VLOOKUP(A63,'Données projet'!$A$87:$I$107,6,0)),0%,VLOOKUP(A63,'Données projet'!$A$87:$I$107,6,0)*VLOOKUP('Données projet'!$B$11,Paramètres!$A$1:$I$88,7,0))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projet'!$B$11,Paramètres!$A$1:$I$88,3,0)*0.475*44/12</f>
        <v>0</v>
      </c>
      <c r="BQ63" s="21">
        <f>EXP(-LN(2)/25)*BQ62+(1-EXP(-LN(2)/25))/(LN(2)/25)*Calculateur!BL63*Calculateur!BN63*VLOOKUP('Données projet'!$B$11,Paramètres!$A$1:$I$88,3,0)*0.475*44/12</f>
        <v>9.9024242270178338</v>
      </c>
      <c r="BR63" s="21">
        <f>EXP(-LN(2)/2)*BR62+(1-EXP(-LN(2)/2))/(LN(2)/2)*BL63*BO63*VLOOKUP('Données projet'!$B$11,Paramètres!$A$1:$I$88,3,0)*0.475*44/12</f>
        <v>1.1196733663163961E-3</v>
      </c>
      <c r="BS63" s="22">
        <f t="shared" si="9"/>
        <v>9.9035439003841503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258</v>
      </c>
      <c r="BW63" s="12">
        <f>VLOOKUP(A63,'Données projet'!$A$113:$I$133,9,0)</f>
        <v>5.6</v>
      </c>
      <c r="BX63" s="12">
        <f t="array" ref="BX63">INDEX(BW:BW,MIN(IF(ISNUMBER(BW63:BW259),ROW(BW63:BW259),"")))</f>
        <v>5.6</v>
      </c>
      <c r="BY63" s="12">
        <f>IF('Données projet'!$A$114&gt;35,BY62+BX63-CG62,IF(A63&lt;'Données projet'!$A$114,$BV$205^A63,IF(A63='Données projet'!$A$114,'Données projet'!$B$114,BY62+BX63-CG62)))</f>
        <v>257.99999999999972</v>
      </c>
      <c r="BZ63" s="13">
        <f>BY63*VLOOKUP('Données projet'!$B$12,Paramètres!$A$1:$I$88,3,0)*VLOOKUP('Données projet'!$B$12,Paramètres!$A$1:$I$88,5,0)</f>
        <v>169.04159999999982</v>
      </c>
      <c r="CA63" s="13">
        <f t="shared" si="39"/>
        <v>42.875303289962865</v>
      </c>
      <c r="CB63" s="20">
        <f t="shared" si="10"/>
        <v>369.08860656335168</v>
      </c>
      <c r="CC63" s="59">
        <f t="shared" si="11"/>
        <v>662.42193989668499</v>
      </c>
      <c r="CD63" s="59">
        <f ca="1">AVERAGE(OFFSET($CC$3,0,0,'Données projet'!$E$12+1,1))-AVERAGE(OFFSET($H$3,0,0,'Données projet'!$E$12+1,1))</f>
        <v>180.90147430936133</v>
      </c>
      <c r="CE63" s="59">
        <f t="shared" si="40"/>
        <v>226.87949199830018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25</v>
      </c>
      <c r="CH63" s="16">
        <f>IF(ISNA(VLOOKUP(A63,'Données projet'!$A$113:$I$133,5,0)),0%,VLOOKUP(A63,'Données projet'!$A$113:$I$133,5,0)*VLOOKUP('Données projet'!$B$12,Paramètres!$A$1:$I$88,7,0))</f>
        <v>0</v>
      </c>
      <c r="CI63" s="16">
        <f>IF(ISNA(VLOOKUP(A63,'Données projet'!$A$113:$I$133,6,0)),0%,VLOOKUP(A63,'Données projet'!$A$113:$I$133,6,0)*VLOOKUP('Données projet'!$B$12,Paramètres!$A$1:$I$88,7,0))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projet'!$B$12,Paramètres!$A$1:$I$88,3,0)*0.475*44/12</f>
        <v>0</v>
      </c>
      <c r="CL63" s="21">
        <f>EXP(-LN(2)/25)*CL62+(1-EXP(-LN(2)/25))/(LN(2)/25)*Calculateur!CG63*Calculateur!CI63*VLOOKUP('Données projet'!$B$12,Paramètres!$A$1:$I$88,3,0)*0.475*44/12</f>
        <v>2.9905739603773394</v>
      </c>
      <c r="CM63" s="21">
        <f>EXP(-LN(2)/2)*CM62+(1-EXP(-LN(2)/2))/(LN(2)/2)*CG63*CJ63*VLOOKUP('Données projet'!$B$12,Paramètres!$A$1:$I$88,3,0)*0.475*44/12</f>
        <v>2.7046081095093291E-4</v>
      </c>
      <c r="CN63" s="22">
        <f t="shared" si="12"/>
        <v>2.9908444211882901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5.6843418860808015E-14</v>
      </c>
      <c r="CU63" s="17">
        <f>CT63*VLOOKUP('Données projet'!$B$13,Paramètres!$A$1:$I$88,3,0)*VLOOKUP('Données projet'!$B$13,Paramètres!$A$1:$I$88,5,0)</f>
        <v>2.8908289095852525E-14</v>
      </c>
      <c r="CV63" s="13">
        <f t="shared" si="41"/>
        <v>5.0177780569126974E-13</v>
      </c>
      <c r="CW63" s="20">
        <f t="shared" si="13"/>
        <v>9.2427828175423786E-13</v>
      </c>
      <c r="CX63" s="59">
        <f t="shared" si="14"/>
        <v>293.33333333333422</v>
      </c>
      <c r="CY63" s="59">
        <f ca="1">AVERAGE(OFFSET($CX$3,0,0,'Données projet'!$E$13+1,1))-AVERAGE(OFFSET($H$3,0,0,'Données projet'!$E$13+1,1))</f>
        <v>133.08385802816008</v>
      </c>
      <c r="CZ63" s="59">
        <f t="shared" si="42"/>
        <v>316.59112511251385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projet'!$B$13,Paramètres!$A$1:$I$88,7,0))</f>
        <v>0</v>
      </c>
      <c r="DD63" s="16">
        <f>IF(ISNA(VLOOKUP(A63,'Données projet'!$A$139:$I$159,6,0)),0%,VLOOKUP(A63,'Données projet'!$A$139:$I$159,6,0)*VLOOKUP('Données projet'!$B$13,Paramètres!$A$1:$I$88,7,0))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projet'!$B$13,Paramètres!$A$1:$I$88,3,0)*0.475*44/12</f>
        <v>39.86096374569555</v>
      </c>
      <c r="DG63" s="21">
        <f>EXP(-LN(2)/25)*DG62+(1-EXP(-LN(2)/25))/(LN(2)/25)*Calculateur!DB63*Calculateur!DD63*VLOOKUP('Données projet'!$B$13,Paramètres!$A$1:$I$88,3,0)*0.475*44/12</f>
        <v>0</v>
      </c>
      <c r="DH63" s="21">
        <f>EXP(-LN(2)/2)*DH62+(1-EXP(-LN(2)/2))/(LN(2)/2)*DB63*DE63*VLOOKUP('Données projet'!$B$13,Paramètres!$A$1:$I$88,3,0)*0.475*44/12</f>
        <v>1.7255870655951387E-4</v>
      </c>
      <c r="DI63" s="22">
        <f t="shared" si="15"/>
        <v>39.861136304402109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projet'!$B$14,Paramètres!$A$1:$I$88,3,0)*VLOOKUP('Données projet'!$B$14,Paramètres!$A$1:$I$88,5,0)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projet'!$B$14,Paramètres!$A$1:$I$88,7,0))</f>
        <v>0</v>
      </c>
      <c r="DY63" s="16">
        <f>IF(ISNA(VLOOKUP(A63,'Données projet'!$A$165:$I$185,6,0)),0%,VLOOKUP(A63,'Données projet'!$A$165:$I$185,6,0)*VLOOKUP('Données projet'!$B$14,Paramètres!$A$1:$I$88,7,0))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projet'!$B$14,Paramètres!$A$1:$I$88,3,0)*0.475*44/12</f>
        <v>#N/A</v>
      </c>
      <c r="EB63" s="21" t="e">
        <f>EXP(-LN(2)/25)*EB62+(1-EXP(-LN(2)/25))/(LN(2)/25)*Calculateur!DW63*Calculateur!DY63*VLOOKUP('Données projet'!$B$14,Paramètres!$A$1:$I$88,3,0)*0.475*44/12</f>
        <v>#N/A</v>
      </c>
      <c r="EC63" s="21" t="e">
        <f>EXP(-LN(2)/2)*EC62+(1-EXP(-LN(2)/2))/(LN(2)/2)*DW63*DZ63*VLOOKUP('Données projet'!$B$14,Paramètres!$A$1:$I$88,3,0)*0.475*44/12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projet'!$B$15,Paramètres!$A$1:$I$88,3,0)*VLOOKUP('Données projet'!$B$15,Paramètres!$A$1:$I$88,5,0)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projet'!$B$15,Paramètres!$A$1:$I$88,7,0))</f>
        <v>0</v>
      </c>
      <c r="ET63" s="16">
        <f>IF(ISNA(VLOOKUP(A63,'Données projet'!$A$191:$I$211,6,0)),0%,VLOOKUP(A63,'Données projet'!$A$191:$I$211,6,0)*VLOOKUP('Données projet'!$B$15,Paramètres!$A$1:$I$88,7,0))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projet'!$B$15,Paramètres!$A$1:$I$88,3,0)*0.475*44/12</f>
        <v>#N/A</v>
      </c>
      <c r="EW63" s="21" t="e">
        <f>EXP(-LN(2)/25)*EW62+(1-EXP(-LN(2)/25))/(LN(2)/25)*Calculateur!ER63*Calculateur!ET63*VLOOKUP('Données projet'!$B$15,Paramètres!$A$1:$I$88,3,0)*0.475*44/12</f>
        <v>#N/A</v>
      </c>
      <c r="EX63" s="21" t="e">
        <f>EXP(-LN(2)/2)*EX62+(1-EXP(-LN(2)/2))/(LN(2)/2)*ER63*EU63*VLOOKUP('Données projet'!$B$15,Paramètres!$A$1:$I$88,3,0)*0.475*44/12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projet'!$B$16,Paramètres!$A$1:$I$88,3,0)*VLOOKUP('Données projet'!$B$16,Paramètres!$A$1:$I$88,5,0)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projet'!$B$16,Paramètres!$A$1:$I$88,7,0))</f>
        <v>0</v>
      </c>
      <c r="FO63" s="16">
        <f>IF(ISNA(VLOOKUP(A63,'Données projet'!$A$217:$I$237,6,0)),0%,VLOOKUP(A63,'Données projet'!$A$217:$I$237,6,0)*VLOOKUP('Données projet'!$B$16,Paramètres!$A$1:$I$88,7,0))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projet'!$B$16,Paramètres!$A$1:$I$88,3,0)*0.475*44/12</f>
        <v>#N/A</v>
      </c>
      <c r="FR63" s="21" t="e">
        <f>EXP(-LN(2)/25)*FR62+(1-EXP(-LN(2)/25))/(LN(2)/25)*Calculateur!FM63*Calculateur!FO63*VLOOKUP('Données projet'!$B$16,Paramètres!$A$1:$I$88,3,0)*0.475*44/12</f>
        <v>#N/A</v>
      </c>
      <c r="FS63" s="21" t="e">
        <f>EXP(-LN(2)/2)*FS62+(1-EXP(-LN(2)/2))/(LN(2)/2)*FM63*FP63*VLOOKUP('Données projet'!$B$16,Paramètres!$A$1:$I$88,3,0)*0.475*44/12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projet'!$B$17,Paramètres!$A$1:$I$88,3,0)*VLOOKUP('Données projet'!$B$17,Paramètres!$A$1:$I$88,5,0)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projet'!$B$17,Paramètres!$A$1:$I$88,7,0))</f>
        <v>0</v>
      </c>
      <c r="GJ63" s="16">
        <f>IF(ISNA(VLOOKUP(A63,'Données projet'!$A$243:$I$263,6,0)),0%,VLOOKUP(A63,'Données projet'!$A$243:$I$263,6,0)*VLOOKUP('Données projet'!$B$17,Paramètres!$A$1:$I$88,7,0))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projet'!$B$17,Paramètres!$A$1:$I$88,3,0)*0.475*44/12</f>
        <v>#N/A</v>
      </c>
      <c r="GM63" s="21" t="e">
        <f>EXP(-LN(2)/25)*GM62+(1-EXP(-LN(2)/25))/(LN(2)/25)*Calculateur!GH63*Calculateur!GJ63*VLOOKUP('Données projet'!$B$17,Paramètres!$A$1:$I$88,3,0)*0.475*44/12</f>
        <v>#N/A</v>
      </c>
      <c r="GN63" s="21" t="e">
        <f>EXP(-LN(2)/2)*GN62+(1-EXP(-LN(2)/2))/(LN(2)/2)*GH63*GK63*VLOOKUP('Données projet'!$B$17,Paramètres!$A$1:$I$88,3,0)*0.475*44/12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projet'!$B$18,Paramètres!$A$1:$I$88,3,0)*VLOOKUP('Données projet'!$B$18,Paramètres!$A$1:$I$88,5,0)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projet'!$B$18,Paramètres!$A$1:$I$88,7,0))</f>
        <v>0</v>
      </c>
      <c r="HE63" s="16">
        <f>IF(ISNA(VLOOKUP(A63,'Données projet'!$A$269:$I$289,6,0)),0%,VLOOKUP(A63,'Données projet'!$A$269:$I$289,6,0)*VLOOKUP('Données projet'!$B$18,Paramètres!$A$1:$I$88,7,0))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projet'!$B$18,Paramètres!$A$1:$I$88,3,0)*0.475*44/12</f>
        <v>#N/A</v>
      </c>
      <c r="HH63" s="21" t="e">
        <f>EXP(-LN(2)/25)*HH62+(1-EXP(-LN(2)/25))/(LN(2)/25)*Calculateur!HC63*Calculateur!HE63*VLOOKUP('Données projet'!$B$18,Paramètres!$A$1:$I$88,3,0)*0.475*44/12</f>
        <v>#N/A</v>
      </c>
      <c r="HI63" s="21" t="e">
        <f>EXP(-LN(2)/2)*HI62+(1-EXP(-LN(2)/2))/(LN(2)/2)*HC63*HF63*VLOOKUP('Données projet'!$B$18,Paramètres!$A$1:$I$88,3,0)*0.475*44/12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2.625</v>
      </c>
      <c r="N64" s="13">
        <f>IF('Données projet'!$A$36&gt;35,N63+M64-V63,IF(A64&lt;'Données projet'!$A$36,$K$205^A64,IF(A64='Données projet'!$A$36,'Données projet'!$B$36,N63+M64-V63)))</f>
        <v>313.375</v>
      </c>
      <c r="O64" s="13">
        <f>N64*VLOOKUP('Données projet'!$B$9,Paramètres!$A$1:$I$88,3,0)*VLOOKUP('Données projet'!$B$9,Paramètres!$A$1:$I$88,5,0)</f>
        <v>187.39825000000002</v>
      </c>
      <c r="P64" s="13">
        <f t="shared" si="33"/>
        <v>46.964282095681376</v>
      </c>
      <c r="Q64" s="20">
        <f t="shared" si="53"/>
        <v>408.18141006664501</v>
      </c>
      <c r="R64" s="59">
        <f t="shared" si="0"/>
        <v>701.51474339997833</v>
      </c>
      <c r="S64" s="59">
        <f ca="1">AVERAGE(OFFSET($R$3,0,0,'Données projet'!$E$9+1,1))-AVERAGE(OFFSET($H$3,0,0,'Données projet'!$E$9+1,1))</f>
        <v>195.73441209602686</v>
      </c>
      <c r="T64" s="59">
        <f t="shared" si="34"/>
        <v>219.19129224309006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projet'!$B$9,Paramètres!$A$1:$I$88,7,0))</f>
        <v>0</v>
      </c>
      <c r="X64" s="16">
        <f>IF(ISNA(VLOOKUP(A64,'Données projet'!$A$35:$I$55,6,0)),0%,VLOOKUP(A64,'Données projet'!$A$35:$I$55,6,0)*VLOOKUP('Données projet'!$B$9,Paramètres!$A$1:$I$88,7,0))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projet'!$B$9,Paramètres!$A$1:$I$88,3,0)*0.475*44/12</f>
        <v>8.2548608853914089</v>
      </c>
      <c r="AA64" s="21">
        <f>EXP(-LN(2)/25)*AA63+(1-EXP(-LN(2)/25))/(LN(2)/25)*Calculateur!V64*Calculateur!X64*VLOOKUP('Données projet'!$B$9,Paramètres!$A$1:$I$88,3,0)*0.475*44/12</f>
        <v>5.9939614294060917</v>
      </c>
      <c r="AB64" s="21">
        <f>EXP(-LN(2)/2)*AB63+(1-EXP(-LN(2)/2))/(LN(2)/2)*V64*Y64*VLOOKUP('Données projet'!$B$9,Paramètres!$A$1:$I$88,3,0)*0.475*44/12</f>
        <v>8.560972148264311E-7</v>
      </c>
      <c r="AC64" s="22">
        <f t="shared" si="3"/>
        <v>14.248823170894715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9.1999999999999993</v>
      </c>
      <c r="AI64" s="13">
        <f>IF('Données projet'!$A$62&gt;35,AI63+AH64-AQ63,IF(A64&lt;'Données projet'!$A$62,$AF$205^A64,IF(A64='Données projet'!$A$62,'Données projet'!$B$62,AI63+AH64-AQ63)))</f>
        <v>339.19999999999976</v>
      </c>
      <c r="AJ64" s="13">
        <f>AI64*VLOOKUP('Données projet'!$B$10,Paramètres!$A$1:$I$88,3,0)*VLOOKUP('Données projet'!$B$10,Paramètres!$A$1:$I$88,5,0)</f>
        <v>202.84159999999989</v>
      </c>
      <c r="AK64" s="13">
        <f t="shared" si="35"/>
        <v>50.368151708087709</v>
      </c>
      <c r="AL64" s="20">
        <f t="shared" si="4"/>
        <v>441.00698422491922</v>
      </c>
      <c r="AM64" s="59">
        <f t="shared" si="5"/>
        <v>734.34031755825254</v>
      </c>
      <c r="AN64" s="59">
        <f ca="1">AVERAGE(OFFSET($AM$3,0,0,'Données projet'!$E$10+1,1))-AVERAGE(OFFSET($H$3,0,0,'Données projet'!$E$10+1,1))</f>
        <v>246.59447135626942</v>
      </c>
      <c r="AO64" s="59">
        <f t="shared" si="36"/>
        <v>262.00382544285367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projet'!$B$10,Paramètres!$A$1:$I$88,7,0))</f>
        <v>0</v>
      </c>
      <c r="AS64" s="16">
        <f>IF(ISNA(VLOOKUP(A64,'Données projet'!$A$61:$I$81,6,0)),0%,VLOOKUP(A64,'Données projet'!$A$61:$I$81,6,0)*VLOOKUP('Données projet'!$B$10,Paramètres!$A$1:$I$88,7,0))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projet'!$B$10,Paramètres!$A$1:$I$88,3,0)*0.475*44/12</f>
        <v>0</v>
      </c>
      <c r="AV64" s="21">
        <f>EXP(-LN(2)/25)*AV63+(1-EXP(-LN(2)/25))/(LN(2)/25)*Calculateur!AQ64*Calculateur!AS64*VLOOKUP('Données projet'!$B$10,Paramètres!$A$1:$I$88,3,0)*0.475*44/12</f>
        <v>5.4400268399199376</v>
      </c>
      <c r="AW64" s="21">
        <f>EXP(-LN(2)/2)*AW63+(1-EXP(-LN(2)/2))/(LN(2)/2)*AQ64*AT64*VLOOKUP('Données projet'!$B$10,Paramètres!$A$1:$I$88,3,0)*0.475*44/12</f>
        <v>5.1206028076151587E-4</v>
      </c>
      <c r="AX64" s="21">
        <f t="shared" si="6"/>
        <v>5.440538900200699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13.4</v>
      </c>
      <c r="BD64" s="12">
        <f>IF('Données projet'!$A$88&gt;35,BD63+BC64-BL63,IF(A64&lt;'Données projet'!$A$88,$BA$205^A64,IF(A64='Données projet'!$A$88,'Données projet'!$B$88,BD63+BC64-BL63)))</f>
        <v>493.39999999999986</v>
      </c>
      <c r="BE64" s="13">
        <f>BD64*VLOOKUP('Données projet'!$B$11,Paramètres!$A$1:$I$88,3,0)*VLOOKUP('Données projet'!$B$11,Paramètres!$A$1:$I$88,5,0)</f>
        <v>275.81059999999997</v>
      </c>
      <c r="BF64" s="13">
        <f t="shared" si="37"/>
        <v>66.080892951487996</v>
      </c>
      <c r="BG64" s="20">
        <f t="shared" si="7"/>
        <v>595.46101689050818</v>
      </c>
      <c r="BH64" s="59">
        <f t="shared" si="8"/>
        <v>888.79435022384155</v>
      </c>
      <c r="BI64" s="59">
        <f ca="1">AVERAGE(OFFSET($BH$3,0,0,'Données projet'!$E$11+1,1))-AVERAGE(OFFSET($H$3,0,0,'Données projet'!$E$11+1,1))</f>
        <v>355.96253323046608</v>
      </c>
      <c r="BJ64" s="59">
        <f t="shared" si="38"/>
        <v>366.8380442809696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projet'!$B$11,Paramètres!$A$1:$I$88,7,0))</f>
        <v>0</v>
      </c>
      <c r="BN64" s="16">
        <f>IF(ISNA(VLOOKUP(A64,'Données projet'!$A$87:$I$107,6,0)),0%,VLOOKUP(A64,'Données projet'!$A$87:$I$107,6,0)*VLOOKUP('Données projet'!$B$11,Paramètres!$A$1:$I$88,7,0))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projet'!$B$11,Paramètres!$A$1:$I$88,3,0)*0.475*44/12</f>
        <v>0</v>
      </c>
      <c r="BQ64" s="21">
        <f>EXP(-LN(2)/25)*BQ63+(1-EXP(-LN(2)/25))/(LN(2)/25)*Calculateur!BL64*Calculateur!BN64*VLOOKUP('Données projet'!$B$11,Paramètres!$A$1:$I$88,3,0)*0.475*44/12</f>
        <v>9.6316419157841739</v>
      </c>
      <c r="BR64" s="21">
        <f>EXP(-LN(2)/2)*BR63+(1-EXP(-LN(2)/2))/(LN(2)/2)*BL64*BO64*VLOOKUP('Données projet'!$B$11,Paramètres!$A$1:$I$88,3,0)*0.475*44/12</f>
        <v>7.91728630036293E-4</v>
      </c>
      <c r="BS64" s="22">
        <f t="shared" si="9"/>
        <v>9.6324336444142098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4.0999999999999996</v>
      </c>
      <c r="BY64" s="12">
        <f>IF('Données projet'!$A$114&gt;35,BY63+BX64-CG63,IF(A64&lt;'Données projet'!$A$114,$BV$205^A64,IF(A64='Données projet'!$A$114,'Données projet'!$B$114,BY63+BX64-CG63)))</f>
        <v>237.09999999999974</v>
      </c>
      <c r="BZ64" s="13">
        <f>BY64*VLOOKUP('Données projet'!$B$12,Paramètres!$A$1:$I$88,3,0)*VLOOKUP('Données projet'!$B$12,Paramètres!$A$1:$I$88,5,0)</f>
        <v>155.34791999999982</v>
      </c>
      <c r="CA64" s="13">
        <f t="shared" si="39"/>
        <v>39.791430662505618</v>
      </c>
      <c r="CB64" s="20">
        <f t="shared" si="10"/>
        <v>339.86770240386358</v>
      </c>
      <c r="CC64" s="59">
        <f t="shared" si="11"/>
        <v>633.20103573719689</v>
      </c>
      <c r="CD64" s="59">
        <f ca="1">AVERAGE(OFFSET($CC$3,0,0,'Données projet'!$E$12+1,1))-AVERAGE(OFFSET($H$3,0,0,'Données projet'!$E$12+1,1))</f>
        <v>180.90147430936133</v>
      </c>
      <c r="CE64" s="59">
        <f t="shared" si="40"/>
        <v>226.87949199830018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projet'!$B$12,Paramètres!$A$1:$I$88,7,0))</f>
        <v>0</v>
      </c>
      <c r="CI64" s="16">
        <f>IF(ISNA(VLOOKUP(A64,'Données projet'!$A$113:$I$133,6,0)),0%,VLOOKUP(A64,'Données projet'!$A$113:$I$133,6,0)*VLOOKUP('Données projet'!$B$12,Paramètres!$A$1:$I$88,7,0))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projet'!$B$12,Paramètres!$A$1:$I$88,3,0)*0.475*44/12</f>
        <v>0</v>
      </c>
      <c r="CL64" s="21">
        <f>EXP(-LN(2)/25)*CL63+(1-EXP(-LN(2)/25))/(LN(2)/25)*Calculateur!CG64*Calculateur!CI64*VLOOKUP('Données projet'!$B$12,Paramètres!$A$1:$I$88,3,0)*0.475*44/12</f>
        <v>2.9087965581633717</v>
      </c>
      <c r="CM64" s="21">
        <f>EXP(-LN(2)/2)*CM63+(1-EXP(-LN(2)/2))/(LN(2)/2)*CG64*CJ64*VLOOKUP('Données projet'!$B$12,Paramètres!$A$1:$I$88,3,0)*0.475*44/12</f>
        <v>1.9124467346861752E-4</v>
      </c>
      <c r="CN64" s="22">
        <f t="shared" si="12"/>
        <v>2.9089878028368403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5.6843418860808015E-14</v>
      </c>
      <c r="CU64" s="17">
        <f>CT64*VLOOKUP('Données projet'!$B$13,Paramètres!$A$1:$I$88,3,0)*VLOOKUP('Données projet'!$B$13,Paramètres!$A$1:$I$88,5,0)</f>
        <v>2.8908289095852525E-14</v>
      </c>
      <c r="CV64" s="13">
        <f t="shared" si="41"/>
        <v>5.0177780569126974E-13</v>
      </c>
      <c r="CW64" s="20">
        <f t="shared" si="13"/>
        <v>9.2427828175423786E-13</v>
      </c>
      <c r="CX64" s="59">
        <f t="shared" si="14"/>
        <v>293.33333333333422</v>
      </c>
      <c r="CY64" s="59">
        <f ca="1">AVERAGE(OFFSET($CX$3,0,0,'Données projet'!$E$13+1,1))-AVERAGE(OFFSET($H$3,0,0,'Données projet'!$E$13+1,1))</f>
        <v>133.08385802816008</v>
      </c>
      <c r="CZ64" s="59">
        <f t="shared" si="42"/>
        <v>316.59112511251385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projet'!$B$13,Paramètres!$A$1:$I$88,7,0))</f>
        <v>0</v>
      </c>
      <c r="DD64" s="16">
        <f>IF(ISNA(VLOOKUP(A64,'Données projet'!$A$139:$I$159,6,0)),0%,VLOOKUP(A64,'Données projet'!$A$139:$I$159,6,0)*VLOOKUP('Données projet'!$B$13,Paramètres!$A$1:$I$88,7,0))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projet'!$B$13,Paramètres!$A$1:$I$88,3,0)*0.475*44/12</f>
        <v>39.079314559429655</v>
      </c>
      <c r="DG64" s="21">
        <f>EXP(-LN(2)/25)*DG63+(1-EXP(-LN(2)/25))/(LN(2)/25)*Calculateur!DB64*Calculateur!DD64*VLOOKUP('Données projet'!$B$13,Paramètres!$A$1:$I$88,3,0)*0.475*44/12</f>
        <v>0</v>
      </c>
      <c r="DH64" s="21">
        <f>EXP(-LN(2)/2)*DH63+(1-EXP(-LN(2)/2))/(LN(2)/2)*DB64*DE64*VLOOKUP('Données projet'!$B$13,Paramètres!$A$1:$I$88,3,0)*0.475*44/12</f>
        <v>1.2201743156101184E-4</v>
      </c>
      <c r="DI64" s="22">
        <f t="shared" si="15"/>
        <v>39.079436576861212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projet'!$B$14,Paramètres!$A$1:$I$88,3,0)*VLOOKUP('Données projet'!$B$14,Paramètres!$A$1:$I$88,5,0)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projet'!$B$14,Paramètres!$A$1:$I$88,7,0))</f>
        <v>0</v>
      </c>
      <c r="DY64" s="16">
        <f>IF(ISNA(VLOOKUP(A64,'Données projet'!$A$165:$I$185,6,0)),0%,VLOOKUP(A64,'Données projet'!$A$165:$I$185,6,0)*VLOOKUP('Données projet'!$B$14,Paramètres!$A$1:$I$88,7,0))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projet'!$B$14,Paramètres!$A$1:$I$88,3,0)*0.475*44/12</f>
        <v>#N/A</v>
      </c>
      <c r="EB64" s="21" t="e">
        <f>EXP(-LN(2)/25)*EB63+(1-EXP(-LN(2)/25))/(LN(2)/25)*Calculateur!DW64*Calculateur!DY64*VLOOKUP('Données projet'!$B$14,Paramètres!$A$1:$I$88,3,0)*0.475*44/12</f>
        <v>#N/A</v>
      </c>
      <c r="EC64" s="21" t="e">
        <f>EXP(-LN(2)/2)*EC63+(1-EXP(-LN(2)/2))/(LN(2)/2)*DW64*DZ64*VLOOKUP('Données projet'!$B$14,Paramètres!$A$1:$I$88,3,0)*0.475*44/12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projet'!$B$15,Paramètres!$A$1:$I$88,3,0)*VLOOKUP('Données projet'!$B$15,Paramètres!$A$1:$I$88,5,0)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projet'!$B$15,Paramètres!$A$1:$I$88,7,0))</f>
        <v>0</v>
      </c>
      <c r="ET64" s="16">
        <f>IF(ISNA(VLOOKUP(A64,'Données projet'!$A$191:$I$211,6,0)),0%,VLOOKUP(A64,'Données projet'!$A$191:$I$211,6,0)*VLOOKUP('Données projet'!$B$15,Paramètres!$A$1:$I$88,7,0))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projet'!$B$15,Paramètres!$A$1:$I$88,3,0)*0.475*44/12</f>
        <v>#N/A</v>
      </c>
      <c r="EW64" s="21" t="e">
        <f>EXP(-LN(2)/25)*EW63+(1-EXP(-LN(2)/25))/(LN(2)/25)*Calculateur!ER64*Calculateur!ET64*VLOOKUP('Données projet'!$B$15,Paramètres!$A$1:$I$88,3,0)*0.475*44/12</f>
        <v>#N/A</v>
      </c>
      <c r="EX64" s="21" t="e">
        <f>EXP(-LN(2)/2)*EX63+(1-EXP(-LN(2)/2))/(LN(2)/2)*ER64*EU64*VLOOKUP('Données projet'!$B$15,Paramètres!$A$1:$I$88,3,0)*0.475*44/12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projet'!$B$16,Paramètres!$A$1:$I$88,3,0)*VLOOKUP('Données projet'!$B$16,Paramètres!$A$1:$I$88,5,0)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projet'!$B$16,Paramètres!$A$1:$I$88,7,0))</f>
        <v>0</v>
      </c>
      <c r="FO64" s="16">
        <f>IF(ISNA(VLOOKUP(A64,'Données projet'!$A$217:$I$237,6,0)),0%,VLOOKUP(A64,'Données projet'!$A$217:$I$237,6,0)*VLOOKUP('Données projet'!$B$16,Paramètres!$A$1:$I$88,7,0))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projet'!$B$16,Paramètres!$A$1:$I$88,3,0)*0.475*44/12</f>
        <v>#N/A</v>
      </c>
      <c r="FR64" s="21" t="e">
        <f>EXP(-LN(2)/25)*FR63+(1-EXP(-LN(2)/25))/(LN(2)/25)*Calculateur!FM64*Calculateur!FO64*VLOOKUP('Données projet'!$B$16,Paramètres!$A$1:$I$88,3,0)*0.475*44/12</f>
        <v>#N/A</v>
      </c>
      <c r="FS64" s="21" t="e">
        <f>EXP(-LN(2)/2)*FS63+(1-EXP(-LN(2)/2))/(LN(2)/2)*FM64*FP64*VLOOKUP('Données projet'!$B$16,Paramètres!$A$1:$I$88,3,0)*0.475*44/12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projet'!$B$17,Paramètres!$A$1:$I$88,3,0)*VLOOKUP('Données projet'!$B$17,Paramètres!$A$1:$I$88,5,0)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projet'!$B$17,Paramètres!$A$1:$I$88,7,0))</f>
        <v>0</v>
      </c>
      <c r="GJ64" s="16">
        <f>IF(ISNA(VLOOKUP(A64,'Données projet'!$A$243:$I$263,6,0)),0%,VLOOKUP(A64,'Données projet'!$A$243:$I$263,6,0)*VLOOKUP('Données projet'!$B$17,Paramètres!$A$1:$I$88,7,0))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projet'!$B$17,Paramètres!$A$1:$I$88,3,0)*0.475*44/12</f>
        <v>#N/A</v>
      </c>
      <c r="GM64" s="21" t="e">
        <f>EXP(-LN(2)/25)*GM63+(1-EXP(-LN(2)/25))/(LN(2)/25)*Calculateur!GH64*Calculateur!GJ64*VLOOKUP('Données projet'!$B$17,Paramètres!$A$1:$I$88,3,0)*0.475*44/12</f>
        <v>#N/A</v>
      </c>
      <c r="GN64" s="21" t="e">
        <f>EXP(-LN(2)/2)*GN63+(1-EXP(-LN(2)/2))/(LN(2)/2)*GH64*GK64*VLOOKUP('Données projet'!$B$17,Paramètres!$A$1:$I$88,3,0)*0.475*44/12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projet'!$B$18,Paramètres!$A$1:$I$88,3,0)*VLOOKUP('Données projet'!$B$18,Paramètres!$A$1:$I$88,5,0)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projet'!$B$18,Paramètres!$A$1:$I$88,7,0))</f>
        <v>0</v>
      </c>
      <c r="HE64" s="16">
        <f>IF(ISNA(VLOOKUP(A64,'Données projet'!$A$269:$I$289,6,0)),0%,VLOOKUP(A64,'Données projet'!$A$269:$I$289,6,0)*VLOOKUP('Données projet'!$B$18,Paramètres!$A$1:$I$88,7,0))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projet'!$B$18,Paramètres!$A$1:$I$88,3,0)*0.475*44/12</f>
        <v>#N/A</v>
      </c>
      <c r="HH64" s="21" t="e">
        <f>EXP(-LN(2)/25)*HH63+(1-EXP(-LN(2)/25))/(LN(2)/25)*Calculateur!HC64*Calculateur!HE64*VLOOKUP('Données projet'!$B$18,Paramètres!$A$1:$I$88,3,0)*0.475*44/12</f>
        <v>#N/A</v>
      </c>
      <c r="HI64" s="21" t="e">
        <f>EXP(-LN(2)/2)*HI63+(1-EXP(-LN(2)/2))/(LN(2)/2)*HC64*HF64*VLOOKUP('Données projet'!$B$18,Paramètres!$A$1:$I$88,3,0)*0.475*44/12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316</v>
      </c>
      <c r="L65" s="12">
        <f>VLOOKUP(A65,'Données projet'!$A$35:$I$55,9,0)</f>
        <v>2.625</v>
      </c>
      <c r="M65" s="12">
        <f t="array" ref="M65">INDEX(L:L,MIN(IF(ISNUMBER(L65:L261),ROW(L65:L261),"")))</f>
        <v>2.625</v>
      </c>
      <c r="N65" s="13">
        <f>IF('Données projet'!$A$36&gt;35,N64+M65-V64,IF(A65&lt;'Données projet'!$A$36,$K$205^A65,IF(A65='Données projet'!$A$36,'Données projet'!$B$36,N64+M65-V64)))</f>
        <v>316</v>
      </c>
      <c r="O65" s="13">
        <f>N65*VLOOKUP('Données projet'!$B$9,Paramètres!$A$1:$I$88,3,0)*VLOOKUP('Données projet'!$B$9,Paramètres!$A$1:$I$88,5,0)</f>
        <v>188.96800000000002</v>
      </c>
      <c r="P65" s="13">
        <f t="shared" si="33"/>
        <v>47.311720031947068</v>
      </c>
      <c r="Q65" s="20">
        <f t="shared" si="53"/>
        <v>411.52051238897451</v>
      </c>
      <c r="R65" s="59">
        <f t="shared" si="0"/>
        <v>704.85384572230782</v>
      </c>
      <c r="S65" s="59">
        <f ca="1">AVERAGE(OFFSET($R$3,0,0,'Données projet'!$E$9+1,1))-AVERAGE(OFFSET($H$3,0,0,'Données projet'!$E$9+1,1))</f>
        <v>195.73441209602686</v>
      </c>
      <c r="T65" s="59">
        <f t="shared" si="34"/>
        <v>219.19129224309006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316</v>
      </c>
      <c r="W65" s="16">
        <f>IF(ISNA(VLOOKUP(A65,'Données projet'!$A$35:$I$55,5,0)),0%,VLOOKUP(A65,'Données projet'!$A$35:$I$55,5,0)*VLOOKUP('Données projet'!$B$9,Paramètres!$A$1:$I$88,7,0))</f>
        <v>0</v>
      </c>
      <c r="X65" s="16">
        <f>IF(ISNA(VLOOKUP(A65,'Données projet'!$A$35:$I$55,6,0)),0%,VLOOKUP(A65,'Données projet'!$A$35:$I$55,6,0)*VLOOKUP('Données projet'!$B$9,Paramètres!$A$1:$I$88,7,0))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projet'!$B$9,Paramètres!$A$1:$I$88,3,0)*0.475*44/12</f>
        <v>8.0929880983968623</v>
      </c>
      <c r="AA65" s="21">
        <f>EXP(-LN(2)/25)*AA64+(1-EXP(-LN(2)/25))/(LN(2)/25)*Calculateur!V65*Calculateur!X65*VLOOKUP('Données projet'!$B$9,Paramètres!$A$1:$I$88,3,0)*0.475*44/12</f>
        <v>5.8300562389102497</v>
      </c>
      <c r="AB65" s="21">
        <f>EXP(-LN(2)/2)*AB64+(1-EXP(-LN(2)/2))/(LN(2)/2)*V65*Y65*VLOOKUP('Données projet'!$B$9,Paramètres!$A$1:$I$88,3,0)*0.475*44/12</f>
        <v>6.0535214595868597E-7</v>
      </c>
      <c r="AC65" s="22">
        <f t="shared" si="3"/>
        <v>13.923044942659256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9.1999999999999993</v>
      </c>
      <c r="AI65" s="13">
        <f>IF('Données projet'!$A$62&gt;35,AI64+AH65-AQ64,IF(A65&lt;'Données projet'!$A$62,$AF$205^A65,IF(A65='Données projet'!$A$62,'Données projet'!$B$62,AI64+AH65-AQ64)))</f>
        <v>348.39999999999975</v>
      </c>
      <c r="AJ65" s="13">
        <f>AI65*VLOOKUP('Données projet'!$B$10,Paramètres!$A$1:$I$88,3,0)*VLOOKUP('Données projet'!$B$10,Paramètres!$A$1:$I$88,5,0)</f>
        <v>208.34319999999988</v>
      </c>
      <c r="AK65" s="13">
        <f t="shared" si="35"/>
        <v>51.573366479945882</v>
      </c>
      <c r="AL65" s="20">
        <f t="shared" si="4"/>
        <v>452.68801995257218</v>
      </c>
      <c r="AM65" s="59">
        <f t="shared" si="5"/>
        <v>746.02135328590543</v>
      </c>
      <c r="AN65" s="59">
        <f ca="1">AVERAGE(OFFSET($AM$3,0,0,'Données projet'!$E$10+1,1))-AVERAGE(OFFSET($H$3,0,0,'Données projet'!$E$10+1,1))</f>
        <v>246.59447135626942</v>
      </c>
      <c r="AO65" s="59">
        <f t="shared" si="36"/>
        <v>262.00382544285367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projet'!$B$10,Paramètres!$A$1:$I$88,7,0))</f>
        <v>0</v>
      </c>
      <c r="AS65" s="16">
        <f>IF(ISNA(VLOOKUP(A65,'Données projet'!$A$61:$I$81,6,0)),0%,VLOOKUP(A65,'Données projet'!$A$61:$I$81,6,0)*VLOOKUP('Données projet'!$B$10,Paramètres!$A$1:$I$88,7,0))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projet'!$B$10,Paramètres!$A$1:$I$88,3,0)*0.475*44/12</f>
        <v>0</v>
      </c>
      <c r="AV65" s="21">
        <f>EXP(-LN(2)/25)*AV64+(1-EXP(-LN(2)/25))/(LN(2)/25)*Calculateur!AQ65*Calculateur!AS65*VLOOKUP('Données projet'!$B$10,Paramètres!$A$1:$I$88,3,0)*0.475*44/12</f>
        <v>5.2912690199037486</v>
      </c>
      <c r="AW65" s="21">
        <f>EXP(-LN(2)/2)*AW64+(1-EXP(-LN(2)/2))/(LN(2)/2)*AQ65*AT65*VLOOKUP('Données projet'!$B$10,Paramètres!$A$1:$I$88,3,0)*0.475*44/12</f>
        <v>3.620812969027553E-4</v>
      </c>
      <c r="AX65" s="21">
        <f t="shared" si="6"/>
        <v>5.2916311012006512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13.4</v>
      </c>
      <c r="BD65" s="12">
        <f>IF('Données projet'!$A$88&gt;35,BD64+BC65-BL64,IF(A65&lt;'Données projet'!$A$88,$BA$205^A65,IF(A65='Données projet'!$A$88,'Données projet'!$B$88,BD64+BC65-BL64)))</f>
        <v>506.79999999999984</v>
      </c>
      <c r="BE65" s="13">
        <f>BD65*VLOOKUP('Données projet'!$B$11,Paramètres!$A$1:$I$88,3,0)*VLOOKUP('Données projet'!$B$11,Paramètres!$A$1:$I$88,5,0)</f>
        <v>283.30119999999988</v>
      </c>
      <c r="BF65" s="13">
        <f t="shared" si="37"/>
        <v>67.664170722499449</v>
      </c>
      <c r="BG65" s="20">
        <f t="shared" si="7"/>
        <v>611.26468734168623</v>
      </c>
      <c r="BH65" s="59">
        <f t="shared" si="8"/>
        <v>904.5980206750196</v>
      </c>
      <c r="BI65" s="59">
        <f ca="1">AVERAGE(OFFSET($BH$3,0,0,'Données projet'!$E$11+1,1))-AVERAGE(OFFSET($H$3,0,0,'Données projet'!$E$11+1,1))</f>
        <v>355.96253323046608</v>
      </c>
      <c r="BJ65" s="59">
        <f t="shared" si="38"/>
        <v>366.8380442809696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projet'!$B$11,Paramètres!$A$1:$I$88,7,0))</f>
        <v>0</v>
      </c>
      <c r="BN65" s="16">
        <f>IF(ISNA(VLOOKUP(A65,'Données projet'!$A$87:$I$107,6,0)),0%,VLOOKUP(A65,'Données projet'!$A$87:$I$107,6,0)*VLOOKUP('Données projet'!$B$11,Paramètres!$A$1:$I$88,7,0))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projet'!$B$11,Paramètres!$A$1:$I$88,3,0)*0.475*44/12</f>
        <v>0</v>
      </c>
      <c r="BQ65" s="21">
        <f>EXP(-LN(2)/25)*BQ64+(1-EXP(-LN(2)/25))/(LN(2)/25)*Calculateur!BL65*Calculateur!BN65*VLOOKUP('Données projet'!$B$11,Paramètres!$A$1:$I$88,3,0)*0.475*44/12</f>
        <v>9.3682641610910213</v>
      </c>
      <c r="BR65" s="21">
        <f>EXP(-LN(2)/2)*BR64+(1-EXP(-LN(2)/2))/(LN(2)/2)*BL65*BO65*VLOOKUP('Données projet'!$B$11,Paramètres!$A$1:$I$88,3,0)*0.475*44/12</f>
        <v>5.5983668315819806E-4</v>
      </c>
      <c r="BS65" s="22">
        <f t="shared" si="9"/>
        <v>9.3688239977741787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4.0999999999999996</v>
      </c>
      <c r="BY65" s="12">
        <f>IF('Données projet'!$A$114&gt;35,BY64+BX65-CG64,IF(A65&lt;'Données projet'!$A$114,$BV$205^A65,IF(A65='Données projet'!$A$114,'Données projet'!$B$114,BY64+BX65-CG64)))</f>
        <v>241.19999999999973</v>
      </c>
      <c r="BZ65" s="13">
        <f>BY65*VLOOKUP('Données projet'!$B$12,Paramètres!$A$1:$I$88,3,0)*VLOOKUP('Données projet'!$B$12,Paramètres!$A$1:$I$88,5,0)</f>
        <v>158.03423999999984</v>
      </c>
      <c r="CA65" s="13">
        <f t="shared" si="39"/>
        <v>40.39881425395928</v>
      </c>
      <c r="CB65" s="20">
        <f t="shared" si="10"/>
        <v>345.60423615897872</v>
      </c>
      <c r="CC65" s="59">
        <f t="shared" si="11"/>
        <v>638.93756949231204</v>
      </c>
      <c r="CD65" s="59">
        <f ca="1">AVERAGE(OFFSET($CC$3,0,0,'Données projet'!$E$12+1,1))-AVERAGE(OFFSET($H$3,0,0,'Données projet'!$E$12+1,1))</f>
        <v>180.90147430936133</v>
      </c>
      <c r="CE65" s="59">
        <f t="shared" si="40"/>
        <v>226.87949199830018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projet'!$B$12,Paramètres!$A$1:$I$88,7,0))</f>
        <v>0</v>
      </c>
      <c r="CI65" s="16">
        <f>IF(ISNA(VLOOKUP(A65,'Données projet'!$A$113:$I$133,6,0)),0%,VLOOKUP(A65,'Données projet'!$A$113:$I$133,6,0)*VLOOKUP('Données projet'!$B$12,Paramètres!$A$1:$I$88,7,0))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projet'!$B$12,Paramètres!$A$1:$I$88,3,0)*0.475*44/12</f>
        <v>0</v>
      </c>
      <c r="CL65" s="21">
        <f>EXP(-LN(2)/25)*CL64+(1-EXP(-LN(2)/25))/(LN(2)/25)*Calculateur!CG65*Calculateur!CI65*VLOOKUP('Données projet'!$B$12,Paramètres!$A$1:$I$88,3,0)*0.475*44/12</f>
        <v>2.8292553633134316</v>
      </c>
      <c r="CM65" s="21">
        <f>EXP(-LN(2)/2)*CM64+(1-EXP(-LN(2)/2))/(LN(2)/2)*CG65*CJ65*VLOOKUP('Données projet'!$B$12,Paramètres!$A$1:$I$88,3,0)*0.475*44/12</f>
        <v>1.3523040547546645E-4</v>
      </c>
      <c r="CN65" s="22">
        <f t="shared" si="12"/>
        <v>2.829390593718907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5.6843418860808015E-14</v>
      </c>
      <c r="CU65" s="17">
        <f>CT65*VLOOKUP('Données projet'!$B$13,Paramètres!$A$1:$I$88,3,0)*VLOOKUP('Données projet'!$B$13,Paramètres!$A$1:$I$88,5,0)</f>
        <v>2.8908289095852525E-14</v>
      </c>
      <c r="CV65" s="13">
        <f t="shared" si="41"/>
        <v>5.0177780569126974E-13</v>
      </c>
      <c r="CW65" s="20">
        <f t="shared" si="13"/>
        <v>9.2427828175423786E-13</v>
      </c>
      <c r="CX65" s="59">
        <f t="shared" si="14"/>
        <v>293.33333333333422</v>
      </c>
      <c r="CY65" s="59">
        <f ca="1">AVERAGE(OFFSET($CX$3,0,0,'Données projet'!$E$13+1,1))-AVERAGE(OFFSET($H$3,0,0,'Données projet'!$E$13+1,1))</f>
        <v>133.08385802816008</v>
      </c>
      <c r="CZ65" s="59">
        <f t="shared" si="42"/>
        <v>316.59112511251385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projet'!$B$13,Paramètres!$A$1:$I$88,7,0))</f>
        <v>0</v>
      </c>
      <c r="DD65" s="16">
        <f>IF(ISNA(VLOOKUP(A65,'Données projet'!$A$139:$I$159,6,0)),0%,VLOOKUP(A65,'Données projet'!$A$139:$I$159,6,0)*VLOOKUP('Données projet'!$B$13,Paramètres!$A$1:$I$88,7,0))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projet'!$B$13,Paramètres!$A$1:$I$88,3,0)*0.475*44/12</f>
        <v>38.31299303694751</v>
      </c>
      <c r="DG65" s="21">
        <f>EXP(-LN(2)/25)*DG64+(1-EXP(-LN(2)/25))/(LN(2)/25)*Calculateur!DB65*Calculateur!DD65*VLOOKUP('Données projet'!$B$13,Paramètres!$A$1:$I$88,3,0)*0.475*44/12</f>
        <v>0</v>
      </c>
      <c r="DH65" s="21">
        <f>EXP(-LN(2)/2)*DH64+(1-EXP(-LN(2)/2))/(LN(2)/2)*DB65*DE65*VLOOKUP('Données projet'!$B$13,Paramètres!$A$1:$I$88,3,0)*0.475*44/12</f>
        <v>8.6279353279756948E-5</v>
      </c>
      <c r="DI65" s="22">
        <f t="shared" si="15"/>
        <v>38.313079316300794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projet'!$B$14,Paramètres!$A$1:$I$88,3,0)*VLOOKUP('Données projet'!$B$14,Paramètres!$A$1:$I$88,5,0)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projet'!$B$14,Paramètres!$A$1:$I$88,7,0))</f>
        <v>0</v>
      </c>
      <c r="DY65" s="16">
        <f>IF(ISNA(VLOOKUP(A65,'Données projet'!$A$165:$I$185,6,0)),0%,VLOOKUP(A65,'Données projet'!$A$165:$I$185,6,0)*VLOOKUP('Données projet'!$B$14,Paramètres!$A$1:$I$88,7,0))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projet'!$B$14,Paramètres!$A$1:$I$88,3,0)*0.475*44/12</f>
        <v>#N/A</v>
      </c>
      <c r="EB65" s="21" t="e">
        <f>EXP(-LN(2)/25)*EB64+(1-EXP(-LN(2)/25))/(LN(2)/25)*Calculateur!DW65*Calculateur!DY65*VLOOKUP('Données projet'!$B$14,Paramètres!$A$1:$I$88,3,0)*0.475*44/12</f>
        <v>#N/A</v>
      </c>
      <c r="EC65" s="21" t="e">
        <f>EXP(-LN(2)/2)*EC64+(1-EXP(-LN(2)/2))/(LN(2)/2)*DW65*DZ65*VLOOKUP('Données projet'!$B$14,Paramètres!$A$1:$I$88,3,0)*0.475*44/12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projet'!$B$15,Paramètres!$A$1:$I$88,3,0)*VLOOKUP('Données projet'!$B$15,Paramètres!$A$1:$I$88,5,0)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projet'!$B$15,Paramètres!$A$1:$I$88,7,0))</f>
        <v>0</v>
      </c>
      <c r="ET65" s="16">
        <f>IF(ISNA(VLOOKUP(A65,'Données projet'!$A$191:$I$211,6,0)),0%,VLOOKUP(A65,'Données projet'!$A$191:$I$211,6,0)*VLOOKUP('Données projet'!$B$15,Paramètres!$A$1:$I$88,7,0))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projet'!$B$15,Paramètres!$A$1:$I$88,3,0)*0.475*44/12</f>
        <v>#N/A</v>
      </c>
      <c r="EW65" s="21" t="e">
        <f>EXP(-LN(2)/25)*EW64+(1-EXP(-LN(2)/25))/(LN(2)/25)*Calculateur!ER65*Calculateur!ET65*VLOOKUP('Données projet'!$B$15,Paramètres!$A$1:$I$88,3,0)*0.475*44/12</f>
        <v>#N/A</v>
      </c>
      <c r="EX65" s="21" t="e">
        <f>EXP(-LN(2)/2)*EX64+(1-EXP(-LN(2)/2))/(LN(2)/2)*ER65*EU65*VLOOKUP('Données projet'!$B$15,Paramètres!$A$1:$I$88,3,0)*0.475*44/12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projet'!$B$16,Paramètres!$A$1:$I$88,3,0)*VLOOKUP('Données projet'!$B$16,Paramètres!$A$1:$I$88,5,0)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projet'!$B$16,Paramètres!$A$1:$I$88,7,0))</f>
        <v>0</v>
      </c>
      <c r="FO65" s="16">
        <f>IF(ISNA(VLOOKUP(A65,'Données projet'!$A$217:$I$237,6,0)),0%,VLOOKUP(A65,'Données projet'!$A$217:$I$237,6,0)*VLOOKUP('Données projet'!$B$16,Paramètres!$A$1:$I$88,7,0))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projet'!$B$16,Paramètres!$A$1:$I$88,3,0)*0.475*44/12</f>
        <v>#N/A</v>
      </c>
      <c r="FR65" s="21" t="e">
        <f>EXP(-LN(2)/25)*FR64+(1-EXP(-LN(2)/25))/(LN(2)/25)*Calculateur!FM65*Calculateur!FO65*VLOOKUP('Données projet'!$B$16,Paramètres!$A$1:$I$88,3,0)*0.475*44/12</f>
        <v>#N/A</v>
      </c>
      <c r="FS65" s="21" t="e">
        <f>EXP(-LN(2)/2)*FS64+(1-EXP(-LN(2)/2))/(LN(2)/2)*FM65*FP65*VLOOKUP('Données projet'!$B$16,Paramètres!$A$1:$I$88,3,0)*0.475*44/12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projet'!$B$17,Paramètres!$A$1:$I$88,3,0)*VLOOKUP('Données projet'!$B$17,Paramètres!$A$1:$I$88,5,0)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projet'!$B$17,Paramètres!$A$1:$I$88,7,0))</f>
        <v>0</v>
      </c>
      <c r="GJ65" s="16">
        <f>IF(ISNA(VLOOKUP(A65,'Données projet'!$A$243:$I$263,6,0)),0%,VLOOKUP(A65,'Données projet'!$A$243:$I$263,6,0)*VLOOKUP('Données projet'!$B$17,Paramètres!$A$1:$I$88,7,0))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projet'!$B$17,Paramètres!$A$1:$I$88,3,0)*0.475*44/12</f>
        <v>#N/A</v>
      </c>
      <c r="GM65" s="21" t="e">
        <f>EXP(-LN(2)/25)*GM64+(1-EXP(-LN(2)/25))/(LN(2)/25)*Calculateur!GH65*Calculateur!GJ65*VLOOKUP('Données projet'!$B$17,Paramètres!$A$1:$I$88,3,0)*0.475*44/12</f>
        <v>#N/A</v>
      </c>
      <c r="GN65" s="21" t="e">
        <f>EXP(-LN(2)/2)*GN64+(1-EXP(-LN(2)/2))/(LN(2)/2)*GH65*GK65*VLOOKUP('Données projet'!$B$17,Paramètres!$A$1:$I$88,3,0)*0.475*44/12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projet'!$B$18,Paramètres!$A$1:$I$88,3,0)*VLOOKUP('Données projet'!$B$18,Paramètres!$A$1:$I$88,5,0)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projet'!$B$18,Paramètres!$A$1:$I$88,7,0))</f>
        <v>0</v>
      </c>
      <c r="HE65" s="16">
        <f>IF(ISNA(VLOOKUP(A65,'Données projet'!$A$269:$I$289,6,0)),0%,VLOOKUP(A65,'Données projet'!$A$269:$I$289,6,0)*VLOOKUP('Données projet'!$B$18,Paramètres!$A$1:$I$88,7,0))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projet'!$B$18,Paramètres!$A$1:$I$88,3,0)*0.475*44/12</f>
        <v>#N/A</v>
      </c>
      <c r="HH65" s="21" t="e">
        <f>EXP(-LN(2)/25)*HH64+(1-EXP(-LN(2)/25))/(LN(2)/25)*Calculateur!HC65*Calculateur!HE65*VLOOKUP('Données projet'!$B$18,Paramètres!$A$1:$I$88,3,0)*0.475*44/12</f>
        <v>#N/A</v>
      </c>
      <c r="HI65" s="21" t="e">
        <f>EXP(-LN(2)/2)*HI64+(1-EXP(-LN(2)/2))/(LN(2)/2)*HC65*HF65*VLOOKUP('Données projet'!$B$18,Paramètres!$A$1:$I$88,3,0)*0.475*44/12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projet'!$B$9,Paramètres!$A$1:$I$88,3,0)*VLOOKUP('Données projet'!$B$9,Paramètres!$A$1:$I$88,5,0)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195.73441209602686</v>
      </c>
      <c r="T66" s="59">
        <f t="shared" si="34"/>
        <v>219.19129224309006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projet'!$B$9,Paramètres!$A$1:$I$88,7,0))</f>
        <v>0</v>
      </c>
      <c r="X66" s="16">
        <f>IF(ISNA(VLOOKUP(A66,'Données projet'!$A$35:$I$55,6,0)),0%,VLOOKUP(A66,'Données projet'!$A$35:$I$55,6,0)*VLOOKUP('Données projet'!$B$9,Paramètres!$A$1:$I$88,7,0))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projet'!$B$9,Paramètres!$A$1:$I$88,3,0)*0.475*44/12</f>
        <v>7.934289538022627</v>
      </c>
      <c r="AA66" s="21">
        <f>EXP(-LN(2)/25)*AA65+(1-EXP(-LN(2)/25))/(LN(2)/25)*Calculateur!V66*Calculateur!X66*VLOOKUP('Données projet'!$B$9,Paramètres!$A$1:$I$88,3,0)*0.475*44/12</f>
        <v>5.6706330444679161</v>
      </c>
      <c r="AB66" s="21">
        <f>EXP(-LN(2)/2)*AB65+(1-EXP(-LN(2)/2))/(LN(2)/2)*V66*Y66*VLOOKUP('Données projet'!$B$9,Paramètres!$A$1:$I$88,3,0)*0.475*44/12</f>
        <v>4.2804860741321555E-7</v>
      </c>
      <c r="AC66" s="22">
        <f t="shared" si="3"/>
        <v>13.604923010539151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9.1999999999999993</v>
      </c>
      <c r="AI66" s="13">
        <f>IF('Données projet'!$A$62&gt;35,AI65+AH66-AQ65,IF(A66&lt;'Données projet'!$A$62,$AF$205^A66,IF(A66='Données projet'!$A$62,'Données projet'!$B$62,AI65+AH66-AQ65)))</f>
        <v>357.59999999999974</v>
      </c>
      <c r="AJ66" s="13">
        <f>AI66*VLOOKUP('Données projet'!$B$10,Paramètres!$A$1:$I$88,3,0)*VLOOKUP('Données projet'!$B$10,Paramètres!$A$1:$I$88,5,0)</f>
        <v>213.84479999999988</v>
      </c>
      <c r="AK66" s="13">
        <f t="shared" si="35"/>
        <v>52.774882006161135</v>
      </c>
      <c r="AL66" s="20">
        <f t="shared" si="4"/>
        <v>464.36261282739719</v>
      </c>
      <c r="AM66" s="59">
        <f t="shared" si="5"/>
        <v>757.6959461607305</v>
      </c>
      <c r="AN66" s="59">
        <f ca="1">AVERAGE(OFFSET($AM$3,0,0,'Données projet'!$E$10+1,1))-AVERAGE(OFFSET($H$3,0,0,'Données projet'!$E$10+1,1))</f>
        <v>246.59447135626942</v>
      </c>
      <c r="AO66" s="59">
        <f t="shared" si="36"/>
        <v>262.00382544285367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projet'!$B$10,Paramètres!$A$1:$I$88,7,0))</f>
        <v>0</v>
      </c>
      <c r="AS66" s="16">
        <f>IF(ISNA(VLOOKUP(A66,'Données projet'!$A$61:$I$81,6,0)),0%,VLOOKUP(A66,'Données projet'!$A$61:$I$81,6,0)*VLOOKUP('Données projet'!$B$10,Paramètres!$A$1:$I$88,7,0))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projet'!$B$10,Paramètres!$A$1:$I$88,3,0)*0.475*44/12</f>
        <v>0</v>
      </c>
      <c r="AV66" s="21">
        <f>EXP(-LN(2)/25)*AV65+(1-EXP(-LN(2)/25))/(LN(2)/25)*Calculateur!AQ66*Calculateur!AS66*VLOOKUP('Données projet'!$B$10,Paramètres!$A$1:$I$88,3,0)*0.475*44/12</f>
        <v>5.1465789902987362</v>
      </c>
      <c r="AW66" s="21">
        <f>EXP(-LN(2)/2)*AW65+(1-EXP(-LN(2)/2))/(LN(2)/2)*AQ66*AT66*VLOOKUP('Données projet'!$B$10,Paramètres!$A$1:$I$88,3,0)*0.475*44/12</f>
        <v>2.5603014038075793E-4</v>
      </c>
      <c r="AX66" s="21">
        <f t="shared" si="6"/>
        <v>5.1468350204391173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13.4</v>
      </c>
      <c r="BD66" s="12">
        <f>IF('Données projet'!$A$88&gt;35,BD65+BC66-BL65,IF(A66&lt;'Données projet'!$A$88,$BA$205^A66,IF(A66='Données projet'!$A$88,'Données projet'!$B$88,BD65+BC66-BL65)))</f>
        <v>520.19999999999982</v>
      </c>
      <c r="BE66" s="13">
        <f>BD66*VLOOKUP('Données projet'!$B$11,Paramètres!$A$1:$I$88,3,0)*VLOOKUP('Données projet'!$B$11,Paramètres!$A$1:$I$88,5,0)</f>
        <v>290.79179999999991</v>
      </c>
      <c r="BF66" s="13">
        <f t="shared" si="37"/>
        <v>69.242582588470327</v>
      </c>
      <c r="BG66" s="20">
        <f t="shared" si="7"/>
        <v>627.05988300825231</v>
      </c>
      <c r="BH66" s="59">
        <f t="shared" si="8"/>
        <v>920.39321634158568</v>
      </c>
      <c r="BI66" s="59">
        <f ca="1">AVERAGE(OFFSET($BH$3,0,0,'Données projet'!$E$11+1,1))-AVERAGE(OFFSET($H$3,0,0,'Données projet'!$E$11+1,1))</f>
        <v>355.96253323046608</v>
      </c>
      <c r="BJ66" s="59">
        <f t="shared" si="38"/>
        <v>366.8380442809696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projet'!$B$11,Paramètres!$A$1:$I$88,7,0))</f>
        <v>0</v>
      </c>
      <c r="BN66" s="16">
        <f>IF(ISNA(VLOOKUP(A66,'Données projet'!$A$87:$I$107,6,0)),0%,VLOOKUP(A66,'Données projet'!$A$87:$I$107,6,0)*VLOOKUP('Données projet'!$B$11,Paramètres!$A$1:$I$88,7,0))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projet'!$B$11,Paramètres!$A$1:$I$88,3,0)*0.475*44/12</f>
        <v>0</v>
      </c>
      <c r="BQ66" s="21">
        <f>EXP(-LN(2)/25)*BQ65+(1-EXP(-LN(2)/25))/(LN(2)/25)*Calculateur!BL66*Calculateur!BN66*VLOOKUP('Données projet'!$B$11,Paramètres!$A$1:$I$88,3,0)*0.475*44/12</f>
        <v>9.1120884849503874</v>
      </c>
      <c r="BR66" s="21">
        <f>EXP(-LN(2)/2)*BR65+(1-EXP(-LN(2)/2))/(LN(2)/2)*BL66*BO66*VLOOKUP('Données projet'!$B$11,Paramètres!$A$1:$I$88,3,0)*0.475*44/12</f>
        <v>3.958643150181465E-4</v>
      </c>
      <c r="BS66" s="22">
        <f t="shared" si="9"/>
        <v>9.1124843492654062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4.0999999999999996</v>
      </c>
      <c r="BY66" s="12">
        <f>IF('Données projet'!$A$114&gt;35,BY65+BX66-CG65,IF(A66&lt;'Données projet'!$A$114,$BV$205^A66,IF(A66='Données projet'!$A$114,'Données projet'!$B$114,BY65+BX66-CG65)))</f>
        <v>245.29999999999973</v>
      </c>
      <c r="BZ66" s="13">
        <f>BY66*VLOOKUP('Données projet'!$B$12,Paramètres!$A$1:$I$88,3,0)*VLOOKUP('Données projet'!$B$12,Paramètres!$A$1:$I$88,5,0)</f>
        <v>160.72055999999984</v>
      </c>
      <c r="CA66" s="13">
        <f t="shared" si="39"/>
        <v>41.004997199014433</v>
      </c>
      <c r="CB66" s="20">
        <f t="shared" si="10"/>
        <v>351.33867878828323</v>
      </c>
      <c r="CC66" s="59">
        <f t="shared" si="11"/>
        <v>644.67201212161649</v>
      </c>
      <c r="CD66" s="59">
        <f ca="1">AVERAGE(OFFSET($CC$3,0,0,'Données projet'!$E$12+1,1))-AVERAGE(OFFSET($H$3,0,0,'Données projet'!$E$12+1,1))</f>
        <v>180.90147430936133</v>
      </c>
      <c r="CE66" s="59">
        <f t="shared" si="40"/>
        <v>226.87949199830018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projet'!$B$12,Paramètres!$A$1:$I$88,7,0))</f>
        <v>0</v>
      </c>
      <c r="CI66" s="16">
        <f>IF(ISNA(VLOOKUP(A66,'Données projet'!$A$113:$I$133,6,0)),0%,VLOOKUP(A66,'Données projet'!$A$113:$I$133,6,0)*VLOOKUP('Données projet'!$B$12,Paramètres!$A$1:$I$88,7,0))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projet'!$B$12,Paramètres!$A$1:$I$88,3,0)*0.475*44/12</f>
        <v>0</v>
      </c>
      <c r="CL66" s="21">
        <f>EXP(-LN(2)/25)*CL65+(1-EXP(-LN(2)/25))/(LN(2)/25)*Calculateur!CG66*Calculateur!CI66*VLOOKUP('Données projet'!$B$12,Paramètres!$A$1:$I$88,3,0)*0.475*44/12</f>
        <v>2.7518892266195527</v>
      </c>
      <c r="CM66" s="21">
        <f>EXP(-LN(2)/2)*CM65+(1-EXP(-LN(2)/2))/(LN(2)/2)*CG66*CJ66*VLOOKUP('Données projet'!$B$12,Paramètres!$A$1:$I$88,3,0)*0.475*44/12</f>
        <v>9.5622336734308758E-5</v>
      </c>
      <c r="CN66" s="22">
        <f t="shared" si="12"/>
        <v>2.7519848489562868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5.6843418860808015E-14</v>
      </c>
      <c r="CU66" s="17">
        <f>CT66*VLOOKUP('Données projet'!$B$13,Paramètres!$A$1:$I$88,3,0)*VLOOKUP('Données projet'!$B$13,Paramètres!$A$1:$I$88,5,0)</f>
        <v>2.8908289095852525E-14</v>
      </c>
      <c r="CV66" s="13">
        <f t="shared" si="41"/>
        <v>5.0177780569126974E-13</v>
      </c>
      <c r="CW66" s="20">
        <f t="shared" si="13"/>
        <v>9.2427828175423786E-13</v>
      </c>
      <c r="CX66" s="59">
        <f t="shared" si="14"/>
        <v>293.33333333333422</v>
      </c>
      <c r="CY66" s="59">
        <f ca="1">AVERAGE(OFFSET($CX$3,0,0,'Données projet'!$E$13+1,1))-AVERAGE(OFFSET($H$3,0,0,'Données projet'!$E$13+1,1))</f>
        <v>133.08385802816008</v>
      </c>
      <c r="CZ66" s="59">
        <f t="shared" si="42"/>
        <v>316.59112511251385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projet'!$B$13,Paramètres!$A$1:$I$88,7,0))</f>
        <v>0</v>
      </c>
      <c r="DD66" s="16">
        <f>IF(ISNA(VLOOKUP(A66,'Données projet'!$A$139:$I$159,6,0)),0%,VLOOKUP(A66,'Données projet'!$A$139:$I$159,6,0)*VLOOKUP('Données projet'!$B$13,Paramètres!$A$1:$I$88,7,0))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projet'!$B$13,Paramètres!$A$1:$I$88,3,0)*0.475*44/12</f>
        <v>37.561698612111265</v>
      </c>
      <c r="DG66" s="21">
        <f>EXP(-LN(2)/25)*DG65+(1-EXP(-LN(2)/25))/(LN(2)/25)*Calculateur!DB66*Calculateur!DD66*VLOOKUP('Données projet'!$B$13,Paramètres!$A$1:$I$88,3,0)*0.475*44/12</f>
        <v>0</v>
      </c>
      <c r="DH66" s="21">
        <f>EXP(-LN(2)/2)*DH65+(1-EXP(-LN(2)/2))/(LN(2)/2)*DB66*DE66*VLOOKUP('Données projet'!$B$13,Paramètres!$A$1:$I$88,3,0)*0.475*44/12</f>
        <v>6.1008715780505935E-5</v>
      </c>
      <c r="DI66" s="22">
        <f t="shared" si="15"/>
        <v>37.561759620827047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projet'!$B$14,Paramètres!$A$1:$I$88,3,0)*VLOOKUP('Données projet'!$B$14,Paramètres!$A$1:$I$88,5,0)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projet'!$B$14,Paramètres!$A$1:$I$88,7,0))</f>
        <v>0</v>
      </c>
      <c r="DY66" s="16">
        <f>IF(ISNA(VLOOKUP(A66,'Données projet'!$A$165:$I$185,6,0)),0%,VLOOKUP(A66,'Données projet'!$A$165:$I$185,6,0)*VLOOKUP('Données projet'!$B$14,Paramètres!$A$1:$I$88,7,0))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projet'!$B$14,Paramètres!$A$1:$I$88,3,0)*0.475*44/12</f>
        <v>#N/A</v>
      </c>
      <c r="EB66" s="21" t="e">
        <f>EXP(-LN(2)/25)*EB65+(1-EXP(-LN(2)/25))/(LN(2)/25)*Calculateur!DW66*Calculateur!DY66*VLOOKUP('Données projet'!$B$14,Paramètres!$A$1:$I$88,3,0)*0.475*44/12</f>
        <v>#N/A</v>
      </c>
      <c r="EC66" s="21" t="e">
        <f>EXP(-LN(2)/2)*EC65+(1-EXP(-LN(2)/2))/(LN(2)/2)*DW66*DZ66*VLOOKUP('Données projet'!$B$14,Paramètres!$A$1:$I$88,3,0)*0.475*44/12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projet'!$B$15,Paramètres!$A$1:$I$88,3,0)*VLOOKUP('Données projet'!$B$15,Paramètres!$A$1:$I$88,5,0)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projet'!$B$15,Paramètres!$A$1:$I$88,7,0))</f>
        <v>0</v>
      </c>
      <c r="ET66" s="16">
        <f>IF(ISNA(VLOOKUP(A66,'Données projet'!$A$191:$I$211,6,0)),0%,VLOOKUP(A66,'Données projet'!$A$191:$I$211,6,0)*VLOOKUP('Données projet'!$B$15,Paramètres!$A$1:$I$88,7,0))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projet'!$B$15,Paramètres!$A$1:$I$88,3,0)*0.475*44/12</f>
        <v>#N/A</v>
      </c>
      <c r="EW66" s="21" t="e">
        <f>EXP(-LN(2)/25)*EW65+(1-EXP(-LN(2)/25))/(LN(2)/25)*Calculateur!ER66*Calculateur!ET66*VLOOKUP('Données projet'!$B$15,Paramètres!$A$1:$I$88,3,0)*0.475*44/12</f>
        <v>#N/A</v>
      </c>
      <c r="EX66" s="21" t="e">
        <f>EXP(-LN(2)/2)*EX65+(1-EXP(-LN(2)/2))/(LN(2)/2)*ER66*EU66*VLOOKUP('Données projet'!$B$15,Paramètres!$A$1:$I$88,3,0)*0.475*44/12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projet'!$B$16,Paramètres!$A$1:$I$88,3,0)*VLOOKUP('Données projet'!$B$16,Paramètres!$A$1:$I$88,5,0)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projet'!$B$16,Paramètres!$A$1:$I$88,7,0))</f>
        <v>0</v>
      </c>
      <c r="FO66" s="16">
        <f>IF(ISNA(VLOOKUP(A66,'Données projet'!$A$217:$I$237,6,0)),0%,VLOOKUP(A66,'Données projet'!$A$217:$I$237,6,0)*VLOOKUP('Données projet'!$B$16,Paramètres!$A$1:$I$88,7,0))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projet'!$B$16,Paramètres!$A$1:$I$88,3,0)*0.475*44/12</f>
        <v>#N/A</v>
      </c>
      <c r="FR66" s="21" t="e">
        <f>EXP(-LN(2)/25)*FR65+(1-EXP(-LN(2)/25))/(LN(2)/25)*Calculateur!FM66*Calculateur!FO66*VLOOKUP('Données projet'!$B$16,Paramètres!$A$1:$I$88,3,0)*0.475*44/12</f>
        <v>#N/A</v>
      </c>
      <c r="FS66" s="21" t="e">
        <f>EXP(-LN(2)/2)*FS65+(1-EXP(-LN(2)/2))/(LN(2)/2)*FM66*FP66*VLOOKUP('Données projet'!$B$16,Paramètres!$A$1:$I$88,3,0)*0.475*44/12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projet'!$B$17,Paramètres!$A$1:$I$88,3,0)*VLOOKUP('Données projet'!$B$17,Paramètres!$A$1:$I$88,5,0)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projet'!$B$17,Paramètres!$A$1:$I$88,7,0))</f>
        <v>0</v>
      </c>
      <c r="GJ66" s="16">
        <f>IF(ISNA(VLOOKUP(A66,'Données projet'!$A$243:$I$263,6,0)),0%,VLOOKUP(A66,'Données projet'!$A$243:$I$263,6,0)*VLOOKUP('Données projet'!$B$17,Paramètres!$A$1:$I$88,7,0))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projet'!$B$17,Paramètres!$A$1:$I$88,3,0)*0.475*44/12</f>
        <v>#N/A</v>
      </c>
      <c r="GM66" s="21" t="e">
        <f>EXP(-LN(2)/25)*GM65+(1-EXP(-LN(2)/25))/(LN(2)/25)*Calculateur!GH66*Calculateur!GJ66*VLOOKUP('Données projet'!$B$17,Paramètres!$A$1:$I$88,3,0)*0.475*44/12</f>
        <v>#N/A</v>
      </c>
      <c r="GN66" s="21" t="e">
        <f>EXP(-LN(2)/2)*GN65+(1-EXP(-LN(2)/2))/(LN(2)/2)*GH66*GK66*VLOOKUP('Données projet'!$B$17,Paramètres!$A$1:$I$88,3,0)*0.475*44/12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projet'!$B$18,Paramètres!$A$1:$I$88,3,0)*VLOOKUP('Données projet'!$B$18,Paramètres!$A$1:$I$88,5,0)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projet'!$B$18,Paramètres!$A$1:$I$88,7,0))</f>
        <v>0</v>
      </c>
      <c r="HE66" s="16">
        <f>IF(ISNA(VLOOKUP(A66,'Données projet'!$A$269:$I$289,6,0)),0%,VLOOKUP(A66,'Données projet'!$A$269:$I$289,6,0)*VLOOKUP('Données projet'!$B$18,Paramètres!$A$1:$I$88,7,0))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projet'!$B$18,Paramètres!$A$1:$I$88,3,0)*0.475*44/12</f>
        <v>#N/A</v>
      </c>
      <c r="HH66" s="21" t="e">
        <f>EXP(-LN(2)/25)*HH65+(1-EXP(-LN(2)/25))/(LN(2)/25)*Calculateur!HC66*Calculateur!HE66*VLOOKUP('Données projet'!$B$18,Paramètres!$A$1:$I$88,3,0)*0.475*44/12</f>
        <v>#N/A</v>
      </c>
      <c r="HI66" s="21" t="e">
        <f>EXP(-LN(2)/2)*HI65+(1-EXP(-LN(2)/2))/(LN(2)/2)*HC66*HF66*VLOOKUP('Données projet'!$B$18,Paramètres!$A$1:$I$88,3,0)*0.475*44/12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projet'!$B$9,Paramètres!$A$1:$I$88,3,0)*VLOOKUP('Données projet'!$B$9,Paramètres!$A$1:$I$88,5,0)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195.73441209602686</v>
      </c>
      <c r="T67" s="59">
        <f t="shared" si="34"/>
        <v>219.19129224309006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projet'!$B$9,Paramètres!$A$1:$I$88,7,0))</f>
        <v>0</v>
      </c>
      <c r="X67" s="16">
        <f>IF(ISNA(VLOOKUP(A67,'Données projet'!$A$35:$I$55,6,0)),0%,VLOOKUP(A67,'Données projet'!$A$35:$I$55,6,0)*VLOOKUP('Données projet'!$B$9,Paramètres!$A$1:$I$88,7,0))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projet'!$B$9,Paramètres!$A$1:$I$88,3,0)*0.475*44/12</f>
        <v>7.7787029596207669</v>
      </c>
      <c r="AA67" s="21">
        <f>EXP(-LN(2)/25)*AA66+(1-EXP(-LN(2)/25))/(LN(2)/25)*Calculateur!V67*Calculateur!X67*VLOOKUP('Données projet'!$B$9,Paramètres!$A$1:$I$88,3,0)*0.475*44/12</f>
        <v>5.5155692856613099</v>
      </c>
      <c r="AB67" s="21">
        <f>EXP(-LN(2)/2)*AB66+(1-EXP(-LN(2)/2))/(LN(2)/2)*V67*Y67*VLOOKUP('Données projet'!$B$9,Paramètres!$A$1:$I$88,3,0)*0.475*44/12</f>
        <v>3.0267607297934299E-7</v>
      </c>
      <c r="AC67" s="22">
        <f t="shared" si="3"/>
        <v>13.294272547958149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9.1999999999999993</v>
      </c>
      <c r="AI67" s="13">
        <f>IF('Données projet'!$A$62&gt;35,AI66+AH67-AQ66,IF(A67&lt;'Données projet'!$A$62,$AF$205^A67,IF(A67='Données projet'!$A$62,'Données projet'!$B$62,AI66+AH67-AQ66)))</f>
        <v>366.79999999999973</v>
      </c>
      <c r="AJ67" s="13">
        <f>AI67*VLOOKUP('Données projet'!$B$10,Paramètres!$A$1:$I$88,3,0)*VLOOKUP('Données projet'!$B$10,Paramètres!$A$1:$I$88,5,0)</f>
        <v>219.34639999999987</v>
      </c>
      <c r="AK67" s="13">
        <f t="shared" si="35"/>
        <v>53.972804400117923</v>
      </c>
      <c r="AL67" s="20">
        <f t="shared" si="4"/>
        <v>476.03094766353843</v>
      </c>
      <c r="AM67" s="59">
        <f t="shared" si="5"/>
        <v>769.36428099687168</v>
      </c>
      <c r="AN67" s="59">
        <f ca="1">AVERAGE(OFFSET($AM$3,0,0,'Données projet'!$E$10+1,1))-AVERAGE(OFFSET($H$3,0,0,'Données projet'!$E$10+1,1))</f>
        <v>246.59447135626942</v>
      </c>
      <c r="AO67" s="59">
        <f t="shared" si="36"/>
        <v>262.00382544285367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projet'!$B$10,Paramètres!$A$1:$I$88,7,0))</f>
        <v>0</v>
      </c>
      <c r="AS67" s="16">
        <f>IF(ISNA(VLOOKUP(A67,'Données projet'!$A$61:$I$81,6,0)),0%,VLOOKUP(A67,'Données projet'!$A$61:$I$81,6,0)*VLOOKUP('Données projet'!$B$10,Paramètres!$A$1:$I$88,7,0))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projet'!$B$10,Paramètres!$A$1:$I$88,3,0)*0.475*44/12</f>
        <v>0</v>
      </c>
      <c r="AV67" s="21">
        <f>EXP(-LN(2)/25)*AV66+(1-EXP(-LN(2)/25))/(LN(2)/25)*Calculateur!AQ67*Calculateur!AS67*VLOOKUP('Données projet'!$B$10,Paramètres!$A$1:$I$88,3,0)*0.475*44/12</f>
        <v>5.0058455171621912</v>
      </c>
      <c r="AW67" s="21">
        <f>EXP(-LN(2)/2)*AW66+(1-EXP(-LN(2)/2))/(LN(2)/2)*AQ67*AT67*VLOOKUP('Données projet'!$B$10,Paramètres!$A$1:$I$88,3,0)*0.475*44/12</f>
        <v>1.8104064845137765E-4</v>
      </c>
      <c r="AX67" s="21">
        <f t="shared" si="6"/>
        <v>5.0060265578106424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13.4</v>
      </c>
      <c r="BD67" s="12">
        <f>IF('Données projet'!$A$88&gt;35,BD66+BC67-BL66,IF(A67&lt;'Données projet'!$A$88,$BA$205^A67,IF(A67='Données projet'!$A$88,'Données projet'!$B$88,BD66+BC67-BL66)))</f>
        <v>533.5999999999998</v>
      </c>
      <c r="BE67" s="13">
        <f>BD67*VLOOKUP('Données projet'!$B$11,Paramètres!$A$1:$I$88,3,0)*VLOOKUP('Données projet'!$B$11,Paramètres!$A$1:$I$88,5,0)</f>
        <v>298.28239999999988</v>
      </c>
      <c r="BF67" s="13">
        <f t="shared" si="37"/>
        <v>70.816268303381889</v>
      </c>
      <c r="BG67" s="20">
        <f t="shared" si="7"/>
        <v>642.84684729505659</v>
      </c>
      <c r="BH67" s="59">
        <f t="shared" si="8"/>
        <v>936.18018062838996</v>
      </c>
      <c r="BI67" s="59">
        <f ca="1">AVERAGE(OFFSET($BH$3,0,0,'Données projet'!$E$11+1,1))-AVERAGE(OFFSET($H$3,0,0,'Données projet'!$E$11+1,1))</f>
        <v>355.96253323046608</v>
      </c>
      <c r="BJ67" s="59">
        <f t="shared" si="38"/>
        <v>366.8380442809696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projet'!$B$11,Paramètres!$A$1:$I$88,7,0))</f>
        <v>0</v>
      </c>
      <c r="BN67" s="16">
        <f>IF(ISNA(VLOOKUP(A67,'Données projet'!$A$87:$I$107,6,0)),0%,VLOOKUP(A67,'Données projet'!$A$87:$I$107,6,0)*VLOOKUP('Données projet'!$B$11,Paramètres!$A$1:$I$88,7,0))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projet'!$B$11,Paramètres!$A$1:$I$88,3,0)*0.475*44/12</f>
        <v>0</v>
      </c>
      <c r="BQ67" s="21">
        <f>EXP(-LN(2)/25)*BQ66+(1-EXP(-LN(2)/25))/(LN(2)/25)*Calculateur!BL67*Calculateur!BN67*VLOOKUP('Données projet'!$B$11,Paramètres!$A$1:$I$88,3,0)*0.475*44/12</f>
        <v>8.8629179461455116</v>
      </c>
      <c r="BR67" s="21">
        <f>EXP(-LN(2)/2)*BR66+(1-EXP(-LN(2)/2))/(LN(2)/2)*BL67*BO67*VLOOKUP('Données projet'!$B$11,Paramètres!$A$1:$I$88,3,0)*0.475*44/12</f>
        <v>2.7991834157909903E-4</v>
      </c>
      <c r="BS67" s="22">
        <f t="shared" si="9"/>
        <v>8.8631978644870912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4.0999999999999996</v>
      </c>
      <c r="BY67" s="12">
        <f>IF('Données projet'!$A$114&gt;35,BY66+BX67-CG66,IF(A67&lt;'Données projet'!$A$114,$BV$205^A67,IF(A67='Données projet'!$A$114,'Données projet'!$B$114,BY66+BX67-CG66)))</f>
        <v>249.39999999999972</v>
      </c>
      <c r="BZ67" s="13">
        <f>BY67*VLOOKUP('Données projet'!$B$12,Paramètres!$A$1:$I$88,3,0)*VLOOKUP('Données projet'!$B$12,Paramètres!$A$1:$I$88,5,0)</f>
        <v>163.4068799999998</v>
      </c>
      <c r="CA67" s="13">
        <f t="shared" si="39"/>
        <v>41.610001881769797</v>
      </c>
      <c r="CB67" s="20">
        <f t="shared" si="10"/>
        <v>357.07106927741535</v>
      </c>
      <c r="CC67" s="59">
        <f t="shared" si="11"/>
        <v>650.40440261074866</v>
      </c>
      <c r="CD67" s="59">
        <f ca="1">AVERAGE(OFFSET($CC$3,0,0,'Données projet'!$E$12+1,1))-AVERAGE(OFFSET($H$3,0,0,'Données projet'!$E$12+1,1))</f>
        <v>180.90147430936133</v>
      </c>
      <c r="CE67" s="59">
        <f t="shared" si="40"/>
        <v>226.87949199830018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projet'!$B$12,Paramètres!$A$1:$I$88,7,0))</f>
        <v>0</v>
      </c>
      <c r="CI67" s="16">
        <f>IF(ISNA(VLOOKUP(A67,'Données projet'!$A$113:$I$133,6,0)),0%,VLOOKUP(A67,'Données projet'!$A$113:$I$133,6,0)*VLOOKUP('Données projet'!$B$12,Paramètres!$A$1:$I$88,7,0))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projet'!$B$12,Paramètres!$A$1:$I$88,3,0)*0.475*44/12</f>
        <v>0</v>
      </c>
      <c r="CL67" s="21">
        <f>EXP(-LN(2)/25)*CL66+(1-EXP(-LN(2)/25))/(LN(2)/25)*Calculateur!CG67*Calculateur!CI67*VLOOKUP('Données projet'!$B$12,Paramètres!$A$1:$I$88,3,0)*0.475*44/12</f>
        <v>2.6766386710020762</v>
      </c>
      <c r="CM67" s="21">
        <f>EXP(-LN(2)/2)*CM66+(1-EXP(-LN(2)/2))/(LN(2)/2)*CG67*CJ67*VLOOKUP('Données projet'!$B$12,Paramètres!$A$1:$I$88,3,0)*0.475*44/12</f>
        <v>6.7615202737733227E-5</v>
      </c>
      <c r="CN67" s="22">
        <f t="shared" si="12"/>
        <v>2.6767062862048139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5.6843418860808015E-14</v>
      </c>
      <c r="CU67" s="17">
        <f>CT67*VLOOKUP('Données projet'!$B$13,Paramètres!$A$1:$I$88,3,0)*VLOOKUP('Données projet'!$B$13,Paramètres!$A$1:$I$88,5,0)</f>
        <v>2.8908289095852525E-14</v>
      </c>
      <c r="CV67" s="13">
        <f t="shared" si="41"/>
        <v>5.0177780569126974E-13</v>
      </c>
      <c r="CW67" s="20">
        <f t="shared" si="13"/>
        <v>9.2427828175423786E-13</v>
      </c>
      <c r="CX67" s="59">
        <f t="shared" si="14"/>
        <v>293.33333333333422</v>
      </c>
      <c r="CY67" s="59">
        <f ca="1">AVERAGE(OFFSET($CX$3,0,0,'Données projet'!$E$13+1,1))-AVERAGE(OFFSET($H$3,0,0,'Données projet'!$E$13+1,1))</f>
        <v>133.08385802816008</v>
      </c>
      <c r="CZ67" s="59">
        <f t="shared" si="42"/>
        <v>316.59112511251385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projet'!$B$13,Paramètres!$A$1:$I$88,7,0))</f>
        <v>0</v>
      </c>
      <c r="DD67" s="16">
        <f>IF(ISNA(VLOOKUP(A67,'Données projet'!$A$139:$I$159,6,0)),0%,VLOOKUP(A67,'Données projet'!$A$139:$I$159,6,0)*VLOOKUP('Données projet'!$B$13,Paramètres!$A$1:$I$88,7,0))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projet'!$B$13,Paramètres!$A$1:$I$88,3,0)*0.475*44/12</f>
        <v>36.825136612701705</v>
      </c>
      <c r="DG67" s="21">
        <f>EXP(-LN(2)/25)*DG66+(1-EXP(-LN(2)/25))/(LN(2)/25)*Calculateur!DB67*Calculateur!DD67*VLOOKUP('Données projet'!$B$13,Paramètres!$A$1:$I$88,3,0)*0.475*44/12</f>
        <v>0</v>
      </c>
      <c r="DH67" s="21">
        <f>EXP(-LN(2)/2)*DH66+(1-EXP(-LN(2)/2))/(LN(2)/2)*DB67*DE67*VLOOKUP('Données projet'!$B$13,Paramètres!$A$1:$I$88,3,0)*0.475*44/12</f>
        <v>4.3139676639878481E-5</v>
      </c>
      <c r="DI67" s="22">
        <f t="shared" si="15"/>
        <v>36.825179752378347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projet'!$B$14,Paramètres!$A$1:$I$88,3,0)*VLOOKUP('Données projet'!$B$14,Paramètres!$A$1:$I$88,5,0)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projet'!$B$14,Paramètres!$A$1:$I$88,7,0))</f>
        <v>0</v>
      </c>
      <c r="DY67" s="16">
        <f>IF(ISNA(VLOOKUP(A67,'Données projet'!$A$165:$I$185,6,0)),0%,VLOOKUP(A67,'Données projet'!$A$165:$I$185,6,0)*VLOOKUP('Données projet'!$B$14,Paramètres!$A$1:$I$88,7,0))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projet'!$B$14,Paramètres!$A$1:$I$88,3,0)*0.475*44/12</f>
        <v>#N/A</v>
      </c>
      <c r="EB67" s="21" t="e">
        <f>EXP(-LN(2)/25)*EB66+(1-EXP(-LN(2)/25))/(LN(2)/25)*Calculateur!DW67*Calculateur!DY67*VLOOKUP('Données projet'!$B$14,Paramètres!$A$1:$I$88,3,0)*0.475*44/12</f>
        <v>#N/A</v>
      </c>
      <c r="EC67" s="21" t="e">
        <f>EXP(-LN(2)/2)*EC66+(1-EXP(-LN(2)/2))/(LN(2)/2)*DW67*DZ67*VLOOKUP('Données projet'!$B$14,Paramètres!$A$1:$I$88,3,0)*0.475*44/12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projet'!$B$15,Paramètres!$A$1:$I$88,3,0)*VLOOKUP('Données projet'!$B$15,Paramètres!$A$1:$I$88,5,0)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projet'!$B$15,Paramètres!$A$1:$I$88,7,0))</f>
        <v>0</v>
      </c>
      <c r="ET67" s="16">
        <f>IF(ISNA(VLOOKUP(A67,'Données projet'!$A$191:$I$211,6,0)),0%,VLOOKUP(A67,'Données projet'!$A$191:$I$211,6,0)*VLOOKUP('Données projet'!$B$15,Paramètres!$A$1:$I$88,7,0))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projet'!$B$15,Paramètres!$A$1:$I$88,3,0)*0.475*44/12</f>
        <v>#N/A</v>
      </c>
      <c r="EW67" s="21" t="e">
        <f>EXP(-LN(2)/25)*EW66+(1-EXP(-LN(2)/25))/(LN(2)/25)*Calculateur!ER67*Calculateur!ET67*VLOOKUP('Données projet'!$B$15,Paramètres!$A$1:$I$88,3,0)*0.475*44/12</f>
        <v>#N/A</v>
      </c>
      <c r="EX67" s="21" t="e">
        <f>EXP(-LN(2)/2)*EX66+(1-EXP(-LN(2)/2))/(LN(2)/2)*ER67*EU67*VLOOKUP('Données projet'!$B$15,Paramètres!$A$1:$I$88,3,0)*0.475*44/12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projet'!$B$16,Paramètres!$A$1:$I$88,3,0)*VLOOKUP('Données projet'!$B$16,Paramètres!$A$1:$I$88,5,0)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projet'!$B$16,Paramètres!$A$1:$I$88,7,0))</f>
        <v>0</v>
      </c>
      <c r="FO67" s="16">
        <f>IF(ISNA(VLOOKUP(A67,'Données projet'!$A$217:$I$237,6,0)),0%,VLOOKUP(A67,'Données projet'!$A$217:$I$237,6,0)*VLOOKUP('Données projet'!$B$16,Paramètres!$A$1:$I$88,7,0))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projet'!$B$16,Paramètres!$A$1:$I$88,3,0)*0.475*44/12</f>
        <v>#N/A</v>
      </c>
      <c r="FR67" s="21" t="e">
        <f>EXP(-LN(2)/25)*FR66+(1-EXP(-LN(2)/25))/(LN(2)/25)*Calculateur!FM67*Calculateur!FO67*VLOOKUP('Données projet'!$B$16,Paramètres!$A$1:$I$88,3,0)*0.475*44/12</f>
        <v>#N/A</v>
      </c>
      <c r="FS67" s="21" t="e">
        <f>EXP(-LN(2)/2)*FS66+(1-EXP(-LN(2)/2))/(LN(2)/2)*FM67*FP67*VLOOKUP('Données projet'!$B$16,Paramètres!$A$1:$I$88,3,0)*0.475*44/12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projet'!$B$17,Paramètres!$A$1:$I$88,3,0)*VLOOKUP('Données projet'!$B$17,Paramètres!$A$1:$I$88,5,0)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projet'!$B$17,Paramètres!$A$1:$I$88,7,0))</f>
        <v>0</v>
      </c>
      <c r="GJ67" s="16">
        <f>IF(ISNA(VLOOKUP(A67,'Données projet'!$A$243:$I$263,6,0)),0%,VLOOKUP(A67,'Données projet'!$A$243:$I$263,6,0)*VLOOKUP('Données projet'!$B$17,Paramètres!$A$1:$I$88,7,0))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projet'!$B$17,Paramètres!$A$1:$I$88,3,0)*0.475*44/12</f>
        <v>#N/A</v>
      </c>
      <c r="GM67" s="21" t="e">
        <f>EXP(-LN(2)/25)*GM66+(1-EXP(-LN(2)/25))/(LN(2)/25)*Calculateur!GH67*Calculateur!GJ67*VLOOKUP('Données projet'!$B$17,Paramètres!$A$1:$I$88,3,0)*0.475*44/12</f>
        <v>#N/A</v>
      </c>
      <c r="GN67" s="21" t="e">
        <f>EXP(-LN(2)/2)*GN66+(1-EXP(-LN(2)/2))/(LN(2)/2)*GH67*GK67*VLOOKUP('Données projet'!$B$17,Paramètres!$A$1:$I$88,3,0)*0.475*44/12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projet'!$B$18,Paramètres!$A$1:$I$88,3,0)*VLOOKUP('Données projet'!$B$18,Paramètres!$A$1:$I$88,5,0)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projet'!$B$18,Paramètres!$A$1:$I$88,7,0))</f>
        <v>0</v>
      </c>
      <c r="HE67" s="16">
        <f>IF(ISNA(VLOOKUP(A67,'Données projet'!$A$269:$I$289,6,0)),0%,VLOOKUP(A67,'Données projet'!$A$269:$I$289,6,0)*VLOOKUP('Données projet'!$B$18,Paramètres!$A$1:$I$88,7,0))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projet'!$B$18,Paramètres!$A$1:$I$88,3,0)*0.475*44/12</f>
        <v>#N/A</v>
      </c>
      <c r="HH67" s="21" t="e">
        <f>EXP(-LN(2)/25)*HH66+(1-EXP(-LN(2)/25))/(LN(2)/25)*Calculateur!HC67*Calculateur!HE67*VLOOKUP('Données projet'!$B$18,Paramètres!$A$1:$I$88,3,0)*0.475*44/12</f>
        <v>#N/A</v>
      </c>
      <c r="HI67" s="21" t="e">
        <f>EXP(-LN(2)/2)*HI66+(1-EXP(-LN(2)/2))/(LN(2)/2)*HC67*HF67*VLOOKUP('Données projet'!$B$18,Paramètres!$A$1:$I$88,3,0)*0.475*44/12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projet'!$B$9,Paramètres!$A$1:$I$88,3,0)*VLOOKUP('Données projet'!$B$9,Paramètres!$A$1:$I$88,5,0)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195.73441209602686</v>
      </c>
      <c r="T68" s="59">
        <f t="shared" si="34"/>
        <v>219.19129224309006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projet'!$B$9,Paramètres!$A$1:$I$88,7,0))</f>
        <v>0</v>
      </c>
      <c r="X68" s="16">
        <f>IF(ISNA(VLOOKUP(A68,'Données projet'!$A$35:$I$55,6,0)),0%,VLOOKUP(A68,'Données projet'!$A$35:$I$55,6,0)*VLOOKUP('Données projet'!$B$9,Paramètres!$A$1:$I$88,7,0))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projet'!$B$9,Paramètres!$A$1:$I$88,3,0)*0.475*44/12</f>
        <v>7.6261673391229241</v>
      </c>
      <c r="AA68" s="21">
        <f>EXP(-LN(2)/25)*AA67+(1-EXP(-LN(2)/25))/(LN(2)/25)*Calculateur!V68*Calculateur!X68*VLOOKUP('Données projet'!$B$9,Paramètres!$A$1:$I$88,3,0)*0.475*44/12</f>
        <v>5.3647457534937191</v>
      </c>
      <c r="AB68" s="21">
        <f>EXP(-LN(2)/2)*AB67+(1-EXP(-LN(2)/2))/(LN(2)/2)*V68*Y68*VLOOKUP('Données projet'!$B$9,Paramètres!$A$1:$I$88,3,0)*0.475*44/12</f>
        <v>2.1402430370660777E-7</v>
      </c>
      <c r="AC68" s="22">
        <f t="shared" ref="AC68:AC131" si="57">SUM(Z68:AB68)</f>
        <v>12.990913306640948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9.1999999999999993</v>
      </c>
      <c r="AI68" s="13">
        <f>IF('Données projet'!$A$62&gt;35,AI67+AH68-AQ67,IF(A68&lt;'Données projet'!$A$62,$AF$205^A68,IF(A68='Données projet'!$A$62,'Données projet'!$B$62,AI67+AH68-AQ67)))</f>
        <v>375.99999999999972</v>
      </c>
      <c r="AJ68" s="13">
        <f>AI68*VLOOKUP('Données projet'!$B$10,Paramètres!$A$1:$I$88,3,0)*VLOOKUP('Données projet'!$B$10,Paramètres!$A$1:$I$88,5,0)</f>
        <v>224.84799999999984</v>
      </c>
      <c r="AK68" s="13">
        <f t="shared" si="35"/>
        <v>55.167234148809698</v>
      </c>
      <c r="AL68" s="20">
        <f t="shared" ref="AL68:AL131" si="58">(AJ68+AK68)*0.475*44/12</f>
        <v>487.69319947584319</v>
      </c>
      <c r="AM68" s="59">
        <f t="shared" ref="AM68:AM131" si="59">AL68+(AD68+AE68)*44/12</f>
        <v>781.0265328091765</v>
      </c>
      <c r="AN68" s="59">
        <f ca="1">AVERAGE(OFFSET($AM$3,0,0,'Données projet'!$E$10+1,1))-AVERAGE(OFFSET($H$3,0,0,'Données projet'!$E$10+1,1))</f>
        <v>246.59447135626942</v>
      </c>
      <c r="AO68" s="59">
        <f t="shared" si="36"/>
        <v>262.00382544285367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projet'!$B$10,Paramètres!$A$1:$I$88,7,0))</f>
        <v>0</v>
      </c>
      <c r="AS68" s="16">
        <f>IF(ISNA(VLOOKUP(A68,'Données projet'!$A$61:$I$81,6,0)),0%,VLOOKUP(A68,'Données projet'!$A$61:$I$81,6,0)*VLOOKUP('Données projet'!$B$10,Paramètres!$A$1:$I$88,7,0))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projet'!$B$10,Paramètres!$A$1:$I$88,3,0)*0.475*44/12</f>
        <v>0</v>
      </c>
      <c r="AV68" s="21">
        <f>EXP(-LN(2)/25)*AV67+(1-EXP(-LN(2)/25))/(LN(2)/25)*Calculateur!AQ68*Calculateur!AS68*VLOOKUP('Données projet'!$B$10,Paramètres!$A$1:$I$88,3,0)*0.475*44/12</f>
        <v>4.868960408249416</v>
      </c>
      <c r="AW68" s="21">
        <f>EXP(-LN(2)/2)*AW67+(1-EXP(-LN(2)/2))/(LN(2)/2)*AQ68*AT68*VLOOKUP('Données projet'!$B$10,Paramètres!$A$1:$I$88,3,0)*0.475*44/12</f>
        <v>1.2801507019037897E-4</v>
      </c>
      <c r="AX68" s="21">
        <f t="shared" ref="AX68:AX131" si="60">SUM(AU68:AW68)</f>
        <v>4.8690884233196066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13.4</v>
      </c>
      <c r="BD68" s="12">
        <f>IF('Données projet'!$A$88&gt;35,BD67+BC68-BL67,IF(A68&lt;'Données projet'!$A$88,$BA$205^A68,IF(A68='Données projet'!$A$88,'Données projet'!$B$88,BD67+BC68-BL67)))</f>
        <v>546.99999999999977</v>
      </c>
      <c r="BE68" s="13">
        <f>BD68*VLOOKUP('Données projet'!$B$11,Paramètres!$A$1:$I$88,3,0)*VLOOKUP('Données projet'!$B$11,Paramètres!$A$1:$I$88,5,0)</f>
        <v>305.77299999999985</v>
      </c>
      <c r="BF68" s="13">
        <f t="shared" si="37"/>
        <v>72.385360202068057</v>
      </c>
      <c r="BG68" s="20">
        <f t="shared" ref="BG68:BG131" si="61">(BE68+BF68)*0.475*44/12</f>
        <v>658.62581068526822</v>
      </c>
      <c r="BH68" s="59">
        <f t="shared" ref="BH68:BH131" si="62">BG68+(AY68+AZ68)*44/12</f>
        <v>951.95914401860159</v>
      </c>
      <c r="BI68" s="59">
        <f ca="1">AVERAGE(OFFSET($BH$3,0,0,'Données projet'!$E$11+1,1))-AVERAGE(OFFSET($H$3,0,0,'Données projet'!$E$11+1,1))</f>
        <v>355.96253323046608</v>
      </c>
      <c r="BJ68" s="59">
        <f t="shared" si="38"/>
        <v>366.8380442809696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projet'!$B$11,Paramètres!$A$1:$I$88,7,0))</f>
        <v>0</v>
      </c>
      <c r="BN68" s="16">
        <f>IF(ISNA(VLOOKUP(A68,'Données projet'!$A$87:$I$107,6,0)),0%,VLOOKUP(A68,'Données projet'!$A$87:$I$107,6,0)*VLOOKUP('Données projet'!$B$11,Paramètres!$A$1:$I$88,7,0))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projet'!$B$11,Paramètres!$A$1:$I$88,3,0)*0.475*44/12</f>
        <v>0</v>
      </c>
      <c r="BQ68" s="21">
        <f>EXP(-LN(2)/25)*BQ67+(1-EXP(-LN(2)/25))/(LN(2)/25)*Calculateur!BL68*Calculateur!BN68*VLOOKUP('Données projet'!$B$11,Paramètres!$A$1:$I$88,3,0)*0.475*44/12</f>
        <v>8.6205609888275649</v>
      </c>
      <c r="BR68" s="21">
        <f>EXP(-LN(2)/2)*BR67+(1-EXP(-LN(2)/2))/(LN(2)/2)*BL68*BO68*VLOOKUP('Données projet'!$B$11,Paramètres!$A$1:$I$88,3,0)*0.475*44/12</f>
        <v>1.9793215750907325E-4</v>
      </c>
      <c r="BS68" s="22">
        <f t="shared" ref="BS68:BS131" si="63">SUM(BP68:BR68)</f>
        <v>8.6207589209850735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4.0999999999999996</v>
      </c>
      <c r="BY68" s="12">
        <f>IF('Données projet'!$A$114&gt;35,BY67+BX68-CG67,IF(A68&lt;'Données projet'!$A$114,$BV$205^A68,IF(A68='Données projet'!$A$114,'Données projet'!$B$114,BY67+BX68-CG67)))</f>
        <v>253.49999999999972</v>
      </c>
      <c r="BZ68" s="13">
        <f>BY68*VLOOKUP('Données projet'!$B$12,Paramètres!$A$1:$I$88,3,0)*VLOOKUP('Données projet'!$B$12,Paramètres!$A$1:$I$88,5,0)</f>
        <v>166.0931999999998</v>
      </c>
      <c r="CA68" s="13">
        <f t="shared" si="39"/>
        <v>42.213849908165869</v>
      </c>
      <c r="CB68" s="20">
        <f t="shared" ref="CB68:CB131" si="64">(BZ68+CA68)*0.475*44/12</f>
        <v>362.80144525672182</v>
      </c>
      <c r="CC68" s="59">
        <f t="shared" ref="CC68:CC131" si="65">CB68+(BT68+BU68)*44/12</f>
        <v>656.13477859005513</v>
      </c>
      <c r="CD68" s="59">
        <f ca="1">AVERAGE(OFFSET($CC$3,0,0,'Données projet'!$E$12+1,1))-AVERAGE(OFFSET($H$3,0,0,'Données projet'!$E$12+1,1))</f>
        <v>180.90147430936133</v>
      </c>
      <c r="CE68" s="59">
        <f t="shared" si="40"/>
        <v>226.87949199830018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projet'!$B$12,Paramètres!$A$1:$I$88,7,0))</f>
        <v>0</v>
      </c>
      <c r="CI68" s="16">
        <f>IF(ISNA(VLOOKUP(A68,'Données projet'!$A$113:$I$133,6,0)),0%,VLOOKUP(A68,'Données projet'!$A$113:$I$133,6,0)*VLOOKUP('Données projet'!$B$12,Paramètres!$A$1:$I$88,7,0))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projet'!$B$12,Paramètres!$A$1:$I$88,3,0)*0.475*44/12</f>
        <v>0</v>
      </c>
      <c r="CL68" s="21">
        <f>EXP(-LN(2)/25)*CL67+(1-EXP(-LN(2)/25))/(LN(2)/25)*Calculateur!CG68*Calculateur!CI68*VLOOKUP('Données projet'!$B$12,Paramètres!$A$1:$I$88,3,0)*0.475*44/12</f>
        <v>2.6034458457852141</v>
      </c>
      <c r="CM68" s="21">
        <f>EXP(-LN(2)/2)*CM67+(1-EXP(-LN(2)/2))/(LN(2)/2)*CG68*CJ68*VLOOKUP('Données projet'!$B$12,Paramètres!$A$1:$I$88,3,0)*0.475*44/12</f>
        <v>4.7811168367154379E-5</v>
      </c>
      <c r="CN68" s="22">
        <f t="shared" ref="CN68:CN131" si="66">SUM(CK68:CM68)</f>
        <v>2.6034936569535811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5.6843418860808015E-14</v>
      </c>
      <c r="CU68" s="17">
        <f>CT68*VLOOKUP('Données projet'!$B$13,Paramètres!$A$1:$I$88,3,0)*VLOOKUP('Données projet'!$B$13,Paramètres!$A$1:$I$88,5,0)</f>
        <v>2.8908289095852525E-14</v>
      </c>
      <c r="CV68" s="13">
        <f t="shared" si="41"/>
        <v>5.0177780569126974E-13</v>
      </c>
      <c r="CW68" s="20">
        <f t="shared" ref="CW68:CW131" si="67">(CU68+CV68)*0.475*44/12</f>
        <v>9.2427828175423786E-13</v>
      </c>
      <c r="CX68" s="59">
        <f t="shared" ref="CX68:CX131" si="68">CW68+(CO68+CP68)*44/12</f>
        <v>293.33333333333422</v>
      </c>
      <c r="CY68" s="59">
        <f ca="1">AVERAGE(OFFSET($CX$3,0,0,'Données projet'!$E$13+1,1))-AVERAGE(OFFSET($H$3,0,0,'Données projet'!$E$13+1,1))</f>
        <v>133.08385802816008</v>
      </c>
      <c r="CZ68" s="59">
        <f t="shared" si="42"/>
        <v>316.59112511251385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projet'!$B$13,Paramètres!$A$1:$I$88,7,0))</f>
        <v>0</v>
      </c>
      <c r="DD68" s="16">
        <f>IF(ISNA(VLOOKUP(A68,'Données projet'!$A$139:$I$159,6,0)),0%,VLOOKUP(A68,'Données projet'!$A$139:$I$159,6,0)*VLOOKUP('Données projet'!$B$13,Paramètres!$A$1:$I$88,7,0))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projet'!$B$13,Paramètres!$A$1:$I$88,3,0)*0.475*44/12</f>
        <v>36.10301814484211</v>
      </c>
      <c r="DG68" s="21">
        <f>EXP(-LN(2)/25)*DG67+(1-EXP(-LN(2)/25))/(LN(2)/25)*Calculateur!DB68*Calculateur!DD68*VLOOKUP('Données projet'!$B$13,Paramètres!$A$1:$I$88,3,0)*0.475*44/12</f>
        <v>0</v>
      </c>
      <c r="DH68" s="21">
        <f>EXP(-LN(2)/2)*DH67+(1-EXP(-LN(2)/2))/(LN(2)/2)*DB68*DE68*VLOOKUP('Données projet'!$B$13,Paramètres!$A$1:$I$88,3,0)*0.475*44/12</f>
        <v>3.0504357890252971E-5</v>
      </c>
      <c r="DI68" s="22">
        <f t="shared" ref="DI68:DI131" si="69">SUM(DF68:DH68)</f>
        <v>36.103048649199998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projet'!$B$14,Paramètres!$A$1:$I$88,3,0)*VLOOKUP('Données projet'!$B$14,Paramètres!$A$1:$I$88,5,0)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projet'!$B$14,Paramètres!$A$1:$I$88,7,0))</f>
        <v>0</v>
      </c>
      <c r="DY68" s="16">
        <f>IF(ISNA(VLOOKUP(A68,'Données projet'!$A$165:$I$185,6,0)),0%,VLOOKUP(A68,'Données projet'!$A$165:$I$185,6,0)*VLOOKUP('Données projet'!$B$14,Paramètres!$A$1:$I$88,7,0))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projet'!$B$14,Paramètres!$A$1:$I$88,3,0)*0.475*44/12</f>
        <v>#N/A</v>
      </c>
      <c r="EB68" s="21" t="e">
        <f>EXP(-LN(2)/25)*EB67+(1-EXP(-LN(2)/25))/(LN(2)/25)*Calculateur!DW68*Calculateur!DY68*VLOOKUP('Données projet'!$B$14,Paramètres!$A$1:$I$88,3,0)*0.475*44/12</f>
        <v>#N/A</v>
      </c>
      <c r="EC68" s="21" t="e">
        <f>EXP(-LN(2)/2)*EC67+(1-EXP(-LN(2)/2))/(LN(2)/2)*DW68*DZ68*VLOOKUP('Données projet'!$B$14,Paramètres!$A$1:$I$88,3,0)*0.475*44/12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projet'!$B$15,Paramètres!$A$1:$I$88,3,0)*VLOOKUP('Données projet'!$B$15,Paramètres!$A$1:$I$88,5,0)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projet'!$B$15,Paramètres!$A$1:$I$88,7,0))</f>
        <v>0</v>
      </c>
      <c r="ET68" s="16">
        <f>IF(ISNA(VLOOKUP(A68,'Données projet'!$A$191:$I$211,6,0)),0%,VLOOKUP(A68,'Données projet'!$A$191:$I$211,6,0)*VLOOKUP('Données projet'!$B$15,Paramètres!$A$1:$I$88,7,0))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projet'!$B$15,Paramètres!$A$1:$I$88,3,0)*0.475*44/12</f>
        <v>#N/A</v>
      </c>
      <c r="EW68" s="21" t="e">
        <f>EXP(-LN(2)/25)*EW67+(1-EXP(-LN(2)/25))/(LN(2)/25)*Calculateur!ER68*Calculateur!ET68*VLOOKUP('Données projet'!$B$15,Paramètres!$A$1:$I$88,3,0)*0.475*44/12</f>
        <v>#N/A</v>
      </c>
      <c r="EX68" s="21" t="e">
        <f>EXP(-LN(2)/2)*EX67+(1-EXP(-LN(2)/2))/(LN(2)/2)*ER68*EU68*VLOOKUP('Données projet'!$B$15,Paramètres!$A$1:$I$88,3,0)*0.475*44/12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projet'!$B$16,Paramètres!$A$1:$I$88,3,0)*VLOOKUP('Données projet'!$B$16,Paramètres!$A$1:$I$88,5,0)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projet'!$B$16,Paramètres!$A$1:$I$88,7,0))</f>
        <v>0</v>
      </c>
      <c r="FO68" s="16">
        <f>IF(ISNA(VLOOKUP(A68,'Données projet'!$A$217:$I$237,6,0)),0%,VLOOKUP(A68,'Données projet'!$A$217:$I$237,6,0)*VLOOKUP('Données projet'!$B$16,Paramètres!$A$1:$I$88,7,0))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projet'!$B$16,Paramètres!$A$1:$I$88,3,0)*0.475*44/12</f>
        <v>#N/A</v>
      </c>
      <c r="FR68" s="21" t="e">
        <f>EXP(-LN(2)/25)*FR67+(1-EXP(-LN(2)/25))/(LN(2)/25)*Calculateur!FM68*Calculateur!FO68*VLOOKUP('Données projet'!$B$16,Paramètres!$A$1:$I$88,3,0)*0.475*44/12</f>
        <v>#N/A</v>
      </c>
      <c r="FS68" s="21" t="e">
        <f>EXP(-LN(2)/2)*FS67+(1-EXP(-LN(2)/2))/(LN(2)/2)*FM68*FP68*VLOOKUP('Données projet'!$B$16,Paramètres!$A$1:$I$88,3,0)*0.475*44/12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projet'!$B$17,Paramètres!$A$1:$I$88,3,0)*VLOOKUP('Données projet'!$B$17,Paramètres!$A$1:$I$88,5,0)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projet'!$B$17,Paramètres!$A$1:$I$88,7,0))</f>
        <v>0</v>
      </c>
      <c r="GJ68" s="16">
        <f>IF(ISNA(VLOOKUP(A68,'Données projet'!$A$243:$I$263,6,0)),0%,VLOOKUP(A68,'Données projet'!$A$243:$I$263,6,0)*VLOOKUP('Données projet'!$B$17,Paramètres!$A$1:$I$88,7,0))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projet'!$B$17,Paramètres!$A$1:$I$88,3,0)*0.475*44/12</f>
        <v>#N/A</v>
      </c>
      <c r="GM68" s="21" t="e">
        <f>EXP(-LN(2)/25)*GM67+(1-EXP(-LN(2)/25))/(LN(2)/25)*Calculateur!GH68*Calculateur!GJ68*VLOOKUP('Données projet'!$B$17,Paramètres!$A$1:$I$88,3,0)*0.475*44/12</f>
        <v>#N/A</v>
      </c>
      <c r="GN68" s="21" t="e">
        <f>EXP(-LN(2)/2)*GN67+(1-EXP(-LN(2)/2))/(LN(2)/2)*GH68*GK68*VLOOKUP('Données projet'!$B$17,Paramètres!$A$1:$I$88,3,0)*0.475*44/12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projet'!$B$18,Paramètres!$A$1:$I$88,3,0)*VLOOKUP('Données projet'!$B$18,Paramètres!$A$1:$I$88,5,0)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projet'!$B$18,Paramètres!$A$1:$I$88,7,0))</f>
        <v>0</v>
      </c>
      <c r="HE68" s="16">
        <f>IF(ISNA(VLOOKUP(A68,'Données projet'!$A$269:$I$289,6,0)),0%,VLOOKUP(A68,'Données projet'!$A$269:$I$289,6,0)*VLOOKUP('Données projet'!$B$18,Paramètres!$A$1:$I$88,7,0))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projet'!$B$18,Paramètres!$A$1:$I$88,3,0)*0.475*44/12</f>
        <v>#N/A</v>
      </c>
      <c r="HH68" s="21" t="e">
        <f>EXP(-LN(2)/25)*HH67+(1-EXP(-LN(2)/25))/(LN(2)/25)*Calculateur!HC68*Calculateur!HE68*VLOOKUP('Données projet'!$B$18,Paramètres!$A$1:$I$88,3,0)*0.475*44/12</f>
        <v>#N/A</v>
      </c>
      <c r="HI68" s="21" t="e">
        <f>EXP(-LN(2)/2)*HI67+(1-EXP(-LN(2)/2))/(LN(2)/2)*HC68*HF68*VLOOKUP('Données projet'!$B$18,Paramètres!$A$1:$I$88,3,0)*0.475*44/12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projet'!$B$9,Paramètres!$A$1:$I$88,3,0)*VLOOKUP('Données projet'!$B$9,Paramètres!$A$1:$I$88,5,0)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195.73441209602686</v>
      </c>
      <c r="T69" s="59">
        <f t="shared" ref="T69:T132" si="88">$T$3</f>
        <v>219.19129224309006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projet'!$B$9,Paramètres!$A$1:$I$88,7,0))</f>
        <v>0</v>
      </c>
      <c r="X69" s="16">
        <f>IF(ISNA(VLOOKUP(A69,'Données projet'!$A$35:$I$55,6,0)),0%,VLOOKUP(A69,'Données projet'!$A$35:$I$55,6,0)*VLOOKUP('Données projet'!$B$9,Paramètres!$A$1:$I$88,7,0))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projet'!$B$9,Paramètres!$A$1:$I$88,3,0)*0.475*44/12</f>
        <v>7.4766228491055031</v>
      </c>
      <c r="AA69" s="21">
        <f>EXP(-LN(2)/25)*AA68+(1-EXP(-LN(2)/25))/(LN(2)/25)*Calculateur!V69*Calculateur!X69*VLOOKUP('Données projet'!$B$9,Paramètres!$A$1:$I$88,3,0)*0.475*44/12</f>
        <v>5.218046498744715</v>
      </c>
      <c r="AB69" s="21">
        <f>EXP(-LN(2)/2)*AB68+(1-EXP(-LN(2)/2))/(LN(2)/2)*V69*Y69*VLOOKUP('Données projet'!$B$9,Paramètres!$A$1:$I$88,3,0)*0.475*44/12</f>
        <v>1.5133803648967149E-7</v>
      </c>
      <c r="AC69" s="22">
        <f t="shared" si="57"/>
        <v>12.694669499188256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9.1999999999999993</v>
      </c>
      <c r="AI69" s="13">
        <f>IF('Données projet'!$A$62&gt;35,AI68+AH69-AQ68,IF(A69&lt;'Données projet'!$A$62,$AF$205^A69,IF(A69='Données projet'!$A$62,'Données projet'!$B$62,AI68+AH69-AQ68)))</f>
        <v>385.1999999999997</v>
      </c>
      <c r="AJ69" s="13">
        <f>AI69*VLOOKUP('Données projet'!$B$10,Paramètres!$A$1:$I$88,3,0)*VLOOKUP('Données projet'!$B$10,Paramètres!$A$1:$I$88,5,0)</f>
        <v>230.34959999999984</v>
      </c>
      <c r="AK69" s="13">
        <f t="shared" ref="AK69:AK132" si="89">EXP(-1.0587+0.8836*LN(AJ69)+0.284)</f>
        <v>56.358266541426261</v>
      </c>
      <c r="AL69" s="20">
        <f t="shared" si="58"/>
        <v>499.34953422631708</v>
      </c>
      <c r="AM69" s="59">
        <f t="shared" si="59"/>
        <v>792.68286755965039</v>
      </c>
      <c r="AN69" s="59">
        <f ca="1">AVERAGE(OFFSET($AM$3,0,0,'Données projet'!$E$10+1,1))-AVERAGE(OFFSET($H$3,0,0,'Données projet'!$E$10+1,1))</f>
        <v>246.59447135626942</v>
      </c>
      <c r="AO69" s="59">
        <f t="shared" ref="AO69:AO132" si="90">$AO$3</f>
        <v>262.00382544285367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projet'!$B$10,Paramètres!$A$1:$I$88,7,0))</f>
        <v>0</v>
      </c>
      <c r="AS69" s="16">
        <f>IF(ISNA(VLOOKUP(A69,'Données projet'!$A$61:$I$81,6,0)),0%,VLOOKUP(A69,'Données projet'!$A$61:$I$81,6,0)*VLOOKUP('Données projet'!$B$10,Paramètres!$A$1:$I$88,7,0))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projet'!$B$10,Paramètres!$A$1:$I$88,3,0)*0.475*44/12</f>
        <v>0</v>
      </c>
      <c r="AV69" s="21">
        <f>EXP(-LN(2)/25)*AV68+(1-EXP(-LN(2)/25))/(LN(2)/25)*Calculateur!AQ69*Calculateur!AS69*VLOOKUP('Données projet'!$B$10,Paramètres!$A$1:$I$88,3,0)*0.475*44/12</f>
        <v>4.7358184298383357</v>
      </c>
      <c r="AW69" s="21">
        <f>EXP(-LN(2)/2)*AW68+(1-EXP(-LN(2)/2))/(LN(2)/2)*AQ69*AT69*VLOOKUP('Données projet'!$B$10,Paramètres!$A$1:$I$88,3,0)*0.475*44/12</f>
        <v>9.0520324225688826E-5</v>
      </c>
      <c r="AX69" s="21">
        <f t="shared" si="60"/>
        <v>4.7359089501625613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13.4</v>
      </c>
      <c r="BD69" s="12">
        <f>IF('Données projet'!$A$88&gt;35,BD68+BC69-BL68,IF(A69&lt;'Données projet'!$A$88,$BA$205^A69,IF(A69='Données projet'!$A$88,'Données projet'!$B$88,BD68+BC69-BL68)))</f>
        <v>560.39999999999975</v>
      </c>
      <c r="BE69" s="13">
        <f>BD69*VLOOKUP('Données projet'!$B$11,Paramètres!$A$1:$I$88,3,0)*VLOOKUP('Données projet'!$B$11,Paramètres!$A$1:$I$88,5,0)</f>
        <v>313.26359999999988</v>
      </c>
      <c r="BF69" s="13">
        <f t="shared" ref="BF69:BF132" si="91">EXP(-1.0587+0.8836*LN(BE69)+0.284)</f>
        <v>73.949983766039026</v>
      </c>
      <c r="BG69" s="20">
        <f t="shared" si="61"/>
        <v>674.39699172585108</v>
      </c>
      <c r="BH69" s="59">
        <f t="shared" si="62"/>
        <v>967.73032505918445</v>
      </c>
      <c r="BI69" s="59">
        <f ca="1">AVERAGE(OFFSET($BH$3,0,0,'Données projet'!$E$11+1,1))-AVERAGE(OFFSET($H$3,0,0,'Données projet'!$E$11+1,1))</f>
        <v>355.96253323046608</v>
      </c>
      <c r="BJ69" s="59">
        <f t="shared" ref="BJ69:BJ132" si="92">$BJ$3</f>
        <v>366.8380442809696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projet'!$B$11,Paramètres!$A$1:$I$88,7,0))</f>
        <v>0</v>
      </c>
      <c r="BN69" s="16">
        <f>IF(ISNA(VLOOKUP(A69,'Données projet'!$A$87:$I$107,6,0)),0%,VLOOKUP(A69,'Données projet'!$A$87:$I$107,6,0)*VLOOKUP('Données projet'!$B$11,Paramètres!$A$1:$I$88,7,0))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projet'!$B$11,Paramètres!$A$1:$I$88,3,0)*0.475*44/12</f>
        <v>0</v>
      </c>
      <c r="BQ69" s="21">
        <f>EXP(-LN(2)/25)*BQ68+(1-EXP(-LN(2)/25))/(LN(2)/25)*Calculateur!BL69*Calculateur!BN69*VLOOKUP('Données projet'!$B$11,Paramètres!$A$1:$I$88,3,0)*0.475*44/12</f>
        <v>8.3848312952524751</v>
      </c>
      <c r="BR69" s="21">
        <f>EXP(-LN(2)/2)*BR68+(1-EXP(-LN(2)/2))/(LN(2)/2)*BL69*BO69*VLOOKUP('Données projet'!$B$11,Paramètres!$A$1:$I$88,3,0)*0.475*44/12</f>
        <v>1.3995917078954951E-4</v>
      </c>
      <c r="BS69" s="22">
        <f t="shared" si="63"/>
        <v>8.3849712544232649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4.0999999999999996</v>
      </c>
      <c r="BY69" s="12">
        <f>IF('Données projet'!$A$114&gt;35,BY68+BX69-CG68,IF(A69&lt;'Données projet'!$A$114,$BV$205^A69,IF(A69='Données projet'!$A$114,'Données projet'!$B$114,BY68+BX69-CG68)))</f>
        <v>257.59999999999974</v>
      </c>
      <c r="BZ69" s="13">
        <f>BY69*VLOOKUP('Données projet'!$B$12,Paramètres!$A$1:$I$88,3,0)*VLOOKUP('Données projet'!$B$12,Paramètres!$A$1:$I$88,5,0)</f>
        <v>168.77951999999982</v>
      </c>
      <c r="CA69" s="13">
        <f t="shared" ref="CA69:CA132" si="93">EXP(-1.0587+0.8836*LN(BZ69)+0.284)</f>
        <v>42.816562145176988</v>
      </c>
      <c r="CB69" s="20">
        <f t="shared" si="64"/>
        <v>368.52984306951629</v>
      </c>
      <c r="CC69" s="59">
        <f t="shared" si="65"/>
        <v>661.8631764028496</v>
      </c>
      <c r="CD69" s="59">
        <f ca="1">AVERAGE(OFFSET($CC$3,0,0,'Données projet'!$E$12+1,1))-AVERAGE(OFFSET($H$3,0,0,'Données projet'!$E$12+1,1))</f>
        <v>180.90147430936133</v>
      </c>
      <c r="CE69" s="59">
        <f t="shared" ref="CE69:CE132" si="94">$CE$3</f>
        <v>226.87949199830018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projet'!$B$12,Paramètres!$A$1:$I$88,7,0))</f>
        <v>0</v>
      </c>
      <c r="CI69" s="16">
        <f>IF(ISNA(VLOOKUP(A69,'Données projet'!$A$113:$I$133,6,0)),0%,VLOOKUP(A69,'Données projet'!$A$113:$I$133,6,0)*VLOOKUP('Données projet'!$B$12,Paramètres!$A$1:$I$88,7,0))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projet'!$B$12,Paramètres!$A$1:$I$88,3,0)*0.475*44/12</f>
        <v>0</v>
      </c>
      <c r="CL69" s="21">
        <f>EXP(-LN(2)/25)*CL68+(1-EXP(-LN(2)/25))/(LN(2)/25)*Calculateur!CG69*Calculateur!CI69*VLOOKUP('Données projet'!$B$12,Paramètres!$A$1:$I$88,3,0)*0.475*44/12</f>
        <v>2.5322544822229505</v>
      </c>
      <c r="CM69" s="21">
        <f>EXP(-LN(2)/2)*CM68+(1-EXP(-LN(2)/2))/(LN(2)/2)*CG69*CJ69*VLOOKUP('Données projet'!$B$12,Paramètres!$A$1:$I$88,3,0)*0.475*44/12</f>
        <v>3.3807601368866613E-5</v>
      </c>
      <c r="CN69" s="22">
        <f t="shared" si="66"/>
        <v>2.5322882898243195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5.6843418860808015E-14</v>
      </c>
      <c r="CU69" s="17">
        <f>CT69*VLOOKUP('Données projet'!$B$13,Paramètres!$A$1:$I$88,3,0)*VLOOKUP('Données projet'!$B$13,Paramètres!$A$1:$I$88,5,0)</f>
        <v>2.8908289095852525E-14</v>
      </c>
      <c r="CV69" s="13">
        <f t="shared" ref="CV69:CV132" si="95">EXP(-1.0587+0.8836*LN(CU69)+0.284)</f>
        <v>5.0177780569126974E-13</v>
      </c>
      <c r="CW69" s="20">
        <f t="shared" si="67"/>
        <v>9.2427828175423786E-13</v>
      </c>
      <c r="CX69" s="59">
        <f t="shared" si="68"/>
        <v>293.33333333333422</v>
      </c>
      <c r="CY69" s="59">
        <f ca="1">AVERAGE(OFFSET($CX$3,0,0,'Données projet'!$E$13+1,1))-AVERAGE(OFFSET($H$3,0,0,'Données projet'!$E$13+1,1))</f>
        <v>133.08385802816008</v>
      </c>
      <c r="CZ69" s="59">
        <f t="shared" ref="CZ69:CZ132" si="96">$CZ$3</f>
        <v>316.59112511251385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projet'!$B$13,Paramètres!$A$1:$I$88,7,0))</f>
        <v>0</v>
      </c>
      <c r="DD69" s="16">
        <f>IF(ISNA(VLOOKUP(A69,'Données projet'!$A$139:$I$159,6,0)),0%,VLOOKUP(A69,'Données projet'!$A$139:$I$159,6,0)*VLOOKUP('Données projet'!$B$13,Paramètres!$A$1:$I$88,7,0))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projet'!$B$13,Paramètres!$A$1:$I$88,3,0)*0.475*44/12</f>
        <v>35.395059979688462</v>
      </c>
      <c r="DG69" s="21">
        <f>EXP(-LN(2)/25)*DG68+(1-EXP(-LN(2)/25))/(LN(2)/25)*Calculateur!DB69*Calculateur!DD69*VLOOKUP('Données projet'!$B$13,Paramètres!$A$1:$I$88,3,0)*0.475*44/12</f>
        <v>0</v>
      </c>
      <c r="DH69" s="21">
        <f>EXP(-LN(2)/2)*DH68+(1-EXP(-LN(2)/2))/(LN(2)/2)*DB69*DE69*VLOOKUP('Données projet'!$B$13,Paramètres!$A$1:$I$88,3,0)*0.475*44/12</f>
        <v>2.1569838319939244E-5</v>
      </c>
      <c r="DI69" s="22">
        <f t="shared" si="69"/>
        <v>35.395081549526779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projet'!$B$14,Paramètres!$A$1:$I$88,3,0)*VLOOKUP('Données projet'!$B$14,Paramètres!$A$1:$I$88,5,0)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projet'!$B$14,Paramètres!$A$1:$I$88,7,0))</f>
        <v>0</v>
      </c>
      <c r="DY69" s="16">
        <f>IF(ISNA(VLOOKUP(A69,'Données projet'!$A$165:$I$185,6,0)),0%,VLOOKUP(A69,'Données projet'!$A$165:$I$185,6,0)*VLOOKUP('Données projet'!$B$14,Paramètres!$A$1:$I$88,7,0))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projet'!$B$14,Paramètres!$A$1:$I$88,3,0)*0.475*44/12</f>
        <v>#N/A</v>
      </c>
      <c r="EB69" s="21" t="e">
        <f>EXP(-LN(2)/25)*EB68+(1-EXP(-LN(2)/25))/(LN(2)/25)*Calculateur!DW69*Calculateur!DY69*VLOOKUP('Données projet'!$B$14,Paramètres!$A$1:$I$88,3,0)*0.475*44/12</f>
        <v>#N/A</v>
      </c>
      <c r="EC69" s="21" t="e">
        <f>EXP(-LN(2)/2)*EC68+(1-EXP(-LN(2)/2))/(LN(2)/2)*DW69*DZ69*VLOOKUP('Données projet'!$B$14,Paramètres!$A$1:$I$88,3,0)*0.475*44/12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projet'!$B$15,Paramètres!$A$1:$I$88,3,0)*VLOOKUP('Données projet'!$B$15,Paramètres!$A$1:$I$88,5,0)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projet'!$B$15,Paramètres!$A$1:$I$88,7,0))</f>
        <v>0</v>
      </c>
      <c r="ET69" s="16">
        <f>IF(ISNA(VLOOKUP(A69,'Données projet'!$A$191:$I$211,6,0)),0%,VLOOKUP(A69,'Données projet'!$A$191:$I$211,6,0)*VLOOKUP('Données projet'!$B$15,Paramètres!$A$1:$I$88,7,0))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projet'!$B$15,Paramètres!$A$1:$I$88,3,0)*0.475*44/12</f>
        <v>#N/A</v>
      </c>
      <c r="EW69" s="21" t="e">
        <f>EXP(-LN(2)/25)*EW68+(1-EXP(-LN(2)/25))/(LN(2)/25)*Calculateur!ER69*Calculateur!ET69*VLOOKUP('Données projet'!$B$15,Paramètres!$A$1:$I$88,3,0)*0.475*44/12</f>
        <v>#N/A</v>
      </c>
      <c r="EX69" s="21" t="e">
        <f>EXP(-LN(2)/2)*EX68+(1-EXP(-LN(2)/2))/(LN(2)/2)*ER69*EU69*VLOOKUP('Données projet'!$B$15,Paramètres!$A$1:$I$88,3,0)*0.475*44/12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projet'!$B$16,Paramètres!$A$1:$I$88,3,0)*VLOOKUP('Données projet'!$B$16,Paramètres!$A$1:$I$88,5,0)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projet'!$B$16,Paramètres!$A$1:$I$88,7,0))</f>
        <v>0</v>
      </c>
      <c r="FO69" s="16">
        <f>IF(ISNA(VLOOKUP(A69,'Données projet'!$A$217:$I$237,6,0)),0%,VLOOKUP(A69,'Données projet'!$A$217:$I$237,6,0)*VLOOKUP('Données projet'!$B$16,Paramètres!$A$1:$I$88,7,0))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projet'!$B$16,Paramètres!$A$1:$I$88,3,0)*0.475*44/12</f>
        <v>#N/A</v>
      </c>
      <c r="FR69" s="21" t="e">
        <f>EXP(-LN(2)/25)*FR68+(1-EXP(-LN(2)/25))/(LN(2)/25)*Calculateur!FM69*Calculateur!FO69*VLOOKUP('Données projet'!$B$16,Paramètres!$A$1:$I$88,3,0)*0.475*44/12</f>
        <v>#N/A</v>
      </c>
      <c r="FS69" s="21" t="e">
        <f>EXP(-LN(2)/2)*FS68+(1-EXP(-LN(2)/2))/(LN(2)/2)*FM69*FP69*VLOOKUP('Données projet'!$B$16,Paramètres!$A$1:$I$88,3,0)*0.475*44/12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projet'!$B$17,Paramètres!$A$1:$I$88,3,0)*VLOOKUP('Données projet'!$B$17,Paramètres!$A$1:$I$88,5,0)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projet'!$B$17,Paramètres!$A$1:$I$88,7,0))</f>
        <v>0</v>
      </c>
      <c r="GJ69" s="16">
        <f>IF(ISNA(VLOOKUP(A69,'Données projet'!$A$243:$I$263,6,0)),0%,VLOOKUP(A69,'Données projet'!$A$243:$I$263,6,0)*VLOOKUP('Données projet'!$B$17,Paramètres!$A$1:$I$88,7,0))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projet'!$B$17,Paramètres!$A$1:$I$88,3,0)*0.475*44/12</f>
        <v>#N/A</v>
      </c>
      <c r="GM69" s="21" t="e">
        <f>EXP(-LN(2)/25)*GM68+(1-EXP(-LN(2)/25))/(LN(2)/25)*Calculateur!GH69*Calculateur!GJ69*VLOOKUP('Données projet'!$B$17,Paramètres!$A$1:$I$88,3,0)*0.475*44/12</f>
        <v>#N/A</v>
      </c>
      <c r="GN69" s="21" t="e">
        <f>EXP(-LN(2)/2)*GN68+(1-EXP(-LN(2)/2))/(LN(2)/2)*GH69*GK69*VLOOKUP('Données projet'!$B$17,Paramètres!$A$1:$I$88,3,0)*0.475*44/12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projet'!$B$18,Paramètres!$A$1:$I$88,3,0)*VLOOKUP('Données projet'!$B$18,Paramètres!$A$1:$I$88,5,0)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projet'!$B$18,Paramètres!$A$1:$I$88,7,0))</f>
        <v>0</v>
      </c>
      <c r="HE69" s="16">
        <f>IF(ISNA(VLOOKUP(A69,'Données projet'!$A$269:$I$289,6,0)),0%,VLOOKUP(A69,'Données projet'!$A$269:$I$289,6,0)*VLOOKUP('Données projet'!$B$18,Paramètres!$A$1:$I$88,7,0))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projet'!$B$18,Paramètres!$A$1:$I$88,3,0)*0.475*44/12</f>
        <v>#N/A</v>
      </c>
      <c r="HH69" s="21" t="e">
        <f>EXP(-LN(2)/25)*HH68+(1-EXP(-LN(2)/25))/(LN(2)/25)*Calculateur!HC69*Calculateur!HE69*VLOOKUP('Données projet'!$B$18,Paramètres!$A$1:$I$88,3,0)*0.475*44/12</f>
        <v>#N/A</v>
      </c>
      <c r="HI69" s="21" t="e">
        <f>EXP(-LN(2)/2)*HI68+(1-EXP(-LN(2)/2))/(LN(2)/2)*HC69*HF69*VLOOKUP('Données projet'!$B$18,Paramètres!$A$1:$I$88,3,0)*0.475*44/12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projet'!$B$9,Paramètres!$A$1:$I$88,3,0)*VLOOKUP('Données projet'!$B$9,Paramètres!$A$1:$I$88,5,0)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195.73441209602686</v>
      </c>
      <c r="T70" s="59">
        <f t="shared" si="88"/>
        <v>219.19129224309006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projet'!$B$9,Paramètres!$A$1:$I$88,7,0))</f>
        <v>0</v>
      </c>
      <c r="X70" s="16">
        <f>IF(ISNA(VLOOKUP(A70,'Données projet'!$A$35:$I$55,6,0)),0%,VLOOKUP(A70,'Données projet'!$A$35:$I$55,6,0)*VLOOKUP('Données projet'!$B$9,Paramètres!$A$1:$I$88,7,0))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projet'!$B$9,Paramètres!$A$1:$I$88,3,0)*0.475*44/12</f>
        <v>7.3300108353241908</v>
      </c>
      <c r="AA70" s="21">
        <f>EXP(-LN(2)/25)*AA69+(1-EXP(-LN(2)/25))/(LN(2)/25)*Calculateur!V70*Calculateur!X70*VLOOKUP('Données projet'!$B$9,Paramètres!$A$1:$I$88,3,0)*0.475*44/12</f>
        <v>5.0753587428314013</v>
      </c>
      <c r="AB70" s="21">
        <f>EXP(-LN(2)/2)*AB69+(1-EXP(-LN(2)/2))/(LN(2)/2)*V70*Y70*VLOOKUP('Données projet'!$B$9,Paramètres!$A$1:$I$88,3,0)*0.475*44/12</f>
        <v>1.0701215185330389E-7</v>
      </c>
      <c r="AC70" s="22">
        <f t="shared" si="57"/>
        <v>12.405369685167745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9.1999999999999993</v>
      </c>
      <c r="AI70" s="13">
        <f>IF('Données projet'!$A$62&gt;35,AI69+AH70-AQ69,IF(A70&lt;'Données projet'!$A$62,$AF$205^A70,IF(A70='Données projet'!$A$62,'Données projet'!$B$62,AI69+AH70-AQ69)))</f>
        <v>394.39999999999969</v>
      </c>
      <c r="AJ70" s="13">
        <f>AI70*VLOOKUP('Données projet'!$B$10,Paramètres!$A$1:$I$88,3,0)*VLOOKUP('Données projet'!$B$10,Paramètres!$A$1:$I$88,5,0)</f>
        <v>235.85119999999984</v>
      </c>
      <c r="AK70" s="13">
        <f t="shared" si="89"/>
        <v>57.545992055843016</v>
      </c>
      <c r="AL70" s="20">
        <f t="shared" si="58"/>
        <v>511.0001094972597</v>
      </c>
      <c r="AM70" s="59">
        <f t="shared" si="59"/>
        <v>804.33344283059296</v>
      </c>
      <c r="AN70" s="59">
        <f ca="1">AVERAGE(OFFSET($AM$3,0,0,'Données projet'!$E$10+1,1))-AVERAGE(OFFSET($H$3,0,0,'Données projet'!$E$10+1,1))</f>
        <v>246.59447135626942</v>
      </c>
      <c r="AO70" s="59">
        <f t="shared" si="90"/>
        <v>262.00382544285367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projet'!$B$10,Paramètres!$A$1:$I$88,7,0))</f>
        <v>0</v>
      </c>
      <c r="AS70" s="16">
        <f>IF(ISNA(VLOOKUP(A70,'Données projet'!$A$61:$I$81,6,0)),0%,VLOOKUP(A70,'Données projet'!$A$61:$I$81,6,0)*VLOOKUP('Données projet'!$B$10,Paramètres!$A$1:$I$88,7,0))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projet'!$B$10,Paramètres!$A$1:$I$88,3,0)*0.475*44/12</f>
        <v>0</v>
      </c>
      <c r="AV70" s="21">
        <f>EXP(-LN(2)/25)*AV69+(1-EXP(-LN(2)/25))/(LN(2)/25)*Calculateur!AQ70*Calculateur!AS70*VLOOKUP('Données projet'!$B$10,Paramètres!$A$1:$I$88,3,0)*0.475*44/12</f>
        <v>4.6063172258285388</v>
      </c>
      <c r="AW70" s="21">
        <f>EXP(-LN(2)/2)*AW69+(1-EXP(-LN(2)/2))/(LN(2)/2)*AQ70*AT70*VLOOKUP('Données projet'!$B$10,Paramètres!$A$1:$I$88,3,0)*0.475*44/12</f>
        <v>6.4007535095189484E-5</v>
      </c>
      <c r="AX70" s="21">
        <f t="shared" si="60"/>
        <v>4.606381233363634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13.4</v>
      </c>
      <c r="BD70" s="12">
        <f>IF('Données projet'!$A$88&gt;35,BD69+BC70-BL69,IF(A70&lt;'Données projet'!$A$88,$BA$205^A70,IF(A70='Données projet'!$A$88,'Données projet'!$B$88,BD69+BC70-BL69)))</f>
        <v>573.79999999999973</v>
      </c>
      <c r="BE70" s="13">
        <f>BD70*VLOOKUP('Données projet'!$B$11,Paramètres!$A$1:$I$88,3,0)*VLOOKUP('Données projet'!$B$11,Paramètres!$A$1:$I$88,5,0)</f>
        <v>320.75419999999986</v>
      </c>
      <c r="BF70" s="13">
        <f t="shared" si="91"/>
        <v>75.510258133660997</v>
      </c>
      <c r="BG70" s="20">
        <f t="shared" si="61"/>
        <v>690.16059791612599</v>
      </c>
      <c r="BH70" s="59">
        <f t="shared" si="62"/>
        <v>983.49393124945937</v>
      </c>
      <c r="BI70" s="59">
        <f ca="1">AVERAGE(OFFSET($BH$3,0,0,'Données projet'!$E$11+1,1))-AVERAGE(OFFSET($H$3,0,0,'Données projet'!$E$11+1,1))</f>
        <v>355.96253323046608</v>
      </c>
      <c r="BJ70" s="59">
        <f t="shared" si="92"/>
        <v>366.8380442809696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projet'!$B$11,Paramètres!$A$1:$I$88,7,0))</f>
        <v>0</v>
      </c>
      <c r="BN70" s="16">
        <f>IF(ISNA(VLOOKUP(A70,'Données projet'!$A$87:$I$107,6,0)),0%,VLOOKUP(A70,'Données projet'!$A$87:$I$107,6,0)*VLOOKUP('Données projet'!$B$11,Paramètres!$A$1:$I$88,7,0))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projet'!$B$11,Paramètres!$A$1:$I$88,3,0)*0.475*44/12</f>
        <v>0</v>
      </c>
      <c r="BQ70" s="21">
        <f>EXP(-LN(2)/25)*BQ69+(1-EXP(-LN(2)/25))/(LN(2)/25)*Calculateur!BL70*Calculateur!BN70*VLOOKUP('Données projet'!$B$11,Paramètres!$A$1:$I$88,3,0)*0.475*44/12</f>
        <v>8.1555476425446827</v>
      </c>
      <c r="BR70" s="21">
        <f>EXP(-LN(2)/2)*BR69+(1-EXP(-LN(2)/2))/(LN(2)/2)*BL70*BO70*VLOOKUP('Données projet'!$B$11,Paramètres!$A$1:$I$88,3,0)*0.475*44/12</f>
        <v>9.8966078754536625E-5</v>
      </c>
      <c r="BS70" s="22">
        <f t="shared" si="63"/>
        <v>8.1556466086234369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4.0999999999999996</v>
      </c>
      <c r="BY70" s="12">
        <f>IF('Données projet'!$A$114&gt;35,BY69+BX70-CG69,IF(A70&lt;'Données projet'!$A$114,$BV$205^A70,IF(A70='Données projet'!$A$114,'Données projet'!$B$114,BY69+BX70-CG69)))</f>
        <v>261.69999999999976</v>
      </c>
      <c r="BZ70" s="13">
        <f>BY70*VLOOKUP('Données projet'!$B$12,Paramètres!$A$1:$I$88,3,0)*VLOOKUP('Données projet'!$B$12,Paramètres!$A$1:$I$88,5,0)</f>
        <v>171.46583999999984</v>
      </c>
      <c r="CA70" s="13">
        <f t="shared" si="93"/>
        <v>43.418158757436764</v>
      </c>
      <c r="CB70" s="20">
        <f t="shared" si="64"/>
        <v>374.25629783586879</v>
      </c>
      <c r="CC70" s="59">
        <f t="shared" si="65"/>
        <v>667.58963116920211</v>
      </c>
      <c r="CD70" s="59">
        <f ca="1">AVERAGE(OFFSET($CC$3,0,0,'Données projet'!$E$12+1,1))-AVERAGE(OFFSET($H$3,0,0,'Données projet'!$E$12+1,1))</f>
        <v>180.90147430936133</v>
      </c>
      <c r="CE70" s="59">
        <f t="shared" si="94"/>
        <v>226.87949199830018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projet'!$B$12,Paramètres!$A$1:$I$88,7,0))</f>
        <v>0</v>
      </c>
      <c r="CI70" s="16">
        <f>IF(ISNA(VLOOKUP(A70,'Données projet'!$A$113:$I$133,6,0)),0%,VLOOKUP(A70,'Données projet'!$A$113:$I$133,6,0)*VLOOKUP('Données projet'!$B$12,Paramètres!$A$1:$I$88,7,0))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projet'!$B$12,Paramètres!$A$1:$I$88,3,0)*0.475*44/12</f>
        <v>0</v>
      </c>
      <c r="CL70" s="21">
        <f>EXP(-LN(2)/25)*CL69+(1-EXP(-LN(2)/25))/(LN(2)/25)*Calculateur!CG70*Calculateur!CI70*VLOOKUP('Données projet'!$B$12,Paramètres!$A$1:$I$88,3,0)*0.475*44/12</f>
        <v>2.4630098502410882</v>
      </c>
      <c r="CM70" s="21">
        <f>EXP(-LN(2)/2)*CM69+(1-EXP(-LN(2)/2))/(LN(2)/2)*CG70*CJ70*VLOOKUP('Données projet'!$B$12,Paramètres!$A$1:$I$88,3,0)*0.475*44/12</f>
        <v>2.390558418357719E-5</v>
      </c>
      <c r="CN70" s="22">
        <f t="shared" si="66"/>
        <v>2.463033755825272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5.6843418860808015E-14</v>
      </c>
      <c r="CU70" s="17">
        <f>CT70*VLOOKUP('Données projet'!$B$13,Paramètres!$A$1:$I$88,3,0)*VLOOKUP('Données projet'!$B$13,Paramètres!$A$1:$I$88,5,0)</f>
        <v>2.8908289095852525E-14</v>
      </c>
      <c r="CV70" s="13">
        <f t="shared" si="95"/>
        <v>5.0177780569126974E-13</v>
      </c>
      <c r="CW70" s="20">
        <f t="shared" si="67"/>
        <v>9.2427828175423786E-13</v>
      </c>
      <c r="CX70" s="59">
        <f t="shared" si="68"/>
        <v>293.33333333333422</v>
      </c>
      <c r="CY70" s="59">
        <f ca="1">AVERAGE(OFFSET($CX$3,0,0,'Données projet'!$E$13+1,1))-AVERAGE(OFFSET($H$3,0,0,'Données projet'!$E$13+1,1))</f>
        <v>133.08385802816008</v>
      </c>
      <c r="CZ70" s="59">
        <f t="shared" si="96"/>
        <v>316.59112511251385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projet'!$B$13,Paramètres!$A$1:$I$88,7,0))</f>
        <v>0</v>
      </c>
      <c r="DD70" s="16">
        <f>IF(ISNA(VLOOKUP(A70,'Données projet'!$A$139:$I$159,6,0)),0%,VLOOKUP(A70,'Données projet'!$A$139:$I$159,6,0)*VLOOKUP('Données projet'!$B$13,Paramètres!$A$1:$I$88,7,0))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projet'!$B$13,Paramètres!$A$1:$I$88,3,0)*0.475*44/12</f>
        <v>34.700984442341635</v>
      </c>
      <c r="DG70" s="21">
        <f>EXP(-LN(2)/25)*DG69+(1-EXP(-LN(2)/25))/(LN(2)/25)*Calculateur!DB70*Calculateur!DD70*VLOOKUP('Données projet'!$B$13,Paramètres!$A$1:$I$88,3,0)*0.475*44/12</f>
        <v>0</v>
      </c>
      <c r="DH70" s="21">
        <f>EXP(-LN(2)/2)*DH69+(1-EXP(-LN(2)/2))/(LN(2)/2)*DB70*DE70*VLOOKUP('Données projet'!$B$13,Paramètres!$A$1:$I$88,3,0)*0.475*44/12</f>
        <v>1.5252178945126487E-5</v>
      </c>
      <c r="DI70" s="22">
        <f t="shared" si="69"/>
        <v>34.700999694520583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projet'!$B$14,Paramètres!$A$1:$I$88,3,0)*VLOOKUP('Données projet'!$B$14,Paramètres!$A$1:$I$88,5,0)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projet'!$B$14,Paramètres!$A$1:$I$88,7,0))</f>
        <v>0</v>
      </c>
      <c r="DY70" s="16">
        <f>IF(ISNA(VLOOKUP(A70,'Données projet'!$A$165:$I$185,6,0)),0%,VLOOKUP(A70,'Données projet'!$A$165:$I$185,6,0)*VLOOKUP('Données projet'!$B$14,Paramètres!$A$1:$I$88,7,0))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projet'!$B$14,Paramètres!$A$1:$I$88,3,0)*0.475*44/12</f>
        <v>#N/A</v>
      </c>
      <c r="EB70" s="21" t="e">
        <f>EXP(-LN(2)/25)*EB69+(1-EXP(-LN(2)/25))/(LN(2)/25)*Calculateur!DW70*Calculateur!DY70*VLOOKUP('Données projet'!$B$14,Paramètres!$A$1:$I$88,3,0)*0.475*44/12</f>
        <v>#N/A</v>
      </c>
      <c r="EC70" s="21" t="e">
        <f>EXP(-LN(2)/2)*EC69+(1-EXP(-LN(2)/2))/(LN(2)/2)*DW70*DZ70*VLOOKUP('Données projet'!$B$14,Paramètres!$A$1:$I$88,3,0)*0.475*44/12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projet'!$B$15,Paramètres!$A$1:$I$88,3,0)*VLOOKUP('Données projet'!$B$15,Paramètres!$A$1:$I$88,5,0)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projet'!$B$15,Paramètres!$A$1:$I$88,7,0))</f>
        <v>0</v>
      </c>
      <c r="ET70" s="16">
        <f>IF(ISNA(VLOOKUP(A70,'Données projet'!$A$191:$I$211,6,0)),0%,VLOOKUP(A70,'Données projet'!$A$191:$I$211,6,0)*VLOOKUP('Données projet'!$B$15,Paramètres!$A$1:$I$88,7,0))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projet'!$B$15,Paramètres!$A$1:$I$88,3,0)*0.475*44/12</f>
        <v>#N/A</v>
      </c>
      <c r="EW70" s="21" t="e">
        <f>EXP(-LN(2)/25)*EW69+(1-EXP(-LN(2)/25))/(LN(2)/25)*Calculateur!ER70*Calculateur!ET70*VLOOKUP('Données projet'!$B$15,Paramètres!$A$1:$I$88,3,0)*0.475*44/12</f>
        <v>#N/A</v>
      </c>
      <c r="EX70" s="21" t="e">
        <f>EXP(-LN(2)/2)*EX69+(1-EXP(-LN(2)/2))/(LN(2)/2)*ER70*EU70*VLOOKUP('Données projet'!$B$15,Paramètres!$A$1:$I$88,3,0)*0.475*44/12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projet'!$B$16,Paramètres!$A$1:$I$88,3,0)*VLOOKUP('Données projet'!$B$16,Paramètres!$A$1:$I$88,5,0)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projet'!$B$16,Paramètres!$A$1:$I$88,7,0))</f>
        <v>0</v>
      </c>
      <c r="FO70" s="16">
        <f>IF(ISNA(VLOOKUP(A70,'Données projet'!$A$217:$I$237,6,0)),0%,VLOOKUP(A70,'Données projet'!$A$217:$I$237,6,0)*VLOOKUP('Données projet'!$B$16,Paramètres!$A$1:$I$88,7,0))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projet'!$B$16,Paramètres!$A$1:$I$88,3,0)*0.475*44/12</f>
        <v>#N/A</v>
      </c>
      <c r="FR70" s="21" t="e">
        <f>EXP(-LN(2)/25)*FR69+(1-EXP(-LN(2)/25))/(LN(2)/25)*Calculateur!FM70*Calculateur!FO70*VLOOKUP('Données projet'!$B$16,Paramètres!$A$1:$I$88,3,0)*0.475*44/12</f>
        <v>#N/A</v>
      </c>
      <c r="FS70" s="21" t="e">
        <f>EXP(-LN(2)/2)*FS69+(1-EXP(-LN(2)/2))/(LN(2)/2)*FM70*FP70*VLOOKUP('Données projet'!$B$16,Paramètres!$A$1:$I$88,3,0)*0.475*44/12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projet'!$B$17,Paramètres!$A$1:$I$88,3,0)*VLOOKUP('Données projet'!$B$17,Paramètres!$A$1:$I$88,5,0)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projet'!$B$17,Paramètres!$A$1:$I$88,7,0))</f>
        <v>0</v>
      </c>
      <c r="GJ70" s="16">
        <f>IF(ISNA(VLOOKUP(A70,'Données projet'!$A$243:$I$263,6,0)),0%,VLOOKUP(A70,'Données projet'!$A$243:$I$263,6,0)*VLOOKUP('Données projet'!$B$17,Paramètres!$A$1:$I$88,7,0))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projet'!$B$17,Paramètres!$A$1:$I$88,3,0)*0.475*44/12</f>
        <v>#N/A</v>
      </c>
      <c r="GM70" s="21" t="e">
        <f>EXP(-LN(2)/25)*GM69+(1-EXP(-LN(2)/25))/(LN(2)/25)*Calculateur!GH70*Calculateur!GJ70*VLOOKUP('Données projet'!$B$17,Paramètres!$A$1:$I$88,3,0)*0.475*44/12</f>
        <v>#N/A</v>
      </c>
      <c r="GN70" s="21" t="e">
        <f>EXP(-LN(2)/2)*GN69+(1-EXP(-LN(2)/2))/(LN(2)/2)*GH70*GK70*VLOOKUP('Données projet'!$B$17,Paramètres!$A$1:$I$88,3,0)*0.475*44/12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projet'!$B$18,Paramètres!$A$1:$I$88,3,0)*VLOOKUP('Données projet'!$B$18,Paramètres!$A$1:$I$88,5,0)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projet'!$B$18,Paramètres!$A$1:$I$88,7,0))</f>
        <v>0</v>
      </c>
      <c r="HE70" s="16">
        <f>IF(ISNA(VLOOKUP(A70,'Données projet'!$A$269:$I$289,6,0)),0%,VLOOKUP(A70,'Données projet'!$A$269:$I$289,6,0)*VLOOKUP('Données projet'!$B$18,Paramètres!$A$1:$I$88,7,0))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projet'!$B$18,Paramètres!$A$1:$I$88,3,0)*0.475*44/12</f>
        <v>#N/A</v>
      </c>
      <c r="HH70" s="21" t="e">
        <f>EXP(-LN(2)/25)*HH69+(1-EXP(-LN(2)/25))/(LN(2)/25)*Calculateur!HC70*Calculateur!HE70*VLOOKUP('Données projet'!$B$18,Paramètres!$A$1:$I$88,3,0)*0.475*44/12</f>
        <v>#N/A</v>
      </c>
      <c r="HI70" s="21" t="e">
        <f>EXP(-LN(2)/2)*HI69+(1-EXP(-LN(2)/2))/(LN(2)/2)*HC70*HF70*VLOOKUP('Données projet'!$B$18,Paramètres!$A$1:$I$88,3,0)*0.475*44/12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projet'!$B$9,Paramètres!$A$1:$I$88,3,0)*VLOOKUP('Données projet'!$B$9,Paramètres!$A$1:$I$88,5,0)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195.73441209602686</v>
      </c>
      <c r="T71" s="59">
        <f t="shared" si="88"/>
        <v>219.19129224309006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projet'!$B$9,Paramètres!$A$1:$I$88,7,0))</f>
        <v>0</v>
      </c>
      <c r="X71" s="16">
        <f>IF(ISNA(VLOOKUP(A71,'Données projet'!$A$35:$I$55,6,0)),0%,VLOOKUP(A71,'Données projet'!$A$35:$I$55,6,0)*VLOOKUP('Données projet'!$B$9,Paramètres!$A$1:$I$88,7,0))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projet'!$B$9,Paramètres!$A$1:$I$88,3,0)*0.475*44/12</f>
        <v>7.1862737937086321</v>
      </c>
      <c r="AA71" s="21">
        <f>EXP(-LN(2)/25)*AA70+(1-EXP(-LN(2)/25))/(LN(2)/25)*Calculateur!V71*Calculateur!X71*VLOOKUP('Données projet'!$B$9,Paramètres!$A$1:$I$88,3,0)*0.475*44/12</f>
        <v>4.9365727911071602</v>
      </c>
      <c r="AB71" s="21">
        <f>EXP(-LN(2)/2)*AB70+(1-EXP(-LN(2)/2))/(LN(2)/2)*V71*Y71*VLOOKUP('Données projet'!$B$9,Paramètres!$A$1:$I$88,3,0)*0.475*44/12</f>
        <v>7.5669018244835747E-8</v>
      </c>
      <c r="AC71" s="22">
        <f t="shared" si="57"/>
        <v>12.122846660484811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9.1999999999999993</v>
      </c>
      <c r="AI71" s="13">
        <f>IF('Données projet'!$A$62&gt;35,AI70+AH71-AQ70,IF(A71&lt;'Données projet'!$A$62,$AF$205^A71,IF(A71='Données projet'!$A$62,'Données projet'!$B$62,AI70+AH71-AQ70)))</f>
        <v>403.59999999999968</v>
      </c>
      <c r="AJ71" s="13">
        <f>AI71*VLOOKUP('Données projet'!$B$10,Paramètres!$A$1:$I$88,3,0)*VLOOKUP('Données projet'!$B$10,Paramètres!$A$1:$I$88,5,0)</f>
        <v>241.35279999999983</v>
      </c>
      <c r="AK71" s="13">
        <f t="shared" si="89"/>
        <v>58.730496708031964</v>
      </c>
      <c r="AL71" s="20">
        <f t="shared" si="58"/>
        <v>522.64507509982207</v>
      </c>
      <c r="AM71" s="59">
        <f t="shared" si="59"/>
        <v>815.97840843315544</v>
      </c>
      <c r="AN71" s="59">
        <f ca="1">AVERAGE(OFFSET($AM$3,0,0,'Données projet'!$E$10+1,1))-AVERAGE(OFFSET($H$3,0,0,'Données projet'!$E$10+1,1))</f>
        <v>246.59447135626942</v>
      </c>
      <c r="AO71" s="59">
        <f t="shared" si="90"/>
        <v>262.00382544285367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projet'!$B$10,Paramètres!$A$1:$I$88,7,0))</f>
        <v>0</v>
      </c>
      <c r="AS71" s="16">
        <f>IF(ISNA(VLOOKUP(A71,'Données projet'!$A$61:$I$81,6,0)),0%,VLOOKUP(A71,'Données projet'!$A$61:$I$81,6,0)*VLOOKUP('Données projet'!$B$10,Paramètres!$A$1:$I$88,7,0))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projet'!$B$10,Paramètres!$A$1:$I$88,3,0)*0.475*44/12</f>
        <v>0</v>
      </c>
      <c r="AV71" s="21">
        <f>EXP(-LN(2)/25)*AV70+(1-EXP(-LN(2)/25))/(LN(2)/25)*Calculateur!AQ71*Calculateur!AS71*VLOOKUP('Données projet'!$B$10,Paramètres!$A$1:$I$88,3,0)*0.475*44/12</f>
        <v>4.4803572390525623</v>
      </c>
      <c r="AW71" s="21">
        <f>EXP(-LN(2)/2)*AW70+(1-EXP(-LN(2)/2))/(LN(2)/2)*AQ71*AT71*VLOOKUP('Données projet'!$B$10,Paramètres!$A$1:$I$88,3,0)*0.475*44/12</f>
        <v>4.5260162112844413E-5</v>
      </c>
      <c r="AX71" s="21">
        <f t="shared" si="60"/>
        <v>4.4804024992146756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13.4</v>
      </c>
      <c r="BD71" s="12">
        <f>IF('Données projet'!$A$88&gt;35,BD70+BC71-BL70,IF(A71&lt;'Données projet'!$A$88,$BA$205^A71,IF(A71='Données projet'!$A$88,'Données projet'!$B$88,BD70+BC71-BL70)))</f>
        <v>587.1999999999997</v>
      </c>
      <c r="BE71" s="13">
        <f>BD71*VLOOKUP('Données projet'!$B$11,Paramètres!$A$1:$I$88,3,0)*VLOOKUP('Données projet'!$B$11,Paramètres!$A$1:$I$88,5,0)</f>
        <v>328.24479999999983</v>
      </c>
      <c r="BF71" s="13">
        <f t="shared" si="91"/>
        <v>77.066296561336628</v>
      </c>
      <c r="BG71" s="20">
        <f t="shared" si="61"/>
        <v>705.91682651099427</v>
      </c>
      <c r="BH71" s="59">
        <f t="shared" si="62"/>
        <v>999.25015984432753</v>
      </c>
      <c r="BI71" s="59">
        <f ca="1">AVERAGE(OFFSET($BH$3,0,0,'Données projet'!$E$11+1,1))-AVERAGE(OFFSET($H$3,0,0,'Données projet'!$E$11+1,1))</f>
        <v>355.96253323046608</v>
      </c>
      <c r="BJ71" s="59">
        <f t="shared" si="92"/>
        <v>366.8380442809696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projet'!$B$11,Paramètres!$A$1:$I$88,7,0))</f>
        <v>0</v>
      </c>
      <c r="BN71" s="16">
        <f>IF(ISNA(VLOOKUP(A71,'Données projet'!$A$87:$I$107,6,0)),0%,VLOOKUP(A71,'Données projet'!$A$87:$I$107,6,0)*VLOOKUP('Données projet'!$B$11,Paramètres!$A$1:$I$88,7,0))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projet'!$B$11,Paramètres!$A$1:$I$88,3,0)*0.475*44/12</f>
        <v>0</v>
      </c>
      <c r="BQ71" s="21">
        <f>EXP(-LN(2)/25)*BQ70+(1-EXP(-LN(2)/25))/(LN(2)/25)*Calculateur!BL71*Calculateur!BN71*VLOOKUP('Données projet'!$B$11,Paramètres!$A$1:$I$88,3,0)*0.475*44/12</f>
        <v>7.9325337633776876</v>
      </c>
      <c r="BR71" s="21">
        <f>EXP(-LN(2)/2)*BR70+(1-EXP(-LN(2)/2))/(LN(2)/2)*BL71*BO71*VLOOKUP('Données projet'!$B$11,Paramètres!$A$1:$I$88,3,0)*0.475*44/12</f>
        <v>6.9979585394774757E-5</v>
      </c>
      <c r="BS71" s="22">
        <f t="shared" si="63"/>
        <v>7.9326037429630825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4.0999999999999996</v>
      </c>
      <c r="BY71" s="12">
        <f>IF('Données projet'!$A$114&gt;35,BY70+BX71-CG70,IF(A71&lt;'Données projet'!$A$114,$BV$205^A71,IF(A71='Données projet'!$A$114,'Données projet'!$B$114,BY70+BX71-CG70)))</f>
        <v>265.79999999999978</v>
      </c>
      <c r="BZ71" s="13">
        <f>BY71*VLOOKUP('Données projet'!$B$12,Paramètres!$A$1:$I$88,3,0)*VLOOKUP('Données projet'!$B$12,Paramètres!$A$1:$I$88,5,0)</f>
        <v>174.15215999999987</v>
      </c>
      <c r="CA71" s="13">
        <f t="shared" si="93"/>
        <v>44.018659241503592</v>
      </c>
      <c r="CB71" s="20">
        <f t="shared" si="64"/>
        <v>379.98084351228516</v>
      </c>
      <c r="CC71" s="59">
        <f t="shared" si="65"/>
        <v>673.31417684561848</v>
      </c>
      <c r="CD71" s="59">
        <f ca="1">AVERAGE(OFFSET($CC$3,0,0,'Données projet'!$E$12+1,1))-AVERAGE(OFFSET($H$3,0,0,'Données projet'!$E$12+1,1))</f>
        <v>180.90147430936133</v>
      </c>
      <c r="CE71" s="59">
        <f t="shared" si="94"/>
        <v>226.87949199830018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projet'!$B$12,Paramètres!$A$1:$I$88,7,0))</f>
        <v>0</v>
      </c>
      <c r="CI71" s="16">
        <f>IF(ISNA(VLOOKUP(A71,'Données projet'!$A$113:$I$133,6,0)),0%,VLOOKUP(A71,'Données projet'!$A$113:$I$133,6,0)*VLOOKUP('Données projet'!$B$12,Paramètres!$A$1:$I$88,7,0))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projet'!$B$12,Paramètres!$A$1:$I$88,3,0)*0.475*44/12</f>
        <v>0</v>
      </c>
      <c r="CL71" s="21">
        <f>EXP(-LN(2)/25)*CL70+(1-EXP(-LN(2)/25))/(LN(2)/25)*Calculateur!CG71*Calculateur!CI71*VLOOKUP('Données projet'!$B$12,Paramètres!$A$1:$I$88,3,0)*0.475*44/12</f>
        <v>2.395658716362187</v>
      </c>
      <c r="CM71" s="21">
        <f>EXP(-LN(2)/2)*CM70+(1-EXP(-LN(2)/2))/(LN(2)/2)*CG71*CJ71*VLOOKUP('Données projet'!$B$12,Paramètres!$A$1:$I$88,3,0)*0.475*44/12</f>
        <v>1.6903800684433307E-5</v>
      </c>
      <c r="CN71" s="22">
        <f t="shared" si="66"/>
        <v>2.3956756201628715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5.6843418860808015E-14</v>
      </c>
      <c r="CU71" s="17">
        <f>CT71*VLOOKUP('Données projet'!$B$13,Paramètres!$A$1:$I$88,3,0)*VLOOKUP('Données projet'!$B$13,Paramètres!$A$1:$I$88,5,0)</f>
        <v>2.8908289095852525E-14</v>
      </c>
      <c r="CV71" s="13">
        <f t="shared" si="95"/>
        <v>5.0177780569126974E-13</v>
      </c>
      <c r="CW71" s="20">
        <f t="shared" si="67"/>
        <v>9.2427828175423786E-13</v>
      </c>
      <c r="CX71" s="59">
        <f t="shared" si="68"/>
        <v>293.33333333333422</v>
      </c>
      <c r="CY71" s="59">
        <f ca="1">AVERAGE(OFFSET($CX$3,0,0,'Données projet'!$E$13+1,1))-AVERAGE(OFFSET($H$3,0,0,'Données projet'!$E$13+1,1))</f>
        <v>133.08385802816008</v>
      </c>
      <c r="CZ71" s="59">
        <f t="shared" si="96"/>
        <v>316.59112511251385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projet'!$B$13,Paramètres!$A$1:$I$88,7,0))</f>
        <v>0</v>
      </c>
      <c r="DD71" s="16">
        <f>IF(ISNA(VLOOKUP(A71,'Données projet'!$A$139:$I$159,6,0)),0%,VLOOKUP(A71,'Données projet'!$A$139:$I$159,6,0)*VLOOKUP('Données projet'!$B$13,Paramètres!$A$1:$I$88,7,0))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projet'!$B$13,Paramètres!$A$1:$I$88,3,0)*0.475*44/12</f>
        <v>34.020519302937906</v>
      </c>
      <c r="DG71" s="21">
        <f>EXP(-LN(2)/25)*DG70+(1-EXP(-LN(2)/25))/(LN(2)/25)*Calculateur!DB71*Calculateur!DD71*VLOOKUP('Données projet'!$B$13,Paramètres!$A$1:$I$88,3,0)*0.475*44/12</f>
        <v>0</v>
      </c>
      <c r="DH71" s="21">
        <f>EXP(-LN(2)/2)*DH70+(1-EXP(-LN(2)/2))/(LN(2)/2)*DB71*DE71*VLOOKUP('Données projet'!$B$13,Paramètres!$A$1:$I$88,3,0)*0.475*44/12</f>
        <v>1.0784919159969624E-5</v>
      </c>
      <c r="DI71" s="22">
        <f t="shared" si="69"/>
        <v>34.020530087857068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projet'!$B$14,Paramètres!$A$1:$I$88,3,0)*VLOOKUP('Données projet'!$B$14,Paramètres!$A$1:$I$88,5,0)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projet'!$B$14,Paramètres!$A$1:$I$88,7,0))</f>
        <v>0</v>
      </c>
      <c r="DY71" s="16">
        <f>IF(ISNA(VLOOKUP(A71,'Données projet'!$A$165:$I$185,6,0)),0%,VLOOKUP(A71,'Données projet'!$A$165:$I$185,6,0)*VLOOKUP('Données projet'!$B$14,Paramètres!$A$1:$I$88,7,0))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projet'!$B$14,Paramètres!$A$1:$I$88,3,0)*0.475*44/12</f>
        <v>#N/A</v>
      </c>
      <c r="EB71" s="21" t="e">
        <f>EXP(-LN(2)/25)*EB70+(1-EXP(-LN(2)/25))/(LN(2)/25)*Calculateur!DW71*Calculateur!DY71*VLOOKUP('Données projet'!$B$14,Paramètres!$A$1:$I$88,3,0)*0.475*44/12</f>
        <v>#N/A</v>
      </c>
      <c r="EC71" s="21" t="e">
        <f>EXP(-LN(2)/2)*EC70+(1-EXP(-LN(2)/2))/(LN(2)/2)*DW71*DZ71*VLOOKUP('Données projet'!$B$14,Paramètres!$A$1:$I$88,3,0)*0.475*44/12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projet'!$B$15,Paramètres!$A$1:$I$88,3,0)*VLOOKUP('Données projet'!$B$15,Paramètres!$A$1:$I$88,5,0)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projet'!$B$15,Paramètres!$A$1:$I$88,7,0))</f>
        <v>0</v>
      </c>
      <c r="ET71" s="16">
        <f>IF(ISNA(VLOOKUP(A71,'Données projet'!$A$191:$I$211,6,0)),0%,VLOOKUP(A71,'Données projet'!$A$191:$I$211,6,0)*VLOOKUP('Données projet'!$B$15,Paramètres!$A$1:$I$88,7,0))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projet'!$B$15,Paramètres!$A$1:$I$88,3,0)*0.475*44/12</f>
        <v>#N/A</v>
      </c>
      <c r="EW71" s="21" t="e">
        <f>EXP(-LN(2)/25)*EW70+(1-EXP(-LN(2)/25))/(LN(2)/25)*Calculateur!ER71*Calculateur!ET71*VLOOKUP('Données projet'!$B$15,Paramètres!$A$1:$I$88,3,0)*0.475*44/12</f>
        <v>#N/A</v>
      </c>
      <c r="EX71" s="21" t="e">
        <f>EXP(-LN(2)/2)*EX70+(1-EXP(-LN(2)/2))/(LN(2)/2)*ER71*EU71*VLOOKUP('Données projet'!$B$15,Paramètres!$A$1:$I$88,3,0)*0.475*44/12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projet'!$B$16,Paramètres!$A$1:$I$88,3,0)*VLOOKUP('Données projet'!$B$16,Paramètres!$A$1:$I$88,5,0)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projet'!$B$16,Paramètres!$A$1:$I$88,7,0))</f>
        <v>0</v>
      </c>
      <c r="FO71" s="16">
        <f>IF(ISNA(VLOOKUP(A71,'Données projet'!$A$217:$I$237,6,0)),0%,VLOOKUP(A71,'Données projet'!$A$217:$I$237,6,0)*VLOOKUP('Données projet'!$B$16,Paramètres!$A$1:$I$88,7,0))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projet'!$B$16,Paramètres!$A$1:$I$88,3,0)*0.475*44/12</f>
        <v>#N/A</v>
      </c>
      <c r="FR71" s="21" t="e">
        <f>EXP(-LN(2)/25)*FR70+(1-EXP(-LN(2)/25))/(LN(2)/25)*Calculateur!FM71*Calculateur!FO71*VLOOKUP('Données projet'!$B$16,Paramètres!$A$1:$I$88,3,0)*0.475*44/12</f>
        <v>#N/A</v>
      </c>
      <c r="FS71" s="21" t="e">
        <f>EXP(-LN(2)/2)*FS70+(1-EXP(-LN(2)/2))/(LN(2)/2)*FM71*FP71*VLOOKUP('Données projet'!$B$16,Paramètres!$A$1:$I$88,3,0)*0.475*44/12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projet'!$B$17,Paramètres!$A$1:$I$88,3,0)*VLOOKUP('Données projet'!$B$17,Paramètres!$A$1:$I$88,5,0)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projet'!$B$17,Paramètres!$A$1:$I$88,7,0))</f>
        <v>0</v>
      </c>
      <c r="GJ71" s="16">
        <f>IF(ISNA(VLOOKUP(A71,'Données projet'!$A$243:$I$263,6,0)),0%,VLOOKUP(A71,'Données projet'!$A$243:$I$263,6,0)*VLOOKUP('Données projet'!$B$17,Paramètres!$A$1:$I$88,7,0))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projet'!$B$17,Paramètres!$A$1:$I$88,3,0)*0.475*44/12</f>
        <v>#N/A</v>
      </c>
      <c r="GM71" s="21" t="e">
        <f>EXP(-LN(2)/25)*GM70+(1-EXP(-LN(2)/25))/(LN(2)/25)*Calculateur!GH71*Calculateur!GJ71*VLOOKUP('Données projet'!$B$17,Paramètres!$A$1:$I$88,3,0)*0.475*44/12</f>
        <v>#N/A</v>
      </c>
      <c r="GN71" s="21" t="e">
        <f>EXP(-LN(2)/2)*GN70+(1-EXP(-LN(2)/2))/(LN(2)/2)*GH71*GK71*VLOOKUP('Données projet'!$B$17,Paramètres!$A$1:$I$88,3,0)*0.475*44/12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projet'!$B$18,Paramètres!$A$1:$I$88,3,0)*VLOOKUP('Données projet'!$B$18,Paramètres!$A$1:$I$88,5,0)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projet'!$B$18,Paramètres!$A$1:$I$88,7,0))</f>
        <v>0</v>
      </c>
      <c r="HE71" s="16">
        <f>IF(ISNA(VLOOKUP(A71,'Données projet'!$A$269:$I$289,6,0)),0%,VLOOKUP(A71,'Données projet'!$A$269:$I$289,6,0)*VLOOKUP('Données projet'!$B$18,Paramètres!$A$1:$I$88,7,0))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projet'!$B$18,Paramètres!$A$1:$I$88,3,0)*0.475*44/12</f>
        <v>#N/A</v>
      </c>
      <c r="HH71" s="21" t="e">
        <f>EXP(-LN(2)/25)*HH70+(1-EXP(-LN(2)/25))/(LN(2)/25)*Calculateur!HC71*Calculateur!HE71*VLOOKUP('Données projet'!$B$18,Paramètres!$A$1:$I$88,3,0)*0.475*44/12</f>
        <v>#N/A</v>
      </c>
      <c r="HI71" s="21" t="e">
        <f>EXP(-LN(2)/2)*HI70+(1-EXP(-LN(2)/2))/(LN(2)/2)*HC71*HF71*VLOOKUP('Données projet'!$B$18,Paramètres!$A$1:$I$88,3,0)*0.475*44/12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projet'!$B$9,Paramètres!$A$1:$I$88,3,0)*VLOOKUP('Données projet'!$B$9,Paramètres!$A$1:$I$88,5,0)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195.73441209602686</v>
      </c>
      <c r="T72" s="59">
        <f t="shared" si="88"/>
        <v>219.19129224309006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projet'!$B$9,Paramètres!$A$1:$I$88,7,0))</f>
        <v>0</v>
      </c>
      <c r="X72" s="16">
        <f>IF(ISNA(VLOOKUP(A72,'Données projet'!$A$35:$I$55,6,0)),0%,VLOOKUP(A72,'Données projet'!$A$35:$I$55,6,0)*VLOOKUP('Données projet'!$B$9,Paramètres!$A$1:$I$88,7,0))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projet'!$B$9,Paramètres!$A$1:$I$88,3,0)*0.475*44/12</f>
        <v>7.0453553478082158</v>
      </c>
      <c r="AA72" s="21">
        <f>EXP(-LN(2)/25)*AA71+(1-EXP(-LN(2)/25))/(LN(2)/25)*Calculateur!V72*Calculateur!X72*VLOOKUP('Données projet'!$B$9,Paramètres!$A$1:$I$88,3,0)*0.475*44/12</f>
        <v>4.8015819485312541</v>
      </c>
      <c r="AB72" s="21">
        <f>EXP(-LN(2)/2)*AB71+(1-EXP(-LN(2)/2))/(LN(2)/2)*V72*Y72*VLOOKUP('Données projet'!$B$9,Paramètres!$A$1:$I$88,3,0)*0.475*44/12</f>
        <v>5.3506075926651943E-8</v>
      </c>
      <c r="AC72" s="22">
        <f t="shared" si="57"/>
        <v>11.846937349845545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9.1999999999999993</v>
      </c>
      <c r="AI72" s="13">
        <f>IF('Données projet'!$A$62&gt;35,AI71+AH72-AQ71,IF(A72&lt;'Données projet'!$A$62,$AF$205^A72,IF(A72='Données projet'!$A$62,'Données projet'!$B$62,AI71+AH72-AQ71)))</f>
        <v>412.79999999999967</v>
      </c>
      <c r="AJ72" s="13">
        <f>AI72*VLOOKUP('Données projet'!$B$10,Paramètres!$A$1:$I$88,3,0)*VLOOKUP('Données projet'!$B$10,Paramètres!$A$1:$I$88,5,0)</f>
        <v>246.85439999999983</v>
      </c>
      <c r="AK72" s="13">
        <f t="shared" si="89"/>
        <v>59.911862368716115</v>
      </c>
      <c r="AL72" s="20">
        <f t="shared" si="58"/>
        <v>534.28457362551364</v>
      </c>
      <c r="AM72" s="59">
        <f t="shared" si="59"/>
        <v>827.61790695884702</v>
      </c>
      <c r="AN72" s="59">
        <f ca="1">AVERAGE(OFFSET($AM$3,0,0,'Données projet'!$E$10+1,1))-AVERAGE(OFFSET($H$3,0,0,'Données projet'!$E$10+1,1))</f>
        <v>246.59447135626942</v>
      </c>
      <c r="AO72" s="59">
        <f t="shared" si="90"/>
        <v>262.00382544285367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projet'!$B$10,Paramètres!$A$1:$I$88,7,0))</f>
        <v>0</v>
      </c>
      <c r="AS72" s="16">
        <f>IF(ISNA(VLOOKUP(A72,'Données projet'!$A$61:$I$81,6,0)),0%,VLOOKUP(A72,'Données projet'!$A$61:$I$81,6,0)*VLOOKUP('Données projet'!$B$10,Paramètres!$A$1:$I$88,7,0))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projet'!$B$10,Paramètres!$A$1:$I$88,3,0)*0.475*44/12</f>
        <v>0</v>
      </c>
      <c r="AV72" s="21">
        <f>EXP(-LN(2)/25)*AV71+(1-EXP(-LN(2)/25))/(LN(2)/25)*Calculateur!AQ72*Calculateur!AS72*VLOOKUP('Données projet'!$B$10,Paramètres!$A$1:$I$88,3,0)*0.475*44/12</f>
        <v>4.3578416347389224</v>
      </c>
      <c r="AW72" s="21">
        <f>EXP(-LN(2)/2)*AW71+(1-EXP(-LN(2)/2))/(LN(2)/2)*AQ72*AT72*VLOOKUP('Données projet'!$B$10,Paramètres!$A$1:$I$88,3,0)*0.475*44/12</f>
        <v>3.2003767547594742E-5</v>
      </c>
      <c r="AX72" s="21">
        <f t="shared" si="60"/>
        <v>4.3578736385064696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13.4</v>
      </c>
      <c r="BD72" s="12">
        <f>IF('Données projet'!$A$88&gt;35,BD71+BC72-BL71,IF(A72&lt;'Données projet'!$A$88,$BA$205^A72,IF(A72='Données projet'!$A$88,'Données projet'!$B$88,BD71+BC72-BL71)))</f>
        <v>600.59999999999968</v>
      </c>
      <c r="BE72" s="13">
        <f>BD72*VLOOKUP('Données projet'!$B$11,Paramètres!$A$1:$I$88,3,0)*VLOOKUP('Données projet'!$B$11,Paramètres!$A$1:$I$88,5,0)</f>
        <v>335.73539999999986</v>
      </c>
      <c r="BF72" s="13">
        <f t="shared" si="91"/>
        <v>78.618206841401843</v>
      </c>
      <c r="BG72" s="20">
        <f t="shared" si="61"/>
        <v>721.66586524877459</v>
      </c>
      <c r="BH72" s="59">
        <f t="shared" si="62"/>
        <v>1014.999198582108</v>
      </c>
      <c r="BI72" s="59">
        <f ca="1">AVERAGE(OFFSET($BH$3,0,0,'Données projet'!$E$11+1,1))-AVERAGE(OFFSET($H$3,0,0,'Données projet'!$E$11+1,1))</f>
        <v>355.96253323046608</v>
      </c>
      <c r="BJ72" s="59">
        <f t="shared" si="92"/>
        <v>366.8380442809696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projet'!$B$11,Paramètres!$A$1:$I$88,7,0))</f>
        <v>0</v>
      </c>
      <c r="BN72" s="16">
        <f>IF(ISNA(VLOOKUP(A72,'Données projet'!$A$87:$I$107,6,0)),0%,VLOOKUP(A72,'Données projet'!$A$87:$I$107,6,0)*VLOOKUP('Données projet'!$B$11,Paramètres!$A$1:$I$88,7,0))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projet'!$B$11,Paramètres!$A$1:$I$88,3,0)*0.475*44/12</f>
        <v>0</v>
      </c>
      <c r="BQ72" s="21">
        <f>EXP(-LN(2)/25)*BQ71+(1-EXP(-LN(2)/25))/(LN(2)/25)*Calculateur!BL72*Calculateur!BN72*VLOOKUP('Données projet'!$B$11,Paramètres!$A$1:$I$88,3,0)*0.475*44/12</f>
        <v>7.7156182104643038</v>
      </c>
      <c r="BR72" s="21">
        <f>EXP(-LN(2)/2)*BR71+(1-EXP(-LN(2)/2))/(LN(2)/2)*BL72*BO72*VLOOKUP('Données projet'!$B$11,Paramètres!$A$1:$I$88,3,0)*0.475*44/12</f>
        <v>4.9483039377268312E-5</v>
      </c>
      <c r="BS72" s="22">
        <f t="shared" si="63"/>
        <v>7.715667693503681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4.0999999999999996</v>
      </c>
      <c r="BY72" s="12">
        <f>IF('Données projet'!$A$114&gt;35,BY71+BX72-CG71,IF(A72&lt;'Données projet'!$A$114,$BV$205^A72,IF(A72='Données projet'!$A$114,'Données projet'!$B$114,BY71+BX72-CG71)))</f>
        <v>269.89999999999981</v>
      </c>
      <c r="BZ72" s="13">
        <f>BY72*VLOOKUP('Données projet'!$B$12,Paramètres!$A$1:$I$88,3,0)*VLOOKUP('Données projet'!$B$12,Paramètres!$A$1:$I$88,5,0)</f>
        <v>176.83847999999989</v>
      </c>
      <c r="CA72" s="13">
        <f t="shared" si="93"/>
        <v>44.618082457952006</v>
      </c>
      <c r="CB72" s="20">
        <f t="shared" si="64"/>
        <v>385.70351294759956</v>
      </c>
      <c r="CC72" s="59">
        <f t="shared" si="65"/>
        <v>679.03684628093288</v>
      </c>
      <c r="CD72" s="59">
        <f ca="1">AVERAGE(OFFSET($CC$3,0,0,'Données projet'!$E$12+1,1))-AVERAGE(OFFSET($H$3,0,0,'Données projet'!$E$12+1,1))</f>
        <v>180.90147430936133</v>
      </c>
      <c r="CE72" s="59">
        <f t="shared" si="94"/>
        <v>226.87949199830018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projet'!$B$12,Paramètres!$A$1:$I$88,7,0))</f>
        <v>0</v>
      </c>
      <c r="CI72" s="16">
        <f>IF(ISNA(VLOOKUP(A72,'Données projet'!$A$113:$I$133,6,0)),0%,VLOOKUP(A72,'Données projet'!$A$113:$I$133,6,0)*VLOOKUP('Données projet'!$B$12,Paramètres!$A$1:$I$88,7,0))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projet'!$B$12,Paramètres!$A$1:$I$88,3,0)*0.475*44/12</f>
        <v>0</v>
      </c>
      <c r="CL72" s="21">
        <f>EXP(-LN(2)/25)*CL71+(1-EXP(-LN(2)/25))/(LN(2)/25)*Calculateur!CG72*Calculateur!CI72*VLOOKUP('Données projet'!$B$12,Paramètres!$A$1:$I$88,3,0)*0.475*44/12</f>
        <v>2.3301493027810465</v>
      </c>
      <c r="CM72" s="21">
        <f>EXP(-LN(2)/2)*CM71+(1-EXP(-LN(2)/2))/(LN(2)/2)*CG72*CJ72*VLOOKUP('Données projet'!$B$12,Paramètres!$A$1:$I$88,3,0)*0.475*44/12</f>
        <v>1.1952792091788595E-5</v>
      </c>
      <c r="CN72" s="22">
        <f t="shared" si="66"/>
        <v>2.3301612555731381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5.6843418860808015E-14</v>
      </c>
      <c r="CU72" s="17">
        <f>CT72*VLOOKUP('Données projet'!$B$13,Paramètres!$A$1:$I$88,3,0)*VLOOKUP('Données projet'!$B$13,Paramètres!$A$1:$I$88,5,0)</f>
        <v>2.8908289095852525E-14</v>
      </c>
      <c r="CV72" s="13">
        <f t="shared" si="95"/>
        <v>5.0177780569126974E-13</v>
      </c>
      <c r="CW72" s="20">
        <f t="shared" si="67"/>
        <v>9.2427828175423786E-13</v>
      </c>
      <c r="CX72" s="59">
        <f t="shared" si="68"/>
        <v>293.33333333333422</v>
      </c>
      <c r="CY72" s="59">
        <f ca="1">AVERAGE(OFFSET($CX$3,0,0,'Données projet'!$E$13+1,1))-AVERAGE(OFFSET($H$3,0,0,'Données projet'!$E$13+1,1))</f>
        <v>133.08385802816008</v>
      </c>
      <c r="CZ72" s="59">
        <f t="shared" si="96"/>
        <v>316.59112511251385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projet'!$B$13,Paramètres!$A$1:$I$88,7,0))</f>
        <v>0</v>
      </c>
      <c r="DD72" s="16">
        <f>IF(ISNA(VLOOKUP(A72,'Données projet'!$A$139:$I$159,6,0)),0%,VLOOKUP(A72,'Données projet'!$A$139:$I$159,6,0)*VLOOKUP('Données projet'!$B$13,Paramètres!$A$1:$I$88,7,0))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projet'!$B$13,Paramètres!$A$1:$I$88,3,0)*0.475*44/12</f>
        <v>33.353397669875129</v>
      </c>
      <c r="DG72" s="21">
        <f>EXP(-LN(2)/25)*DG71+(1-EXP(-LN(2)/25))/(LN(2)/25)*Calculateur!DB72*Calculateur!DD72*VLOOKUP('Données projet'!$B$13,Paramètres!$A$1:$I$88,3,0)*0.475*44/12</f>
        <v>0</v>
      </c>
      <c r="DH72" s="21">
        <f>EXP(-LN(2)/2)*DH71+(1-EXP(-LN(2)/2))/(LN(2)/2)*DB72*DE72*VLOOKUP('Données projet'!$B$13,Paramètres!$A$1:$I$88,3,0)*0.475*44/12</f>
        <v>7.6260894725632452E-6</v>
      </c>
      <c r="DI72" s="22">
        <f t="shared" si="69"/>
        <v>33.353405295964599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projet'!$B$14,Paramètres!$A$1:$I$88,3,0)*VLOOKUP('Données projet'!$B$14,Paramètres!$A$1:$I$88,5,0)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projet'!$B$14,Paramètres!$A$1:$I$88,7,0))</f>
        <v>0</v>
      </c>
      <c r="DY72" s="16">
        <f>IF(ISNA(VLOOKUP(A72,'Données projet'!$A$165:$I$185,6,0)),0%,VLOOKUP(A72,'Données projet'!$A$165:$I$185,6,0)*VLOOKUP('Données projet'!$B$14,Paramètres!$A$1:$I$88,7,0))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projet'!$B$14,Paramètres!$A$1:$I$88,3,0)*0.475*44/12</f>
        <v>#N/A</v>
      </c>
      <c r="EB72" s="21" t="e">
        <f>EXP(-LN(2)/25)*EB71+(1-EXP(-LN(2)/25))/(LN(2)/25)*Calculateur!DW72*Calculateur!DY72*VLOOKUP('Données projet'!$B$14,Paramètres!$A$1:$I$88,3,0)*0.475*44/12</f>
        <v>#N/A</v>
      </c>
      <c r="EC72" s="21" t="e">
        <f>EXP(-LN(2)/2)*EC71+(1-EXP(-LN(2)/2))/(LN(2)/2)*DW72*DZ72*VLOOKUP('Données projet'!$B$14,Paramètres!$A$1:$I$88,3,0)*0.475*44/12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projet'!$B$15,Paramètres!$A$1:$I$88,3,0)*VLOOKUP('Données projet'!$B$15,Paramètres!$A$1:$I$88,5,0)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projet'!$B$15,Paramètres!$A$1:$I$88,7,0))</f>
        <v>0</v>
      </c>
      <c r="ET72" s="16">
        <f>IF(ISNA(VLOOKUP(A72,'Données projet'!$A$191:$I$211,6,0)),0%,VLOOKUP(A72,'Données projet'!$A$191:$I$211,6,0)*VLOOKUP('Données projet'!$B$15,Paramètres!$A$1:$I$88,7,0))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projet'!$B$15,Paramètres!$A$1:$I$88,3,0)*0.475*44/12</f>
        <v>#N/A</v>
      </c>
      <c r="EW72" s="21" t="e">
        <f>EXP(-LN(2)/25)*EW71+(1-EXP(-LN(2)/25))/(LN(2)/25)*Calculateur!ER72*Calculateur!ET72*VLOOKUP('Données projet'!$B$15,Paramètres!$A$1:$I$88,3,0)*0.475*44/12</f>
        <v>#N/A</v>
      </c>
      <c r="EX72" s="21" t="e">
        <f>EXP(-LN(2)/2)*EX71+(1-EXP(-LN(2)/2))/(LN(2)/2)*ER72*EU72*VLOOKUP('Données projet'!$B$15,Paramètres!$A$1:$I$88,3,0)*0.475*44/12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projet'!$B$16,Paramètres!$A$1:$I$88,3,0)*VLOOKUP('Données projet'!$B$16,Paramètres!$A$1:$I$88,5,0)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projet'!$B$16,Paramètres!$A$1:$I$88,7,0))</f>
        <v>0</v>
      </c>
      <c r="FO72" s="16">
        <f>IF(ISNA(VLOOKUP(A72,'Données projet'!$A$217:$I$237,6,0)),0%,VLOOKUP(A72,'Données projet'!$A$217:$I$237,6,0)*VLOOKUP('Données projet'!$B$16,Paramètres!$A$1:$I$88,7,0))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projet'!$B$16,Paramètres!$A$1:$I$88,3,0)*0.475*44/12</f>
        <v>#N/A</v>
      </c>
      <c r="FR72" s="21" t="e">
        <f>EXP(-LN(2)/25)*FR71+(1-EXP(-LN(2)/25))/(LN(2)/25)*Calculateur!FM72*Calculateur!FO72*VLOOKUP('Données projet'!$B$16,Paramètres!$A$1:$I$88,3,0)*0.475*44/12</f>
        <v>#N/A</v>
      </c>
      <c r="FS72" s="21" t="e">
        <f>EXP(-LN(2)/2)*FS71+(1-EXP(-LN(2)/2))/(LN(2)/2)*FM72*FP72*VLOOKUP('Données projet'!$B$16,Paramètres!$A$1:$I$88,3,0)*0.475*44/12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projet'!$B$17,Paramètres!$A$1:$I$88,3,0)*VLOOKUP('Données projet'!$B$17,Paramètres!$A$1:$I$88,5,0)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projet'!$B$17,Paramètres!$A$1:$I$88,7,0))</f>
        <v>0</v>
      </c>
      <c r="GJ72" s="16">
        <f>IF(ISNA(VLOOKUP(A72,'Données projet'!$A$243:$I$263,6,0)),0%,VLOOKUP(A72,'Données projet'!$A$243:$I$263,6,0)*VLOOKUP('Données projet'!$B$17,Paramètres!$A$1:$I$88,7,0))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projet'!$B$17,Paramètres!$A$1:$I$88,3,0)*0.475*44/12</f>
        <v>#N/A</v>
      </c>
      <c r="GM72" s="21" t="e">
        <f>EXP(-LN(2)/25)*GM71+(1-EXP(-LN(2)/25))/(LN(2)/25)*Calculateur!GH72*Calculateur!GJ72*VLOOKUP('Données projet'!$B$17,Paramètres!$A$1:$I$88,3,0)*0.475*44/12</f>
        <v>#N/A</v>
      </c>
      <c r="GN72" s="21" t="e">
        <f>EXP(-LN(2)/2)*GN71+(1-EXP(-LN(2)/2))/(LN(2)/2)*GH72*GK72*VLOOKUP('Données projet'!$B$17,Paramètres!$A$1:$I$88,3,0)*0.475*44/12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projet'!$B$18,Paramètres!$A$1:$I$88,3,0)*VLOOKUP('Données projet'!$B$18,Paramètres!$A$1:$I$88,5,0)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projet'!$B$18,Paramètres!$A$1:$I$88,7,0))</f>
        <v>0</v>
      </c>
      <c r="HE72" s="16">
        <f>IF(ISNA(VLOOKUP(A72,'Données projet'!$A$269:$I$289,6,0)),0%,VLOOKUP(A72,'Données projet'!$A$269:$I$289,6,0)*VLOOKUP('Données projet'!$B$18,Paramètres!$A$1:$I$88,7,0))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projet'!$B$18,Paramètres!$A$1:$I$88,3,0)*0.475*44/12</f>
        <v>#N/A</v>
      </c>
      <c r="HH72" s="21" t="e">
        <f>EXP(-LN(2)/25)*HH71+(1-EXP(-LN(2)/25))/(LN(2)/25)*Calculateur!HC72*Calculateur!HE72*VLOOKUP('Données projet'!$B$18,Paramètres!$A$1:$I$88,3,0)*0.475*44/12</f>
        <v>#N/A</v>
      </c>
      <c r="HI72" s="21" t="e">
        <f>EXP(-LN(2)/2)*HI71+(1-EXP(-LN(2)/2))/(LN(2)/2)*HC72*HF72*VLOOKUP('Données projet'!$B$18,Paramètres!$A$1:$I$88,3,0)*0.475*44/12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projet'!$B$9,Paramètres!$A$1:$I$88,3,0)*VLOOKUP('Données projet'!$B$9,Paramètres!$A$1:$I$88,5,0)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195.73441209602686</v>
      </c>
      <c r="T73" s="59">
        <f t="shared" si="88"/>
        <v>219.19129224309006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projet'!$B$9,Paramètres!$A$1:$I$88,7,0))</f>
        <v>0</v>
      </c>
      <c r="X73" s="16">
        <f>IF(ISNA(VLOOKUP(A73,'Données projet'!$A$35:$I$55,6,0)),0%,VLOOKUP(A73,'Données projet'!$A$35:$I$55,6,0)*VLOOKUP('Données projet'!$B$9,Paramètres!$A$1:$I$88,7,0))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projet'!$B$9,Paramètres!$A$1:$I$88,3,0)*0.475*44/12</f>
        <v>6.9072002266801418</v>
      </c>
      <c r="AA73" s="21">
        <f>EXP(-LN(2)/25)*AA72+(1-EXP(-LN(2)/25))/(LN(2)/25)*Calculateur!V73*Calculateur!X73*VLOOKUP('Données projet'!$B$9,Paramètres!$A$1:$I$88,3,0)*0.475*44/12</f>
        <v>4.6702824376444463</v>
      </c>
      <c r="AB73" s="21">
        <f>EXP(-LN(2)/2)*AB72+(1-EXP(-LN(2)/2))/(LN(2)/2)*V73*Y73*VLOOKUP('Données projet'!$B$9,Paramètres!$A$1:$I$88,3,0)*0.475*44/12</f>
        <v>3.7834509122417873E-8</v>
      </c>
      <c r="AC73" s="22">
        <f t="shared" si="57"/>
        <v>11.577482702159097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422</v>
      </c>
      <c r="AG73" s="12">
        <f>VLOOKUP(A73,'Données projet'!$A$61:$I$81,9,0)</f>
        <v>9.1999999999999993</v>
      </c>
      <c r="AH73" s="12">
        <f t="array" ref="AH73">INDEX(AG:AG,MIN(IF(ISNUMBER(AG73:AG269),ROW(AG73:AG269),"")))</f>
        <v>9.1999999999999993</v>
      </c>
      <c r="AI73" s="13">
        <f>IF('Données projet'!$A$62&gt;35,AI72+AH73-AQ72,IF(A73&lt;'Données projet'!$A$62,$AF$205^A73,IF(A73='Données projet'!$A$62,'Données projet'!$B$62,AI72+AH73-AQ72)))</f>
        <v>421.99999999999966</v>
      </c>
      <c r="AJ73" s="13">
        <f>AI73*VLOOKUP('Données projet'!$B$10,Paramètres!$A$1:$I$88,3,0)*VLOOKUP('Données projet'!$B$10,Paramètres!$A$1:$I$88,5,0)</f>
        <v>252.35599999999982</v>
      </c>
      <c r="AK73" s="13">
        <f t="shared" si="89"/>
        <v>61.090167050998701</v>
      </c>
      <c r="AL73" s="20">
        <f t="shared" si="58"/>
        <v>545.9187409471557</v>
      </c>
      <c r="AM73" s="59">
        <f t="shared" si="59"/>
        <v>839.25207428048907</v>
      </c>
      <c r="AN73" s="59">
        <f ca="1">AVERAGE(OFFSET($AM$3,0,0,'Données projet'!$E$10+1,1))-AVERAGE(OFFSET($H$3,0,0,'Données projet'!$E$10+1,1))</f>
        <v>246.59447135626942</v>
      </c>
      <c r="AO73" s="59">
        <f t="shared" si="90"/>
        <v>262.00382544285367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44</v>
      </c>
      <c r="AR73" s="16">
        <f>IF(ISNA(VLOOKUP(A73,'Données projet'!$A$61:$I$81,5,0)),0%,VLOOKUP(A73,'Données projet'!$A$61:$I$81,5,0)*VLOOKUP('Données projet'!$B$10,Paramètres!$A$1:$I$88,7,0))</f>
        <v>0</v>
      </c>
      <c r="AS73" s="16">
        <f>IF(ISNA(VLOOKUP(A73,'Données projet'!$A$61:$I$81,6,0)),0%,VLOOKUP(A73,'Données projet'!$A$61:$I$81,6,0)*VLOOKUP('Données projet'!$B$10,Paramètres!$A$1:$I$88,7,0))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projet'!$B$10,Paramètres!$A$1:$I$88,3,0)*0.475*44/12</f>
        <v>0</v>
      </c>
      <c r="AV73" s="21">
        <f>EXP(-LN(2)/25)*AV72+(1-EXP(-LN(2)/25))/(LN(2)/25)*Calculateur!AQ73*Calculateur!AS73*VLOOKUP('Données projet'!$B$10,Paramètres!$A$1:$I$88,3,0)*0.475*44/12</f>
        <v>4.2386762260680548</v>
      </c>
      <c r="AW73" s="21">
        <f>EXP(-LN(2)/2)*AW72+(1-EXP(-LN(2)/2))/(LN(2)/2)*AQ73*AT73*VLOOKUP('Données projet'!$B$10,Paramètres!$A$1:$I$88,3,0)*0.475*44/12</f>
        <v>2.2630081056422206E-5</v>
      </c>
      <c r="AX73" s="21">
        <f t="shared" si="60"/>
        <v>4.238698856149111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614</v>
      </c>
      <c r="BB73" s="12">
        <f>VLOOKUP(A73,'Données projet'!$A$87:$I$107,9,0)</f>
        <v>13.4</v>
      </c>
      <c r="BC73" s="12">
        <f t="array" ref="BC73">INDEX(BB:BB,MIN(IF(ISNUMBER(BB73:BB269),ROW(BB73:BB269),"")))</f>
        <v>13.4</v>
      </c>
      <c r="BD73" s="12">
        <f>IF('Données projet'!$A$88&gt;35,BD72+BC73-BL72,IF(A73&lt;'Données projet'!$A$88,$BA$205^A73,IF(A73='Données projet'!$A$88,'Données projet'!$B$88,BD72+BC73-BL72)))</f>
        <v>613.99999999999966</v>
      </c>
      <c r="BE73" s="13">
        <f>BD73*VLOOKUP('Données projet'!$B$11,Paramètres!$A$1:$I$88,3,0)*VLOOKUP('Données projet'!$B$11,Paramètres!$A$1:$I$88,5,0)</f>
        <v>343.22599999999983</v>
      </c>
      <c r="BF73" s="13">
        <f t="shared" si="91"/>
        <v>80.166091681676377</v>
      </c>
      <c r="BG73" s="20">
        <f t="shared" si="61"/>
        <v>737.40789301225266</v>
      </c>
      <c r="BH73" s="59">
        <f t="shared" si="62"/>
        <v>1030.741226345586</v>
      </c>
      <c r="BI73" s="59">
        <f ca="1">AVERAGE(OFFSET($BH$3,0,0,'Données projet'!$E$11+1,1))-AVERAGE(OFFSET($H$3,0,0,'Données projet'!$E$11+1,1))</f>
        <v>355.96253323046608</v>
      </c>
      <c r="BJ73" s="59">
        <f t="shared" si="92"/>
        <v>366.8380442809696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67</v>
      </c>
      <c r="BM73" s="16">
        <f>IF(ISNA(VLOOKUP(A73,'Données projet'!$A$87:$I$107,5,0)),0%,VLOOKUP(A73,'Données projet'!$A$87:$I$107,5,0)*VLOOKUP('Données projet'!$B$11,Paramètres!$A$1:$I$88,7,0))</f>
        <v>0</v>
      </c>
      <c r="BN73" s="16">
        <f>IF(ISNA(VLOOKUP(A73,'Données projet'!$A$87:$I$107,6,0)),0%,VLOOKUP(A73,'Données projet'!$A$87:$I$107,6,0)*VLOOKUP('Données projet'!$B$11,Paramètres!$A$1:$I$88,7,0))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projet'!$B$11,Paramètres!$A$1:$I$88,3,0)*0.475*44/12</f>
        <v>0</v>
      </c>
      <c r="BQ73" s="21">
        <f>EXP(-LN(2)/25)*BQ72+(1-EXP(-LN(2)/25))/(LN(2)/25)*Calculateur!BL73*Calculateur!BN73*VLOOKUP('Données projet'!$B$11,Paramètres!$A$1:$I$88,3,0)*0.475*44/12</f>
        <v>7.5046342247524302</v>
      </c>
      <c r="BR73" s="21">
        <f>EXP(-LN(2)/2)*BR72+(1-EXP(-LN(2)/2))/(LN(2)/2)*BL73*BO73*VLOOKUP('Données projet'!$B$11,Paramètres!$A$1:$I$88,3,0)*0.475*44/12</f>
        <v>3.4989792697387379E-5</v>
      </c>
      <c r="BS73" s="22">
        <f t="shared" si="63"/>
        <v>7.5046692145451273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274</v>
      </c>
      <c r="BW73" s="12">
        <f>VLOOKUP(A73,'Données projet'!$A$113:$I$133,9,0)</f>
        <v>4.0999999999999996</v>
      </c>
      <c r="BX73" s="12">
        <f t="array" ref="BX73">INDEX(BW:BW,MIN(IF(ISNUMBER(BW73:BW269),ROW(BW73:BW269),"")))</f>
        <v>4.0999999999999996</v>
      </c>
      <c r="BY73" s="12">
        <f>IF('Données projet'!$A$114&gt;35,BY72+BX73-CG72,IF(A73&lt;'Données projet'!$A$114,$BV$205^A73,IF(A73='Données projet'!$A$114,'Données projet'!$B$114,BY72+BX73-CG72)))</f>
        <v>273.99999999999983</v>
      </c>
      <c r="BZ73" s="13">
        <f>BY73*VLOOKUP('Données projet'!$B$12,Paramètres!$A$1:$I$88,3,0)*VLOOKUP('Données projet'!$B$12,Paramètres!$A$1:$I$88,5,0)</f>
        <v>179.52479999999989</v>
      </c>
      <c r="CA73" s="13">
        <f t="shared" si="93"/>
        <v>45.216446661458228</v>
      </c>
      <c r="CB73" s="20">
        <f t="shared" si="64"/>
        <v>391.42433793537288</v>
      </c>
      <c r="CC73" s="59">
        <f t="shared" si="65"/>
        <v>684.75767126870619</v>
      </c>
      <c r="CD73" s="59">
        <f ca="1">AVERAGE(OFFSET($CC$3,0,0,'Données projet'!$E$12+1,1))-AVERAGE(OFFSET($H$3,0,0,'Données projet'!$E$12+1,1))</f>
        <v>180.90147430936133</v>
      </c>
      <c r="CE73" s="59">
        <f t="shared" si="94"/>
        <v>226.87949199830018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projet'!$B$12,Paramètres!$A$1:$I$88,7,0))</f>
        <v>0</v>
      </c>
      <c r="CI73" s="16">
        <f>IF(ISNA(VLOOKUP(A73,'Données projet'!$A$113:$I$133,6,0)),0%,VLOOKUP(A73,'Données projet'!$A$113:$I$133,6,0)*VLOOKUP('Données projet'!$B$12,Paramètres!$A$1:$I$88,7,0))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projet'!$B$12,Paramètres!$A$1:$I$88,3,0)*0.475*44/12</f>
        <v>0</v>
      </c>
      <c r="CL73" s="21">
        <f>EXP(-LN(2)/25)*CL72+(1-EXP(-LN(2)/25))/(LN(2)/25)*Calculateur!CG73*Calculateur!CI73*VLOOKUP('Données projet'!$B$12,Paramètres!$A$1:$I$88,3,0)*0.475*44/12</f>
        <v>2.2664312475592725</v>
      </c>
      <c r="CM73" s="21">
        <f>EXP(-LN(2)/2)*CM72+(1-EXP(-LN(2)/2))/(LN(2)/2)*CG73*CJ73*VLOOKUP('Données projet'!$B$12,Paramètres!$A$1:$I$88,3,0)*0.475*44/12</f>
        <v>8.4519003422166533E-6</v>
      </c>
      <c r="CN73" s="22">
        <f t="shared" si="66"/>
        <v>2.2664396994596148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5.6843418860808015E-14</v>
      </c>
      <c r="CU73" s="17">
        <f>CT73*VLOOKUP('Données projet'!$B$13,Paramètres!$A$1:$I$88,3,0)*VLOOKUP('Données projet'!$B$13,Paramètres!$A$1:$I$88,5,0)</f>
        <v>2.8908289095852525E-14</v>
      </c>
      <c r="CV73" s="13">
        <f t="shared" si="95"/>
        <v>5.0177780569126974E-13</v>
      </c>
      <c r="CW73" s="20">
        <f t="shared" si="67"/>
        <v>9.2427828175423786E-13</v>
      </c>
      <c r="CX73" s="59">
        <f t="shared" si="68"/>
        <v>293.33333333333422</v>
      </c>
      <c r="CY73" s="59">
        <f ca="1">AVERAGE(OFFSET($CX$3,0,0,'Données projet'!$E$13+1,1))-AVERAGE(OFFSET($H$3,0,0,'Données projet'!$E$13+1,1))</f>
        <v>133.08385802816008</v>
      </c>
      <c r="CZ73" s="59">
        <f t="shared" si="96"/>
        <v>316.59112511251385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projet'!$B$13,Paramètres!$A$1:$I$88,7,0))</f>
        <v>0</v>
      </c>
      <c r="DD73" s="16">
        <f>IF(ISNA(VLOOKUP(A73,'Données projet'!$A$139:$I$159,6,0)),0%,VLOOKUP(A73,'Données projet'!$A$139:$I$159,6,0)*VLOOKUP('Données projet'!$B$13,Paramètres!$A$1:$I$88,7,0))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projet'!$B$13,Paramètres!$A$1:$I$88,3,0)*0.475*44/12</f>
        <v>32.699357885132699</v>
      </c>
      <c r="DG73" s="21">
        <f>EXP(-LN(2)/25)*DG72+(1-EXP(-LN(2)/25))/(LN(2)/25)*Calculateur!DB73*Calculateur!DD73*VLOOKUP('Données projet'!$B$13,Paramètres!$A$1:$I$88,3,0)*0.475*44/12</f>
        <v>0</v>
      </c>
      <c r="DH73" s="21">
        <f>EXP(-LN(2)/2)*DH72+(1-EXP(-LN(2)/2))/(LN(2)/2)*DB73*DE73*VLOOKUP('Données projet'!$B$13,Paramètres!$A$1:$I$88,3,0)*0.475*44/12</f>
        <v>5.3924595799848127E-6</v>
      </c>
      <c r="DI73" s="22">
        <f t="shared" si="69"/>
        <v>32.699363277592276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projet'!$B$14,Paramètres!$A$1:$I$88,3,0)*VLOOKUP('Données projet'!$B$14,Paramètres!$A$1:$I$88,5,0)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projet'!$B$14,Paramètres!$A$1:$I$88,7,0))</f>
        <v>0</v>
      </c>
      <c r="DY73" s="16">
        <f>IF(ISNA(VLOOKUP(A73,'Données projet'!$A$165:$I$185,6,0)),0%,VLOOKUP(A73,'Données projet'!$A$165:$I$185,6,0)*VLOOKUP('Données projet'!$B$14,Paramètres!$A$1:$I$88,7,0))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projet'!$B$14,Paramètres!$A$1:$I$88,3,0)*0.475*44/12</f>
        <v>#N/A</v>
      </c>
      <c r="EB73" s="21" t="e">
        <f>EXP(-LN(2)/25)*EB72+(1-EXP(-LN(2)/25))/(LN(2)/25)*Calculateur!DW73*Calculateur!DY73*VLOOKUP('Données projet'!$B$14,Paramètres!$A$1:$I$88,3,0)*0.475*44/12</f>
        <v>#N/A</v>
      </c>
      <c r="EC73" s="21" t="e">
        <f>EXP(-LN(2)/2)*EC72+(1-EXP(-LN(2)/2))/(LN(2)/2)*DW73*DZ73*VLOOKUP('Données projet'!$B$14,Paramètres!$A$1:$I$88,3,0)*0.475*44/12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projet'!$B$15,Paramètres!$A$1:$I$88,3,0)*VLOOKUP('Données projet'!$B$15,Paramètres!$A$1:$I$88,5,0)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projet'!$B$15,Paramètres!$A$1:$I$88,7,0))</f>
        <v>0</v>
      </c>
      <c r="ET73" s="16">
        <f>IF(ISNA(VLOOKUP(A73,'Données projet'!$A$191:$I$211,6,0)),0%,VLOOKUP(A73,'Données projet'!$A$191:$I$211,6,0)*VLOOKUP('Données projet'!$B$15,Paramètres!$A$1:$I$88,7,0))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projet'!$B$15,Paramètres!$A$1:$I$88,3,0)*0.475*44/12</f>
        <v>#N/A</v>
      </c>
      <c r="EW73" s="21" t="e">
        <f>EXP(-LN(2)/25)*EW72+(1-EXP(-LN(2)/25))/(LN(2)/25)*Calculateur!ER73*Calculateur!ET73*VLOOKUP('Données projet'!$B$15,Paramètres!$A$1:$I$88,3,0)*0.475*44/12</f>
        <v>#N/A</v>
      </c>
      <c r="EX73" s="21" t="e">
        <f>EXP(-LN(2)/2)*EX72+(1-EXP(-LN(2)/2))/(LN(2)/2)*ER73*EU73*VLOOKUP('Données projet'!$B$15,Paramètres!$A$1:$I$88,3,0)*0.475*44/12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projet'!$B$16,Paramètres!$A$1:$I$88,3,0)*VLOOKUP('Données projet'!$B$16,Paramètres!$A$1:$I$88,5,0)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projet'!$B$16,Paramètres!$A$1:$I$88,7,0))</f>
        <v>0</v>
      </c>
      <c r="FO73" s="16">
        <f>IF(ISNA(VLOOKUP(A73,'Données projet'!$A$217:$I$237,6,0)),0%,VLOOKUP(A73,'Données projet'!$A$217:$I$237,6,0)*VLOOKUP('Données projet'!$B$16,Paramètres!$A$1:$I$88,7,0))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projet'!$B$16,Paramètres!$A$1:$I$88,3,0)*0.475*44/12</f>
        <v>#N/A</v>
      </c>
      <c r="FR73" s="21" t="e">
        <f>EXP(-LN(2)/25)*FR72+(1-EXP(-LN(2)/25))/(LN(2)/25)*Calculateur!FM73*Calculateur!FO73*VLOOKUP('Données projet'!$B$16,Paramètres!$A$1:$I$88,3,0)*0.475*44/12</f>
        <v>#N/A</v>
      </c>
      <c r="FS73" s="21" t="e">
        <f>EXP(-LN(2)/2)*FS72+(1-EXP(-LN(2)/2))/(LN(2)/2)*FM73*FP73*VLOOKUP('Données projet'!$B$16,Paramètres!$A$1:$I$88,3,0)*0.475*44/12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projet'!$B$17,Paramètres!$A$1:$I$88,3,0)*VLOOKUP('Données projet'!$B$17,Paramètres!$A$1:$I$88,5,0)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projet'!$B$17,Paramètres!$A$1:$I$88,7,0))</f>
        <v>0</v>
      </c>
      <c r="GJ73" s="16">
        <f>IF(ISNA(VLOOKUP(A73,'Données projet'!$A$243:$I$263,6,0)),0%,VLOOKUP(A73,'Données projet'!$A$243:$I$263,6,0)*VLOOKUP('Données projet'!$B$17,Paramètres!$A$1:$I$88,7,0))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projet'!$B$17,Paramètres!$A$1:$I$88,3,0)*0.475*44/12</f>
        <v>#N/A</v>
      </c>
      <c r="GM73" s="21" t="e">
        <f>EXP(-LN(2)/25)*GM72+(1-EXP(-LN(2)/25))/(LN(2)/25)*Calculateur!GH73*Calculateur!GJ73*VLOOKUP('Données projet'!$B$17,Paramètres!$A$1:$I$88,3,0)*0.475*44/12</f>
        <v>#N/A</v>
      </c>
      <c r="GN73" s="21" t="e">
        <f>EXP(-LN(2)/2)*GN72+(1-EXP(-LN(2)/2))/(LN(2)/2)*GH73*GK73*VLOOKUP('Données projet'!$B$17,Paramètres!$A$1:$I$88,3,0)*0.475*44/12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projet'!$B$18,Paramètres!$A$1:$I$88,3,0)*VLOOKUP('Données projet'!$B$18,Paramètres!$A$1:$I$88,5,0)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projet'!$B$18,Paramètres!$A$1:$I$88,7,0))</f>
        <v>0</v>
      </c>
      <c r="HE73" s="16">
        <f>IF(ISNA(VLOOKUP(A73,'Données projet'!$A$269:$I$289,6,0)),0%,VLOOKUP(A73,'Données projet'!$A$269:$I$289,6,0)*VLOOKUP('Données projet'!$B$18,Paramètres!$A$1:$I$88,7,0))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projet'!$B$18,Paramètres!$A$1:$I$88,3,0)*0.475*44/12</f>
        <v>#N/A</v>
      </c>
      <c r="HH73" s="21" t="e">
        <f>EXP(-LN(2)/25)*HH72+(1-EXP(-LN(2)/25))/(LN(2)/25)*Calculateur!HC73*Calculateur!HE73*VLOOKUP('Données projet'!$B$18,Paramètres!$A$1:$I$88,3,0)*0.475*44/12</f>
        <v>#N/A</v>
      </c>
      <c r="HI73" s="21" t="e">
        <f>EXP(-LN(2)/2)*HI72+(1-EXP(-LN(2)/2))/(LN(2)/2)*HC73*HF73*VLOOKUP('Données projet'!$B$18,Paramètres!$A$1:$I$88,3,0)*0.475*44/12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projet'!$B$9,Paramètres!$A$1:$I$88,3,0)*VLOOKUP('Données projet'!$B$9,Paramètres!$A$1:$I$88,5,0)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195.73441209602686</v>
      </c>
      <c r="T74" s="59">
        <f t="shared" si="88"/>
        <v>219.19129224309006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projet'!$B$9,Paramètres!$A$1:$I$88,7,0))</f>
        <v>0</v>
      </c>
      <c r="X74" s="16">
        <f>IF(ISNA(VLOOKUP(A74,'Données projet'!$A$35:$I$55,6,0)),0%,VLOOKUP(A74,'Données projet'!$A$35:$I$55,6,0)*VLOOKUP('Données projet'!$B$9,Paramètres!$A$1:$I$88,7,0))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projet'!$B$9,Paramètres!$A$1:$I$88,3,0)*0.475*44/12</f>
        <v>6.7717542432110855</v>
      </c>
      <c r="AA74" s="21">
        <f>EXP(-LN(2)/25)*AA73+(1-EXP(-LN(2)/25))/(LN(2)/25)*Calculateur!V74*Calculateur!X74*VLOOKUP('Données projet'!$B$9,Paramètres!$A$1:$I$88,3,0)*0.475*44/12</f>
        <v>4.5425733187875794</v>
      </c>
      <c r="AB74" s="21">
        <f>EXP(-LN(2)/2)*AB73+(1-EXP(-LN(2)/2))/(LN(2)/2)*V74*Y74*VLOOKUP('Données projet'!$B$9,Paramètres!$A$1:$I$88,3,0)*0.475*44/12</f>
        <v>2.6753037963325972E-8</v>
      </c>
      <c r="AC74" s="22">
        <f t="shared" si="57"/>
        <v>11.314327588751702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7.2</v>
      </c>
      <c r="AI74" s="13">
        <f>IF('Données projet'!$A$62&gt;35,AI73+AH74-AQ73,IF(A74&lt;'Données projet'!$A$62,$AF$205^A74,IF(A74='Données projet'!$A$62,'Données projet'!$B$62,AI73+AH74-AQ73)))</f>
        <v>385.19999999999965</v>
      </c>
      <c r="AJ74" s="13">
        <f>AI74*VLOOKUP('Données projet'!$B$10,Paramètres!$A$1:$I$88,3,0)*VLOOKUP('Données projet'!$B$10,Paramètres!$A$1:$I$88,5,0)</f>
        <v>230.34959999999978</v>
      </c>
      <c r="AK74" s="13">
        <f t="shared" si="89"/>
        <v>56.358266541426261</v>
      </c>
      <c r="AL74" s="20">
        <f t="shared" si="58"/>
        <v>499.34953422631702</v>
      </c>
      <c r="AM74" s="59">
        <f t="shared" si="59"/>
        <v>792.68286755965028</v>
      </c>
      <c r="AN74" s="59">
        <f ca="1">AVERAGE(OFFSET($AM$3,0,0,'Données projet'!$E$10+1,1))-AVERAGE(OFFSET($H$3,0,0,'Données projet'!$E$10+1,1))</f>
        <v>246.59447135626942</v>
      </c>
      <c r="AO74" s="59">
        <f t="shared" si="90"/>
        <v>262.00382544285367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projet'!$B$10,Paramètres!$A$1:$I$88,7,0))</f>
        <v>0</v>
      </c>
      <c r="AS74" s="16">
        <f>IF(ISNA(VLOOKUP(A74,'Données projet'!$A$61:$I$81,6,0)),0%,VLOOKUP(A74,'Données projet'!$A$61:$I$81,6,0)*VLOOKUP('Données projet'!$B$10,Paramètres!$A$1:$I$88,7,0))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projet'!$B$10,Paramètres!$A$1:$I$88,3,0)*0.475*44/12</f>
        <v>0</v>
      </c>
      <c r="AV74" s="21">
        <f>EXP(-LN(2)/25)*AV73+(1-EXP(-LN(2)/25))/(LN(2)/25)*Calculateur!AQ74*Calculateur!AS74*VLOOKUP('Données projet'!$B$10,Paramètres!$A$1:$I$88,3,0)*0.475*44/12</f>
        <v>4.1227694017639287</v>
      </c>
      <c r="AW74" s="21">
        <f>EXP(-LN(2)/2)*AW73+(1-EXP(-LN(2)/2))/(LN(2)/2)*AQ74*AT74*VLOOKUP('Données projet'!$B$10,Paramètres!$A$1:$I$88,3,0)*0.475*44/12</f>
        <v>1.6001883773797371E-5</v>
      </c>
      <c r="AX74" s="21">
        <f t="shared" si="60"/>
        <v>4.1227854036477023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10.4</v>
      </c>
      <c r="BD74" s="12">
        <f>IF('Données projet'!$A$88&gt;35,BD73+BC74-BL73,IF(A74&lt;'Données projet'!$A$88,$BA$205^A74,IF(A74='Données projet'!$A$88,'Données projet'!$B$88,BD73+BC74-BL73)))</f>
        <v>557.39999999999964</v>
      </c>
      <c r="BE74" s="13">
        <f>BD74*VLOOKUP('Données projet'!$B$11,Paramètres!$A$1:$I$88,3,0)*VLOOKUP('Données projet'!$B$11,Paramètres!$A$1:$I$88,5,0)</f>
        <v>311.58659999999981</v>
      </c>
      <c r="BF74" s="13">
        <f t="shared" si="91"/>
        <v>73.60007688942116</v>
      </c>
      <c r="BG74" s="20">
        <f t="shared" si="61"/>
        <v>670.86679558240803</v>
      </c>
      <c r="BH74" s="59">
        <f t="shared" si="62"/>
        <v>964.20012891574129</v>
      </c>
      <c r="BI74" s="59">
        <f ca="1">AVERAGE(OFFSET($BH$3,0,0,'Données projet'!$E$11+1,1))-AVERAGE(OFFSET($H$3,0,0,'Données projet'!$E$11+1,1))</f>
        <v>355.96253323046608</v>
      </c>
      <c r="BJ74" s="59">
        <f t="shared" si="92"/>
        <v>366.8380442809696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projet'!$B$11,Paramètres!$A$1:$I$88,7,0))</f>
        <v>0</v>
      </c>
      <c r="BN74" s="16">
        <f>IF(ISNA(VLOOKUP(A74,'Données projet'!$A$87:$I$107,6,0)),0%,VLOOKUP(A74,'Données projet'!$A$87:$I$107,6,0)*VLOOKUP('Données projet'!$B$11,Paramètres!$A$1:$I$88,7,0))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projet'!$B$11,Paramètres!$A$1:$I$88,3,0)*0.475*44/12</f>
        <v>0</v>
      </c>
      <c r="BQ74" s="21">
        <f>EXP(-LN(2)/25)*BQ73+(1-EXP(-LN(2)/25))/(LN(2)/25)*Calculateur!BL74*Calculateur!BN74*VLOOKUP('Données projet'!$B$11,Paramètres!$A$1:$I$88,3,0)*0.475*44/12</f>
        <v>7.2994196072250128</v>
      </c>
      <c r="BR74" s="21">
        <f>EXP(-LN(2)/2)*BR73+(1-EXP(-LN(2)/2))/(LN(2)/2)*BL74*BO74*VLOOKUP('Données projet'!$B$11,Paramètres!$A$1:$I$88,3,0)*0.475*44/12</f>
        <v>2.4741519688634156E-5</v>
      </c>
      <c r="BS74" s="22">
        <f t="shared" si="63"/>
        <v>7.2994443487447018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3.1</v>
      </c>
      <c r="BY74" s="12">
        <f>IF('Données projet'!$A$114&gt;35,BY73+BX74-CG73,IF(A74&lt;'Données projet'!$A$114,$BV$205^A74,IF(A74='Données projet'!$A$114,'Données projet'!$B$114,BY73+BX74-CG73)))</f>
        <v>256.09999999999985</v>
      </c>
      <c r="BZ74" s="13">
        <f>BY74*VLOOKUP('Données projet'!$B$12,Paramètres!$A$1:$I$88,3,0)*VLOOKUP('Données projet'!$B$12,Paramètres!$A$1:$I$88,5,0)</f>
        <v>167.79671999999991</v>
      </c>
      <c r="CA74" s="13">
        <f t="shared" si="93"/>
        <v>42.596188133569918</v>
      </c>
      <c r="CB74" s="20">
        <f t="shared" si="64"/>
        <v>366.43431499930074</v>
      </c>
      <c r="CC74" s="59">
        <f t="shared" si="65"/>
        <v>659.76764833263405</v>
      </c>
      <c r="CD74" s="59">
        <f ca="1">AVERAGE(OFFSET($CC$3,0,0,'Données projet'!$E$12+1,1))-AVERAGE(OFFSET($H$3,0,0,'Données projet'!$E$12+1,1))</f>
        <v>180.90147430936133</v>
      </c>
      <c r="CE74" s="59">
        <f t="shared" si="94"/>
        <v>226.87949199830018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projet'!$B$12,Paramètres!$A$1:$I$88,7,0))</f>
        <v>0</v>
      </c>
      <c r="CI74" s="16">
        <f>IF(ISNA(VLOOKUP(A74,'Données projet'!$A$113:$I$133,6,0)),0%,VLOOKUP(A74,'Données projet'!$A$113:$I$133,6,0)*VLOOKUP('Données projet'!$B$12,Paramètres!$A$1:$I$88,7,0))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projet'!$B$12,Paramètres!$A$1:$I$88,3,0)*0.475*44/12</f>
        <v>0</v>
      </c>
      <c r="CL74" s="21">
        <f>EXP(-LN(2)/25)*CL73+(1-EXP(-LN(2)/25))/(LN(2)/25)*Calculateur!CG74*Calculateur!CI74*VLOOKUP('Données projet'!$B$12,Paramètres!$A$1:$I$88,3,0)*0.475*44/12</f>
        <v>2.2044555659083249</v>
      </c>
      <c r="CM74" s="21">
        <f>EXP(-LN(2)/2)*CM73+(1-EXP(-LN(2)/2))/(LN(2)/2)*CG74*CJ74*VLOOKUP('Données projet'!$B$12,Paramètres!$A$1:$I$88,3,0)*0.475*44/12</f>
        <v>5.9763960458942974E-6</v>
      </c>
      <c r="CN74" s="22">
        <f t="shared" si="66"/>
        <v>2.204461542304371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5.6843418860808015E-14</v>
      </c>
      <c r="CU74" s="17">
        <f>CT74*VLOOKUP('Données projet'!$B$13,Paramètres!$A$1:$I$88,3,0)*VLOOKUP('Données projet'!$B$13,Paramètres!$A$1:$I$88,5,0)</f>
        <v>2.8908289095852525E-14</v>
      </c>
      <c r="CV74" s="13">
        <f t="shared" si="95"/>
        <v>5.0177780569126974E-13</v>
      </c>
      <c r="CW74" s="20">
        <f t="shared" si="67"/>
        <v>9.2427828175423786E-13</v>
      </c>
      <c r="CX74" s="59">
        <f t="shared" si="68"/>
        <v>293.33333333333422</v>
      </c>
      <c r="CY74" s="59">
        <f ca="1">AVERAGE(OFFSET($CX$3,0,0,'Données projet'!$E$13+1,1))-AVERAGE(OFFSET($H$3,0,0,'Données projet'!$E$13+1,1))</f>
        <v>133.08385802816008</v>
      </c>
      <c r="CZ74" s="59">
        <f t="shared" si="96"/>
        <v>316.59112511251385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projet'!$B$13,Paramètres!$A$1:$I$88,7,0))</f>
        <v>0</v>
      </c>
      <c r="DD74" s="16">
        <f>IF(ISNA(VLOOKUP(A74,'Données projet'!$A$139:$I$159,6,0)),0%,VLOOKUP(A74,'Données projet'!$A$139:$I$159,6,0)*VLOOKUP('Données projet'!$B$13,Paramètres!$A$1:$I$88,7,0))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projet'!$B$13,Paramètres!$A$1:$I$88,3,0)*0.475*44/12</f>
        <v>32.058143421644189</v>
      </c>
      <c r="DG74" s="21">
        <f>EXP(-LN(2)/25)*DG73+(1-EXP(-LN(2)/25))/(LN(2)/25)*Calculateur!DB74*Calculateur!DD74*VLOOKUP('Données projet'!$B$13,Paramètres!$A$1:$I$88,3,0)*0.475*44/12</f>
        <v>0</v>
      </c>
      <c r="DH74" s="21">
        <f>EXP(-LN(2)/2)*DH73+(1-EXP(-LN(2)/2))/(LN(2)/2)*DB74*DE74*VLOOKUP('Données projet'!$B$13,Paramètres!$A$1:$I$88,3,0)*0.475*44/12</f>
        <v>3.813044736281623E-6</v>
      </c>
      <c r="DI74" s="22">
        <f t="shared" si="69"/>
        <v>32.058147234688924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projet'!$B$14,Paramètres!$A$1:$I$88,3,0)*VLOOKUP('Données projet'!$B$14,Paramètres!$A$1:$I$88,5,0)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projet'!$B$14,Paramètres!$A$1:$I$88,7,0))</f>
        <v>0</v>
      </c>
      <c r="DY74" s="16">
        <f>IF(ISNA(VLOOKUP(A74,'Données projet'!$A$165:$I$185,6,0)),0%,VLOOKUP(A74,'Données projet'!$A$165:$I$185,6,0)*VLOOKUP('Données projet'!$B$14,Paramètres!$A$1:$I$88,7,0))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projet'!$B$14,Paramètres!$A$1:$I$88,3,0)*0.475*44/12</f>
        <v>#N/A</v>
      </c>
      <c r="EB74" s="21" t="e">
        <f>EXP(-LN(2)/25)*EB73+(1-EXP(-LN(2)/25))/(LN(2)/25)*Calculateur!DW74*Calculateur!DY74*VLOOKUP('Données projet'!$B$14,Paramètres!$A$1:$I$88,3,0)*0.475*44/12</f>
        <v>#N/A</v>
      </c>
      <c r="EC74" s="21" t="e">
        <f>EXP(-LN(2)/2)*EC73+(1-EXP(-LN(2)/2))/(LN(2)/2)*DW74*DZ74*VLOOKUP('Données projet'!$B$14,Paramètres!$A$1:$I$88,3,0)*0.475*44/12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projet'!$B$15,Paramètres!$A$1:$I$88,3,0)*VLOOKUP('Données projet'!$B$15,Paramètres!$A$1:$I$88,5,0)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projet'!$B$15,Paramètres!$A$1:$I$88,7,0))</f>
        <v>0</v>
      </c>
      <c r="ET74" s="16">
        <f>IF(ISNA(VLOOKUP(A74,'Données projet'!$A$191:$I$211,6,0)),0%,VLOOKUP(A74,'Données projet'!$A$191:$I$211,6,0)*VLOOKUP('Données projet'!$B$15,Paramètres!$A$1:$I$88,7,0))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projet'!$B$15,Paramètres!$A$1:$I$88,3,0)*0.475*44/12</f>
        <v>#N/A</v>
      </c>
      <c r="EW74" s="21" t="e">
        <f>EXP(-LN(2)/25)*EW73+(1-EXP(-LN(2)/25))/(LN(2)/25)*Calculateur!ER74*Calculateur!ET74*VLOOKUP('Données projet'!$B$15,Paramètres!$A$1:$I$88,3,0)*0.475*44/12</f>
        <v>#N/A</v>
      </c>
      <c r="EX74" s="21" t="e">
        <f>EXP(-LN(2)/2)*EX73+(1-EXP(-LN(2)/2))/(LN(2)/2)*ER74*EU74*VLOOKUP('Données projet'!$B$15,Paramètres!$A$1:$I$88,3,0)*0.475*44/12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projet'!$B$16,Paramètres!$A$1:$I$88,3,0)*VLOOKUP('Données projet'!$B$16,Paramètres!$A$1:$I$88,5,0)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projet'!$B$16,Paramètres!$A$1:$I$88,7,0))</f>
        <v>0</v>
      </c>
      <c r="FO74" s="16">
        <f>IF(ISNA(VLOOKUP(A74,'Données projet'!$A$217:$I$237,6,0)),0%,VLOOKUP(A74,'Données projet'!$A$217:$I$237,6,0)*VLOOKUP('Données projet'!$B$16,Paramètres!$A$1:$I$88,7,0))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projet'!$B$16,Paramètres!$A$1:$I$88,3,0)*0.475*44/12</f>
        <v>#N/A</v>
      </c>
      <c r="FR74" s="21" t="e">
        <f>EXP(-LN(2)/25)*FR73+(1-EXP(-LN(2)/25))/(LN(2)/25)*Calculateur!FM74*Calculateur!FO74*VLOOKUP('Données projet'!$B$16,Paramètres!$A$1:$I$88,3,0)*0.475*44/12</f>
        <v>#N/A</v>
      </c>
      <c r="FS74" s="21" t="e">
        <f>EXP(-LN(2)/2)*FS73+(1-EXP(-LN(2)/2))/(LN(2)/2)*FM74*FP74*VLOOKUP('Données projet'!$B$16,Paramètres!$A$1:$I$88,3,0)*0.475*44/12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projet'!$B$17,Paramètres!$A$1:$I$88,3,0)*VLOOKUP('Données projet'!$B$17,Paramètres!$A$1:$I$88,5,0)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projet'!$B$17,Paramètres!$A$1:$I$88,7,0))</f>
        <v>0</v>
      </c>
      <c r="GJ74" s="16">
        <f>IF(ISNA(VLOOKUP(A74,'Données projet'!$A$243:$I$263,6,0)),0%,VLOOKUP(A74,'Données projet'!$A$243:$I$263,6,0)*VLOOKUP('Données projet'!$B$17,Paramètres!$A$1:$I$88,7,0))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projet'!$B$17,Paramètres!$A$1:$I$88,3,0)*0.475*44/12</f>
        <v>#N/A</v>
      </c>
      <c r="GM74" s="21" t="e">
        <f>EXP(-LN(2)/25)*GM73+(1-EXP(-LN(2)/25))/(LN(2)/25)*Calculateur!GH74*Calculateur!GJ74*VLOOKUP('Données projet'!$B$17,Paramètres!$A$1:$I$88,3,0)*0.475*44/12</f>
        <v>#N/A</v>
      </c>
      <c r="GN74" s="21" t="e">
        <f>EXP(-LN(2)/2)*GN73+(1-EXP(-LN(2)/2))/(LN(2)/2)*GH74*GK74*VLOOKUP('Données projet'!$B$17,Paramètres!$A$1:$I$88,3,0)*0.475*44/12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projet'!$B$18,Paramètres!$A$1:$I$88,3,0)*VLOOKUP('Données projet'!$B$18,Paramètres!$A$1:$I$88,5,0)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projet'!$B$18,Paramètres!$A$1:$I$88,7,0))</f>
        <v>0</v>
      </c>
      <c r="HE74" s="16">
        <f>IF(ISNA(VLOOKUP(A74,'Données projet'!$A$269:$I$289,6,0)),0%,VLOOKUP(A74,'Données projet'!$A$269:$I$289,6,0)*VLOOKUP('Données projet'!$B$18,Paramètres!$A$1:$I$88,7,0))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projet'!$B$18,Paramètres!$A$1:$I$88,3,0)*0.475*44/12</f>
        <v>#N/A</v>
      </c>
      <c r="HH74" s="21" t="e">
        <f>EXP(-LN(2)/25)*HH73+(1-EXP(-LN(2)/25))/(LN(2)/25)*Calculateur!HC74*Calculateur!HE74*VLOOKUP('Données projet'!$B$18,Paramètres!$A$1:$I$88,3,0)*0.475*44/12</f>
        <v>#N/A</v>
      </c>
      <c r="HI74" s="21" t="e">
        <f>EXP(-LN(2)/2)*HI73+(1-EXP(-LN(2)/2))/(LN(2)/2)*HC74*HF74*VLOOKUP('Données projet'!$B$18,Paramètres!$A$1:$I$88,3,0)*0.475*44/12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projet'!$B$9,Paramètres!$A$1:$I$88,3,0)*VLOOKUP('Données projet'!$B$9,Paramètres!$A$1:$I$88,5,0)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195.73441209602686</v>
      </c>
      <c r="T75" s="59">
        <f t="shared" si="88"/>
        <v>219.19129224309006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projet'!$B$9,Paramètres!$A$1:$I$88,7,0))</f>
        <v>0</v>
      </c>
      <c r="X75" s="16">
        <f>IF(ISNA(VLOOKUP(A75,'Données projet'!$A$35:$I$55,6,0)),0%,VLOOKUP(A75,'Données projet'!$A$35:$I$55,6,0)*VLOOKUP('Données projet'!$B$9,Paramètres!$A$1:$I$88,7,0))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projet'!$B$9,Paramètres!$A$1:$I$88,3,0)*0.475*44/12</f>
        <v>6.6389642728639648</v>
      </c>
      <c r="AA75" s="21">
        <f>EXP(-LN(2)/25)*AA74+(1-EXP(-LN(2)/25))/(LN(2)/25)*Calculateur!V75*Calculateur!X75*VLOOKUP('Données projet'!$B$9,Paramètres!$A$1:$I$88,3,0)*0.475*44/12</f>
        <v>4.418356412501784</v>
      </c>
      <c r="AB75" s="21">
        <f>EXP(-LN(2)/2)*AB74+(1-EXP(-LN(2)/2))/(LN(2)/2)*V75*Y75*VLOOKUP('Données projet'!$B$9,Paramètres!$A$1:$I$88,3,0)*0.475*44/12</f>
        <v>1.8917254561208937E-8</v>
      </c>
      <c r="AC75" s="22">
        <f t="shared" si="57"/>
        <v>11.057320704283004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7.2</v>
      </c>
      <c r="AI75" s="13">
        <f>IF('Données projet'!$A$62&gt;35,AI74+AH75-AQ74,IF(A75&lt;'Données projet'!$A$62,$AF$205^A75,IF(A75='Données projet'!$A$62,'Données projet'!$B$62,AI74+AH75-AQ74)))</f>
        <v>392.39999999999964</v>
      </c>
      <c r="AJ75" s="13">
        <f>AI75*VLOOKUP('Données projet'!$B$10,Paramètres!$A$1:$I$88,3,0)*VLOOKUP('Données projet'!$B$10,Paramètres!$A$1:$I$88,5,0)</f>
        <v>234.65519999999981</v>
      </c>
      <c r="AK75" s="13">
        <f t="shared" si="89"/>
        <v>57.288067746850942</v>
      </c>
      <c r="AL75" s="20">
        <f t="shared" si="58"/>
        <v>508.46785799243179</v>
      </c>
      <c r="AM75" s="59">
        <f t="shared" si="59"/>
        <v>801.8011913257651</v>
      </c>
      <c r="AN75" s="59">
        <f ca="1">AVERAGE(OFFSET($AM$3,0,0,'Données projet'!$E$10+1,1))-AVERAGE(OFFSET($H$3,0,0,'Données projet'!$E$10+1,1))</f>
        <v>246.59447135626942</v>
      </c>
      <c r="AO75" s="59">
        <f t="shared" si="90"/>
        <v>262.00382544285367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projet'!$B$10,Paramètres!$A$1:$I$88,7,0))</f>
        <v>0</v>
      </c>
      <c r="AS75" s="16">
        <f>IF(ISNA(VLOOKUP(A75,'Données projet'!$A$61:$I$81,6,0)),0%,VLOOKUP(A75,'Données projet'!$A$61:$I$81,6,0)*VLOOKUP('Données projet'!$B$10,Paramètres!$A$1:$I$88,7,0))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projet'!$B$10,Paramètres!$A$1:$I$88,3,0)*0.475*44/12</f>
        <v>0</v>
      </c>
      <c r="AV75" s="21">
        <f>EXP(-LN(2)/25)*AV74+(1-EXP(-LN(2)/25))/(LN(2)/25)*Calculateur!AQ75*Calculateur!AS75*VLOOKUP('Données projet'!$B$10,Paramètres!$A$1:$I$88,3,0)*0.475*44/12</f>
        <v>4.0100320556656737</v>
      </c>
      <c r="AW75" s="21">
        <f>EXP(-LN(2)/2)*AW74+(1-EXP(-LN(2)/2))/(LN(2)/2)*AQ75*AT75*VLOOKUP('Données projet'!$B$10,Paramètres!$A$1:$I$88,3,0)*0.475*44/12</f>
        <v>1.1315040528211103E-5</v>
      </c>
      <c r="AX75" s="21">
        <f t="shared" si="60"/>
        <v>4.0100433707062022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10.4</v>
      </c>
      <c r="BD75" s="12">
        <f>IF('Données projet'!$A$88&gt;35,BD74+BC75-BL74,IF(A75&lt;'Données projet'!$A$88,$BA$205^A75,IF(A75='Données projet'!$A$88,'Données projet'!$B$88,BD74+BC75-BL74)))</f>
        <v>567.79999999999961</v>
      </c>
      <c r="BE75" s="13">
        <f>BD75*VLOOKUP('Données projet'!$B$11,Paramètres!$A$1:$I$88,3,0)*VLOOKUP('Données projet'!$B$11,Paramètres!$A$1:$I$88,5,0)</f>
        <v>317.40019999999976</v>
      </c>
      <c r="BF75" s="13">
        <f t="shared" si="91"/>
        <v>74.812158158961168</v>
      </c>
      <c r="BG75" s="20">
        <f t="shared" si="61"/>
        <v>683.10319046019015</v>
      </c>
      <c r="BH75" s="59">
        <f t="shared" si="62"/>
        <v>976.43652379352352</v>
      </c>
      <c r="BI75" s="59">
        <f ca="1">AVERAGE(OFFSET($BH$3,0,0,'Données projet'!$E$11+1,1))-AVERAGE(OFFSET($H$3,0,0,'Données projet'!$E$11+1,1))</f>
        <v>355.96253323046608</v>
      </c>
      <c r="BJ75" s="59">
        <f t="shared" si="92"/>
        <v>366.8380442809696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projet'!$B$11,Paramètres!$A$1:$I$88,7,0))</f>
        <v>0</v>
      </c>
      <c r="BN75" s="16">
        <f>IF(ISNA(VLOOKUP(A75,'Données projet'!$A$87:$I$107,6,0)),0%,VLOOKUP(A75,'Données projet'!$A$87:$I$107,6,0)*VLOOKUP('Données projet'!$B$11,Paramètres!$A$1:$I$88,7,0))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projet'!$B$11,Paramètres!$A$1:$I$88,3,0)*0.475*44/12</f>
        <v>0</v>
      </c>
      <c r="BQ75" s="21">
        <f>EXP(-LN(2)/25)*BQ74+(1-EXP(-LN(2)/25))/(LN(2)/25)*Calculateur!BL75*Calculateur!BN75*VLOOKUP('Données projet'!$B$11,Paramètres!$A$1:$I$88,3,0)*0.475*44/12</f>
        <v>7.0998165942056506</v>
      </c>
      <c r="BR75" s="21">
        <f>EXP(-LN(2)/2)*BR74+(1-EXP(-LN(2)/2))/(LN(2)/2)*BL75*BO75*VLOOKUP('Données projet'!$B$11,Paramètres!$A$1:$I$88,3,0)*0.475*44/12</f>
        <v>1.7494896348693689E-5</v>
      </c>
      <c r="BS75" s="22">
        <f t="shared" si="63"/>
        <v>7.0998340891019991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3.1</v>
      </c>
      <c r="BY75" s="12">
        <f>IF('Données projet'!$A$114&gt;35,BY74+BX75-CG74,IF(A75&lt;'Données projet'!$A$114,$BV$205^A75,IF(A75='Données projet'!$A$114,'Données projet'!$B$114,BY74+BX75-CG74)))</f>
        <v>259.19999999999987</v>
      </c>
      <c r="BZ75" s="13">
        <f>BY75*VLOOKUP('Données projet'!$B$12,Paramètres!$A$1:$I$88,3,0)*VLOOKUP('Données projet'!$B$12,Paramètres!$A$1:$I$88,5,0)</f>
        <v>169.82783999999992</v>
      </c>
      <c r="CA75" s="13">
        <f t="shared" si="93"/>
        <v>43.051463198873776</v>
      </c>
      <c r="CB75" s="20">
        <f t="shared" si="64"/>
        <v>370.76478640470503</v>
      </c>
      <c r="CC75" s="59">
        <f t="shared" si="65"/>
        <v>664.09811973803835</v>
      </c>
      <c r="CD75" s="59">
        <f ca="1">AVERAGE(OFFSET($CC$3,0,0,'Données projet'!$E$12+1,1))-AVERAGE(OFFSET($H$3,0,0,'Données projet'!$E$12+1,1))</f>
        <v>180.90147430936133</v>
      </c>
      <c r="CE75" s="59">
        <f t="shared" si="94"/>
        <v>226.87949199830018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projet'!$B$12,Paramètres!$A$1:$I$88,7,0))</f>
        <v>0</v>
      </c>
      <c r="CI75" s="16">
        <f>IF(ISNA(VLOOKUP(A75,'Données projet'!$A$113:$I$133,6,0)),0%,VLOOKUP(A75,'Données projet'!$A$113:$I$133,6,0)*VLOOKUP('Données projet'!$B$12,Paramètres!$A$1:$I$88,7,0))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projet'!$B$12,Paramètres!$A$1:$I$88,3,0)*0.475*44/12</f>
        <v>0</v>
      </c>
      <c r="CL75" s="21">
        <f>EXP(-LN(2)/25)*CL74+(1-EXP(-LN(2)/25))/(LN(2)/25)*Calculateur!CG75*Calculateur!CI75*VLOOKUP('Données projet'!$B$12,Paramètres!$A$1:$I$88,3,0)*0.475*44/12</f>
        <v>2.1441746125312817</v>
      </c>
      <c r="CM75" s="21">
        <f>EXP(-LN(2)/2)*CM74+(1-EXP(-LN(2)/2))/(LN(2)/2)*CG75*CJ75*VLOOKUP('Données projet'!$B$12,Paramètres!$A$1:$I$88,3,0)*0.475*44/12</f>
        <v>4.2259501711083267E-6</v>
      </c>
      <c r="CN75" s="22">
        <f t="shared" si="66"/>
        <v>2.1441788384814529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5.6843418860808015E-14</v>
      </c>
      <c r="CU75" s="17">
        <f>CT75*VLOOKUP('Données projet'!$B$13,Paramètres!$A$1:$I$88,3,0)*VLOOKUP('Données projet'!$B$13,Paramètres!$A$1:$I$88,5,0)</f>
        <v>2.8908289095852525E-14</v>
      </c>
      <c r="CV75" s="13">
        <f t="shared" si="95"/>
        <v>5.0177780569126974E-13</v>
      </c>
      <c r="CW75" s="20">
        <f t="shared" si="67"/>
        <v>9.2427828175423786E-13</v>
      </c>
      <c r="CX75" s="59">
        <f t="shared" si="68"/>
        <v>293.33333333333422</v>
      </c>
      <c r="CY75" s="59">
        <f ca="1">AVERAGE(OFFSET($CX$3,0,0,'Données projet'!$E$13+1,1))-AVERAGE(OFFSET($H$3,0,0,'Données projet'!$E$13+1,1))</f>
        <v>133.08385802816008</v>
      </c>
      <c r="CZ75" s="59">
        <f t="shared" si="96"/>
        <v>316.59112511251385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projet'!$B$13,Paramètres!$A$1:$I$88,7,0))</f>
        <v>0</v>
      </c>
      <c r="DD75" s="16">
        <f>IF(ISNA(VLOOKUP(A75,'Données projet'!$A$139:$I$159,6,0)),0%,VLOOKUP(A75,'Données projet'!$A$139:$I$159,6,0)*VLOOKUP('Données projet'!$B$13,Paramètres!$A$1:$I$88,7,0))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projet'!$B$13,Paramètres!$A$1:$I$88,3,0)*0.475*44/12</f>
        <v>31.429502782682484</v>
      </c>
      <c r="DG75" s="21">
        <f>EXP(-LN(2)/25)*DG74+(1-EXP(-LN(2)/25))/(LN(2)/25)*Calculateur!DB75*Calculateur!DD75*VLOOKUP('Données projet'!$B$13,Paramètres!$A$1:$I$88,3,0)*0.475*44/12</f>
        <v>0</v>
      </c>
      <c r="DH75" s="21">
        <f>EXP(-LN(2)/2)*DH74+(1-EXP(-LN(2)/2))/(LN(2)/2)*DB75*DE75*VLOOKUP('Données projet'!$B$13,Paramètres!$A$1:$I$88,3,0)*0.475*44/12</f>
        <v>2.6962297899924067E-6</v>
      </c>
      <c r="DI75" s="22">
        <f t="shared" si="69"/>
        <v>31.429505478912272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projet'!$B$14,Paramètres!$A$1:$I$88,3,0)*VLOOKUP('Données projet'!$B$14,Paramètres!$A$1:$I$88,5,0)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projet'!$B$14,Paramètres!$A$1:$I$88,7,0))</f>
        <v>0</v>
      </c>
      <c r="DY75" s="16">
        <f>IF(ISNA(VLOOKUP(A75,'Données projet'!$A$165:$I$185,6,0)),0%,VLOOKUP(A75,'Données projet'!$A$165:$I$185,6,0)*VLOOKUP('Données projet'!$B$14,Paramètres!$A$1:$I$88,7,0))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projet'!$B$14,Paramètres!$A$1:$I$88,3,0)*0.475*44/12</f>
        <v>#N/A</v>
      </c>
      <c r="EB75" s="21" t="e">
        <f>EXP(-LN(2)/25)*EB74+(1-EXP(-LN(2)/25))/(LN(2)/25)*Calculateur!DW75*Calculateur!DY75*VLOOKUP('Données projet'!$B$14,Paramètres!$A$1:$I$88,3,0)*0.475*44/12</f>
        <v>#N/A</v>
      </c>
      <c r="EC75" s="21" t="e">
        <f>EXP(-LN(2)/2)*EC74+(1-EXP(-LN(2)/2))/(LN(2)/2)*DW75*DZ75*VLOOKUP('Données projet'!$B$14,Paramètres!$A$1:$I$88,3,0)*0.475*44/12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projet'!$B$15,Paramètres!$A$1:$I$88,3,0)*VLOOKUP('Données projet'!$B$15,Paramètres!$A$1:$I$88,5,0)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projet'!$B$15,Paramètres!$A$1:$I$88,7,0))</f>
        <v>0</v>
      </c>
      <c r="ET75" s="16">
        <f>IF(ISNA(VLOOKUP(A75,'Données projet'!$A$191:$I$211,6,0)),0%,VLOOKUP(A75,'Données projet'!$A$191:$I$211,6,0)*VLOOKUP('Données projet'!$B$15,Paramètres!$A$1:$I$88,7,0))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projet'!$B$15,Paramètres!$A$1:$I$88,3,0)*0.475*44/12</f>
        <v>#N/A</v>
      </c>
      <c r="EW75" s="21" t="e">
        <f>EXP(-LN(2)/25)*EW74+(1-EXP(-LN(2)/25))/(LN(2)/25)*Calculateur!ER75*Calculateur!ET75*VLOOKUP('Données projet'!$B$15,Paramètres!$A$1:$I$88,3,0)*0.475*44/12</f>
        <v>#N/A</v>
      </c>
      <c r="EX75" s="21" t="e">
        <f>EXP(-LN(2)/2)*EX74+(1-EXP(-LN(2)/2))/(LN(2)/2)*ER75*EU75*VLOOKUP('Données projet'!$B$15,Paramètres!$A$1:$I$88,3,0)*0.475*44/12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projet'!$B$16,Paramètres!$A$1:$I$88,3,0)*VLOOKUP('Données projet'!$B$16,Paramètres!$A$1:$I$88,5,0)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projet'!$B$16,Paramètres!$A$1:$I$88,7,0))</f>
        <v>0</v>
      </c>
      <c r="FO75" s="16">
        <f>IF(ISNA(VLOOKUP(A75,'Données projet'!$A$217:$I$237,6,0)),0%,VLOOKUP(A75,'Données projet'!$A$217:$I$237,6,0)*VLOOKUP('Données projet'!$B$16,Paramètres!$A$1:$I$88,7,0))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projet'!$B$16,Paramètres!$A$1:$I$88,3,0)*0.475*44/12</f>
        <v>#N/A</v>
      </c>
      <c r="FR75" s="21" t="e">
        <f>EXP(-LN(2)/25)*FR74+(1-EXP(-LN(2)/25))/(LN(2)/25)*Calculateur!FM75*Calculateur!FO75*VLOOKUP('Données projet'!$B$16,Paramètres!$A$1:$I$88,3,0)*0.475*44/12</f>
        <v>#N/A</v>
      </c>
      <c r="FS75" s="21" t="e">
        <f>EXP(-LN(2)/2)*FS74+(1-EXP(-LN(2)/2))/(LN(2)/2)*FM75*FP75*VLOOKUP('Données projet'!$B$16,Paramètres!$A$1:$I$88,3,0)*0.475*44/12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projet'!$B$17,Paramètres!$A$1:$I$88,3,0)*VLOOKUP('Données projet'!$B$17,Paramètres!$A$1:$I$88,5,0)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projet'!$B$17,Paramètres!$A$1:$I$88,7,0))</f>
        <v>0</v>
      </c>
      <c r="GJ75" s="16">
        <f>IF(ISNA(VLOOKUP(A75,'Données projet'!$A$243:$I$263,6,0)),0%,VLOOKUP(A75,'Données projet'!$A$243:$I$263,6,0)*VLOOKUP('Données projet'!$B$17,Paramètres!$A$1:$I$88,7,0))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projet'!$B$17,Paramètres!$A$1:$I$88,3,0)*0.475*44/12</f>
        <v>#N/A</v>
      </c>
      <c r="GM75" s="21" t="e">
        <f>EXP(-LN(2)/25)*GM74+(1-EXP(-LN(2)/25))/(LN(2)/25)*Calculateur!GH75*Calculateur!GJ75*VLOOKUP('Données projet'!$B$17,Paramètres!$A$1:$I$88,3,0)*0.475*44/12</f>
        <v>#N/A</v>
      </c>
      <c r="GN75" s="21" t="e">
        <f>EXP(-LN(2)/2)*GN74+(1-EXP(-LN(2)/2))/(LN(2)/2)*GH75*GK75*VLOOKUP('Données projet'!$B$17,Paramètres!$A$1:$I$88,3,0)*0.475*44/12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projet'!$B$18,Paramètres!$A$1:$I$88,3,0)*VLOOKUP('Données projet'!$B$18,Paramètres!$A$1:$I$88,5,0)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projet'!$B$18,Paramètres!$A$1:$I$88,7,0))</f>
        <v>0</v>
      </c>
      <c r="HE75" s="16">
        <f>IF(ISNA(VLOOKUP(A75,'Données projet'!$A$269:$I$289,6,0)),0%,VLOOKUP(A75,'Données projet'!$A$269:$I$289,6,0)*VLOOKUP('Données projet'!$B$18,Paramètres!$A$1:$I$88,7,0))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projet'!$B$18,Paramètres!$A$1:$I$88,3,0)*0.475*44/12</f>
        <v>#N/A</v>
      </c>
      <c r="HH75" s="21" t="e">
        <f>EXP(-LN(2)/25)*HH74+(1-EXP(-LN(2)/25))/(LN(2)/25)*Calculateur!HC75*Calculateur!HE75*VLOOKUP('Données projet'!$B$18,Paramètres!$A$1:$I$88,3,0)*0.475*44/12</f>
        <v>#N/A</v>
      </c>
      <c r="HI75" s="21" t="e">
        <f>EXP(-LN(2)/2)*HI74+(1-EXP(-LN(2)/2))/(LN(2)/2)*HC75*HF75*VLOOKUP('Données projet'!$B$18,Paramètres!$A$1:$I$88,3,0)*0.475*44/12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projet'!$B$9,Paramètres!$A$1:$I$88,3,0)*VLOOKUP('Données projet'!$B$9,Paramètres!$A$1:$I$88,5,0)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195.73441209602686</v>
      </c>
      <c r="T76" s="59">
        <f t="shared" si="88"/>
        <v>219.19129224309006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projet'!$B$9,Paramètres!$A$1:$I$88,7,0))</f>
        <v>0</v>
      </c>
      <c r="X76" s="16">
        <f>IF(ISNA(VLOOKUP(A76,'Données projet'!$A$35:$I$55,6,0)),0%,VLOOKUP(A76,'Données projet'!$A$35:$I$55,6,0)*VLOOKUP('Données projet'!$B$9,Paramètres!$A$1:$I$88,7,0))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projet'!$B$9,Paramètres!$A$1:$I$88,3,0)*0.475*44/12</f>
        <v>6.5087782328414674</v>
      </c>
      <c r="AA76" s="21">
        <f>EXP(-LN(2)/25)*AA75+(1-EXP(-LN(2)/25))/(LN(2)/25)*Calculateur!V76*Calculateur!X76*VLOOKUP('Données projet'!$B$9,Paramètres!$A$1:$I$88,3,0)*0.475*44/12</f>
        <v>4.2975362240506572</v>
      </c>
      <c r="AB76" s="21">
        <f>EXP(-LN(2)/2)*AB75+(1-EXP(-LN(2)/2))/(LN(2)/2)*V76*Y76*VLOOKUP('Données projet'!$B$9,Paramètres!$A$1:$I$88,3,0)*0.475*44/12</f>
        <v>1.3376518981662986E-8</v>
      </c>
      <c r="AC76" s="22">
        <f t="shared" si="57"/>
        <v>10.806314470268644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7.2</v>
      </c>
      <c r="AI76" s="13">
        <f>IF('Données projet'!$A$62&gt;35,AI75+AH76-AQ75,IF(A76&lt;'Données projet'!$A$62,$AF$205^A76,IF(A76='Données projet'!$A$62,'Données projet'!$B$62,AI75+AH76-AQ75)))</f>
        <v>399.59999999999962</v>
      </c>
      <c r="AJ76" s="13">
        <f>AI76*VLOOKUP('Données projet'!$B$10,Paramètres!$A$1:$I$88,3,0)*VLOOKUP('Données projet'!$B$10,Paramètres!$A$1:$I$88,5,0)</f>
        <v>238.96079999999978</v>
      </c>
      <c r="AK76" s="13">
        <f t="shared" si="89"/>
        <v>58.215885103108292</v>
      </c>
      <c r="AL76" s="20">
        <f t="shared" si="58"/>
        <v>517.58272655457984</v>
      </c>
      <c r="AM76" s="59">
        <f t="shared" si="59"/>
        <v>810.91605988791321</v>
      </c>
      <c r="AN76" s="59">
        <f ca="1">AVERAGE(OFFSET($AM$3,0,0,'Données projet'!$E$10+1,1))-AVERAGE(OFFSET($H$3,0,0,'Données projet'!$E$10+1,1))</f>
        <v>246.59447135626942</v>
      </c>
      <c r="AO76" s="59">
        <f t="shared" si="90"/>
        <v>262.00382544285367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projet'!$B$10,Paramètres!$A$1:$I$88,7,0))</f>
        <v>0</v>
      </c>
      <c r="AS76" s="16">
        <f>IF(ISNA(VLOOKUP(A76,'Données projet'!$A$61:$I$81,6,0)),0%,VLOOKUP(A76,'Données projet'!$A$61:$I$81,6,0)*VLOOKUP('Données projet'!$B$10,Paramètres!$A$1:$I$88,7,0))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projet'!$B$10,Paramètres!$A$1:$I$88,3,0)*0.475*44/12</f>
        <v>0</v>
      </c>
      <c r="AV76" s="21">
        <f>EXP(-LN(2)/25)*AV75+(1-EXP(-LN(2)/25))/(LN(2)/25)*Calculateur!AQ76*Calculateur!AS76*VLOOKUP('Données projet'!$B$10,Paramètres!$A$1:$I$88,3,0)*0.475*44/12</f>
        <v>3.9003775182250751</v>
      </c>
      <c r="AW76" s="21">
        <f>EXP(-LN(2)/2)*AW75+(1-EXP(-LN(2)/2))/(LN(2)/2)*AQ76*AT76*VLOOKUP('Données projet'!$B$10,Paramètres!$A$1:$I$88,3,0)*0.475*44/12</f>
        <v>8.0009418868986855E-6</v>
      </c>
      <c r="AX76" s="21">
        <f t="shared" si="60"/>
        <v>3.9003855191669619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10.4</v>
      </c>
      <c r="BD76" s="12">
        <f>IF('Données projet'!$A$88&gt;35,BD75+BC76-BL75,IF(A76&lt;'Données projet'!$A$88,$BA$205^A76,IF(A76='Données projet'!$A$88,'Données projet'!$B$88,BD75+BC76-BL75)))</f>
        <v>578.19999999999959</v>
      </c>
      <c r="BE76" s="13">
        <f>BD76*VLOOKUP('Données projet'!$B$11,Paramètres!$A$1:$I$88,3,0)*VLOOKUP('Données projet'!$B$11,Paramètres!$A$1:$I$88,5,0)</f>
        <v>323.21379999999982</v>
      </c>
      <c r="BF76" s="13">
        <f t="shared" si="91"/>
        <v>76.021657849237485</v>
      </c>
      <c r="BG76" s="20">
        <f t="shared" si="61"/>
        <v>695.33508908742158</v>
      </c>
      <c r="BH76" s="59">
        <f t="shared" si="62"/>
        <v>988.66842242075495</v>
      </c>
      <c r="BI76" s="59">
        <f ca="1">AVERAGE(OFFSET($BH$3,0,0,'Données projet'!$E$11+1,1))-AVERAGE(OFFSET($H$3,0,0,'Données projet'!$E$11+1,1))</f>
        <v>355.96253323046608</v>
      </c>
      <c r="BJ76" s="59">
        <f t="shared" si="92"/>
        <v>366.8380442809696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projet'!$B$11,Paramètres!$A$1:$I$88,7,0))</f>
        <v>0</v>
      </c>
      <c r="BN76" s="16">
        <f>IF(ISNA(VLOOKUP(A76,'Données projet'!$A$87:$I$107,6,0)),0%,VLOOKUP(A76,'Données projet'!$A$87:$I$107,6,0)*VLOOKUP('Données projet'!$B$11,Paramètres!$A$1:$I$88,7,0))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projet'!$B$11,Paramètres!$A$1:$I$88,3,0)*0.475*44/12</f>
        <v>0</v>
      </c>
      <c r="BQ76" s="21">
        <f>EXP(-LN(2)/25)*BQ75+(1-EXP(-LN(2)/25))/(LN(2)/25)*Calculateur!BL76*Calculateur!BN76*VLOOKUP('Données projet'!$B$11,Paramètres!$A$1:$I$88,3,0)*0.475*44/12</f>
        <v>6.9056717360739697</v>
      </c>
      <c r="BR76" s="21">
        <f>EXP(-LN(2)/2)*BR75+(1-EXP(-LN(2)/2))/(LN(2)/2)*BL76*BO76*VLOOKUP('Données projet'!$B$11,Paramètres!$A$1:$I$88,3,0)*0.475*44/12</f>
        <v>1.2370759844317078E-5</v>
      </c>
      <c r="BS76" s="22">
        <f t="shared" si="63"/>
        <v>6.9056841068338137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3.1</v>
      </c>
      <c r="BY76" s="12">
        <f>IF('Données projet'!$A$114&gt;35,BY75+BX76-CG75,IF(A76&lt;'Données projet'!$A$114,$BV$205^A76,IF(A76='Données projet'!$A$114,'Données projet'!$B$114,BY75+BX76-CG75)))</f>
        <v>262.2999999999999</v>
      </c>
      <c r="BZ76" s="13">
        <f>BY76*VLOOKUP('Données projet'!$B$12,Paramètres!$A$1:$I$88,3,0)*VLOOKUP('Données projet'!$B$12,Paramètres!$A$1:$I$88,5,0)</f>
        <v>171.85895999999994</v>
      </c>
      <c r="CA76" s="13">
        <f t="shared" si="93"/>
        <v>43.506104887264392</v>
      </c>
      <c r="CB76" s="20">
        <f t="shared" si="64"/>
        <v>375.09415467865205</v>
      </c>
      <c r="CC76" s="59">
        <f t="shared" si="65"/>
        <v>668.42748801198536</v>
      </c>
      <c r="CD76" s="59">
        <f ca="1">AVERAGE(OFFSET($CC$3,0,0,'Données projet'!$E$12+1,1))-AVERAGE(OFFSET($H$3,0,0,'Données projet'!$E$12+1,1))</f>
        <v>180.90147430936133</v>
      </c>
      <c r="CE76" s="59">
        <f t="shared" si="94"/>
        <v>226.87949199830018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projet'!$B$12,Paramètres!$A$1:$I$88,7,0))</f>
        <v>0</v>
      </c>
      <c r="CI76" s="16">
        <f>IF(ISNA(VLOOKUP(A76,'Données projet'!$A$113:$I$133,6,0)),0%,VLOOKUP(A76,'Données projet'!$A$113:$I$133,6,0)*VLOOKUP('Données projet'!$B$12,Paramètres!$A$1:$I$88,7,0))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projet'!$B$12,Paramètres!$A$1:$I$88,3,0)*0.475*44/12</f>
        <v>0</v>
      </c>
      <c r="CL76" s="21">
        <f>EXP(-LN(2)/25)*CL75+(1-EXP(-LN(2)/25))/(LN(2)/25)*Calculateur!CG76*Calculateur!CI76*VLOOKUP('Données projet'!$B$12,Paramètres!$A$1:$I$88,3,0)*0.475*44/12</f>
        <v>2.0855420449943716</v>
      </c>
      <c r="CM76" s="21">
        <f>EXP(-LN(2)/2)*CM75+(1-EXP(-LN(2)/2))/(LN(2)/2)*CG76*CJ76*VLOOKUP('Données projet'!$B$12,Paramètres!$A$1:$I$88,3,0)*0.475*44/12</f>
        <v>2.9881980229471487E-6</v>
      </c>
      <c r="CN76" s="22">
        <f t="shared" si="66"/>
        <v>2.0855450331923944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5.6843418860808015E-14</v>
      </c>
      <c r="CU76" s="17">
        <f>CT76*VLOOKUP('Données projet'!$B$13,Paramètres!$A$1:$I$88,3,0)*VLOOKUP('Données projet'!$B$13,Paramètres!$A$1:$I$88,5,0)</f>
        <v>2.8908289095852525E-14</v>
      </c>
      <c r="CV76" s="13">
        <f t="shared" si="95"/>
        <v>5.0177780569126974E-13</v>
      </c>
      <c r="CW76" s="20">
        <f t="shared" si="67"/>
        <v>9.2427828175423786E-13</v>
      </c>
      <c r="CX76" s="59">
        <f t="shared" si="68"/>
        <v>293.33333333333422</v>
      </c>
      <c r="CY76" s="59">
        <f ca="1">AVERAGE(OFFSET($CX$3,0,0,'Données projet'!$E$13+1,1))-AVERAGE(OFFSET($H$3,0,0,'Données projet'!$E$13+1,1))</f>
        <v>133.08385802816008</v>
      </c>
      <c r="CZ76" s="59">
        <f t="shared" si="96"/>
        <v>316.59112511251385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projet'!$B$13,Paramètres!$A$1:$I$88,7,0))</f>
        <v>0</v>
      </c>
      <c r="DD76" s="16">
        <f>IF(ISNA(VLOOKUP(A76,'Données projet'!$A$139:$I$159,6,0)),0%,VLOOKUP(A76,'Données projet'!$A$139:$I$159,6,0)*VLOOKUP('Données projet'!$B$13,Paramètres!$A$1:$I$88,7,0))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projet'!$B$13,Paramètres!$A$1:$I$88,3,0)*0.475*44/12</f>
        <v>30.813189403217887</v>
      </c>
      <c r="DG76" s="21">
        <f>EXP(-LN(2)/25)*DG75+(1-EXP(-LN(2)/25))/(LN(2)/25)*Calculateur!DB76*Calculateur!DD76*VLOOKUP('Données projet'!$B$13,Paramètres!$A$1:$I$88,3,0)*0.475*44/12</f>
        <v>0</v>
      </c>
      <c r="DH76" s="21">
        <f>EXP(-LN(2)/2)*DH75+(1-EXP(-LN(2)/2))/(LN(2)/2)*DB76*DE76*VLOOKUP('Données projet'!$B$13,Paramètres!$A$1:$I$88,3,0)*0.475*44/12</f>
        <v>1.9065223681408119E-6</v>
      </c>
      <c r="DI76" s="22">
        <f t="shared" si="69"/>
        <v>30.813191309740255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projet'!$B$14,Paramètres!$A$1:$I$88,3,0)*VLOOKUP('Données projet'!$B$14,Paramètres!$A$1:$I$88,5,0)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projet'!$B$14,Paramètres!$A$1:$I$88,7,0))</f>
        <v>0</v>
      </c>
      <c r="DY76" s="16">
        <f>IF(ISNA(VLOOKUP(A76,'Données projet'!$A$165:$I$185,6,0)),0%,VLOOKUP(A76,'Données projet'!$A$165:$I$185,6,0)*VLOOKUP('Données projet'!$B$14,Paramètres!$A$1:$I$88,7,0))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projet'!$B$14,Paramètres!$A$1:$I$88,3,0)*0.475*44/12</f>
        <v>#N/A</v>
      </c>
      <c r="EB76" s="21" t="e">
        <f>EXP(-LN(2)/25)*EB75+(1-EXP(-LN(2)/25))/(LN(2)/25)*Calculateur!DW76*Calculateur!DY76*VLOOKUP('Données projet'!$B$14,Paramètres!$A$1:$I$88,3,0)*0.475*44/12</f>
        <v>#N/A</v>
      </c>
      <c r="EC76" s="21" t="e">
        <f>EXP(-LN(2)/2)*EC75+(1-EXP(-LN(2)/2))/(LN(2)/2)*DW76*DZ76*VLOOKUP('Données projet'!$B$14,Paramètres!$A$1:$I$88,3,0)*0.475*44/12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projet'!$B$15,Paramètres!$A$1:$I$88,3,0)*VLOOKUP('Données projet'!$B$15,Paramètres!$A$1:$I$88,5,0)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projet'!$B$15,Paramètres!$A$1:$I$88,7,0))</f>
        <v>0</v>
      </c>
      <c r="ET76" s="16">
        <f>IF(ISNA(VLOOKUP(A76,'Données projet'!$A$191:$I$211,6,0)),0%,VLOOKUP(A76,'Données projet'!$A$191:$I$211,6,0)*VLOOKUP('Données projet'!$B$15,Paramètres!$A$1:$I$88,7,0))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projet'!$B$15,Paramètres!$A$1:$I$88,3,0)*0.475*44/12</f>
        <v>#N/A</v>
      </c>
      <c r="EW76" s="21" t="e">
        <f>EXP(-LN(2)/25)*EW75+(1-EXP(-LN(2)/25))/(LN(2)/25)*Calculateur!ER76*Calculateur!ET76*VLOOKUP('Données projet'!$B$15,Paramètres!$A$1:$I$88,3,0)*0.475*44/12</f>
        <v>#N/A</v>
      </c>
      <c r="EX76" s="21" t="e">
        <f>EXP(-LN(2)/2)*EX75+(1-EXP(-LN(2)/2))/(LN(2)/2)*ER76*EU76*VLOOKUP('Données projet'!$B$15,Paramètres!$A$1:$I$88,3,0)*0.475*44/12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projet'!$B$16,Paramètres!$A$1:$I$88,3,0)*VLOOKUP('Données projet'!$B$16,Paramètres!$A$1:$I$88,5,0)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projet'!$B$16,Paramètres!$A$1:$I$88,7,0))</f>
        <v>0</v>
      </c>
      <c r="FO76" s="16">
        <f>IF(ISNA(VLOOKUP(A76,'Données projet'!$A$217:$I$237,6,0)),0%,VLOOKUP(A76,'Données projet'!$A$217:$I$237,6,0)*VLOOKUP('Données projet'!$B$16,Paramètres!$A$1:$I$88,7,0))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projet'!$B$16,Paramètres!$A$1:$I$88,3,0)*0.475*44/12</f>
        <v>#N/A</v>
      </c>
      <c r="FR76" s="21" t="e">
        <f>EXP(-LN(2)/25)*FR75+(1-EXP(-LN(2)/25))/(LN(2)/25)*Calculateur!FM76*Calculateur!FO76*VLOOKUP('Données projet'!$B$16,Paramètres!$A$1:$I$88,3,0)*0.475*44/12</f>
        <v>#N/A</v>
      </c>
      <c r="FS76" s="21" t="e">
        <f>EXP(-LN(2)/2)*FS75+(1-EXP(-LN(2)/2))/(LN(2)/2)*FM76*FP76*VLOOKUP('Données projet'!$B$16,Paramètres!$A$1:$I$88,3,0)*0.475*44/12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projet'!$B$17,Paramètres!$A$1:$I$88,3,0)*VLOOKUP('Données projet'!$B$17,Paramètres!$A$1:$I$88,5,0)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projet'!$B$17,Paramètres!$A$1:$I$88,7,0))</f>
        <v>0</v>
      </c>
      <c r="GJ76" s="16">
        <f>IF(ISNA(VLOOKUP(A76,'Données projet'!$A$243:$I$263,6,0)),0%,VLOOKUP(A76,'Données projet'!$A$243:$I$263,6,0)*VLOOKUP('Données projet'!$B$17,Paramètres!$A$1:$I$88,7,0))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projet'!$B$17,Paramètres!$A$1:$I$88,3,0)*0.475*44/12</f>
        <v>#N/A</v>
      </c>
      <c r="GM76" s="21" t="e">
        <f>EXP(-LN(2)/25)*GM75+(1-EXP(-LN(2)/25))/(LN(2)/25)*Calculateur!GH76*Calculateur!GJ76*VLOOKUP('Données projet'!$B$17,Paramètres!$A$1:$I$88,3,0)*0.475*44/12</f>
        <v>#N/A</v>
      </c>
      <c r="GN76" s="21" t="e">
        <f>EXP(-LN(2)/2)*GN75+(1-EXP(-LN(2)/2))/(LN(2)/2)*GH76*GK76*VLOOKUP('Données projet'!$B$17,Paramètres!$A$1:$I$88,3,0)*0.475*44/12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projet'!$B$18,Paramètres!$A$1:$I$88,3,0)*VLOOKUP('Données projet'!$B$18,Paramètres!$A$1:$I$88,5,0)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projet'!$B$18,Paramètres!$A$1:$I$88,7,0))</f>
        <v>0</v>
      </c>
      <c r="HE76" s="16">
        <f>IF(ISNA(VLOOKUP(A76,'Données projet'!$A$269:$I$289,6,0)),0%,VLOOKUP(A76,'Données projet'!$A$269:$I$289,6,0)*VLOOKUP('Données projet'!$B$18,Paramètres!$A$1:$I$88,7,0))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projet'!$B$18,Paramètres!$A$1:$I$88,3,0)*0.475*44/12</f>
        <v>#N/A</v>
      </c>
      <c r="HH76" s="21" t="e">
        <f>EXP(-LN(2)/25)*HH75+(1-EXP(-LN(2)/25))/(LN(2)/25)*Calculateur!HC76*Calculateur!HE76*VLOOKUP('Données projet'!$B$18,Paramètres!$A$1:$I$88,3,0)*0.475*44/12</f>
        <v>#N/A</v>
      </c>
      <c r="HI76" s="21" t="e">
        <f>EXP(-LN(2)/2)*HI75+(1-EXP(-LN(2)/2))/(LN(2)/2)*HC76*HF76*VLOOKUP('Données projet'!$B$18,Paramètres!$A$1:$I$88,3,0)*0.475*44/12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projet'!$B$9,Paramètres!$A$1:$I$88,3,0)*VLOOKUP('Données projet'!$B$9,Paramètres!$A$1:$I$88,5,0)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195.73441209602686</v>
      </c>
      <c r="T77" s="59">
        <f t="shared" si="88"/>
        <v>219.19129224309006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projet'!$B$9,Paramètres!$A$1:$I$88,7,0))</f>
        <v>0</v>
      </c>
      <c r="X77" s="16">
        <f>IF(ISNA(VLOOKUP(A77,'Données projet'!$A$35:$I$55,6,0)),0%,VLOOKUP(A77,'Données projet'!$A$35:$I$55,6,0)*VLOOKUP('Données projet'!$B$9,Paramètres!$A$1:$I$88,7,0))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projet'!$B$9,Paramètres!$A$1:$I$88,3,0)*0.475*44/12</f>
        <v>6.3811450616581666</v>
      </c>
      <c r="AA77" s="21">
        <f>EXP(-LN(2)/25)*AA76+(1-EXP(-LN(2)/25))/(LN(2)/25)*Calculateur!V77*Calculateur!X77*VLOOKUP('Données projet'!$B$9,Paramètres!$A$1:$I$88,3,0)*0.475*44/12</f>
        <v>4.180019870006384</v>
      </c>
      <c r="AB77" s="21">
        <f>EXP(-LN(2)/2)*AB76+(1-EXP(-LN(2)/2))/(LN(2)/2)*V77*Y77*VLOOKUP('Données projet'!$B$9,Paramètres!$A$1:$I$88,3,0)*0.475*44/12</f>
        <v>9.4586272806044684E-9</v>
      </c>
      <c r="AC77" s="22">
        <f t="shared" si="57"/>
        <v>10.561164941123177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7.2</v>
      </c>
      <c r="AI77" s="13">
        <f>IF('Données projet'!$A$62&gt;35,AI76+AH77-AQ76,IF(A77&lt;'Données projet'!$A$62,$AF$205^A77,IF(A77='Données projet'!$A$62,'Données projet'!$B$62,AI76+AH77-AQ76)))</f>
        <v>406.79999999999961</v>
      </c>
      <c r="AJ77" s="13">
        <f>AI77*VLOOKUP('Données projet'!$B$10,Paramètres!$A$1:$I$88,3,0)*VLOOKUP('Données projet'!$B$10,Paramètres!$A$1:$I$88,5,0)</f>
        <v>243.26639999999981</v>
      </c>
      <c r="AK77" s="13">
        <f t="shared" si="89"/>
        <v>59.141758478481755</v>
      </c>
      <c r="AL77" s="20">
        <f t="shared" si="58"/>
        <v>526.69420935002211</v>
      </c>
      <c r="AM77" s="59">
        <f t="shared" si="59"/>
        <v>820.02754268335548</v>
      </c>
      <c r="AN77" s="59">
        <f ca="1">AVERAGE(OFFSET($AM$3,0,0,'Données projet'!$E$10+1,1))-AVERAGE(OFFSET($H$3,0,0,'Données projet'!$E$10+1,1))</f>
        <v>246.59447135626942</v>
      </c>
      <c r="AO77" s="59">
        <f t="shared" si="90"/>
        <v>262.00382544285367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projet'!$B$10,Paramètres!$A$1:$I$88,7,0))</f>
        <v>0</v>
      </c>
      <c r="AS77" s="16">
        <f>IF(ISNA(VLOOKUP(A77,'Données projet'!$A$61:$I$81,6,0)),0%,VLOOKUP(A77,'Données projet'!$A$61:$I$81,6,0)*VLOOKUP('Données projet'!$B$10,Paramètres!$A$1:$I$88,7,0))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projet'!$B$10,Paramètres!$A$1:$I$88,3,0)*0.475*44/12</f>
        <v>0</v>
      </c>
      <c r="AV77" s="21">
        <f>EXP(-LN(2)/25)*AV76+(1-EXP(-LN(2)/25))/(LN(2)/25)*Calculateur!AQ77*Calculateur!AS77*VLOOKUP('Données projet'!$B$10,Paramètres!$A$1:$I$88,3,0)*0.475*44/12</f>
        <v>3.7937214898772713</v>
      </c>
      <c r="AW77" s="21">
        <f>EXP(-LN(2)/2)*AW76+(1-EXP(-LN(2)/2))/(LN(2)/2)*AQ77*AT77*VLOOKUP('Données projet'!$B$10,Paramètres!$A$1:$I$88,3,0)*0.475*44/12</f>
        <v>5.6575202641055516E-6</v>
      </c>
      <c r="AX77" s="21">
        <f t="shared" si="60"/>
        <v>3.7937271473975356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10.4</v>
      </c>
      <c r="BD77" s="12">
        <f>IF('Données projet'!$A$88&gt;35,BD76+BC77-BL76,IF(A77&lt;'Données projet'!$A$88,$BA$205^A77,IF(A77='Données projet'!$A$88,'Données projet'!$B$88,BD76+BC77-BL76)))</f>
        <v>588.59999999999957</v>
      </c>
      <c r="BE77" s="13">
        <f>BD77*VLOOKUP('Données projet'!$B$11,Paramètres!$A$1:$I$88,3,0)*VLOOKUP('Données projet'!$B$11,Paramètres!$A$1:$I$88,5,0)</f>
        <v>329.02739999999977</v>
      </c>
      <c r="BF77" s="13">
        <f t="shared" si="91"/>
        <v>77.228627751120342</v>
      </c>
      <c r="BG77" s="20">
        <f t="shared" si="61"/>
        <v>707.56258166653413</v>
      </c>
      <c r="BH77" s="59">
        <f t="shared" si="62"/>
        <v>1000.8959149998675</v>
      </c>
      <c r="BI77" s="59">
        <f ca="1">AVERAGE(OFFSET($BH$3,0,0,'Données projet'!$E$11+1,1))-AVERAGE(OFFSET($H$3,0,0,'Données projet'!$E$11+1,1))</f>
        <v>355.96253323046608</v>
      </c>
      <c r="BJ77" s="59">
        <f t="shared" si="92"/>
        <v>366.8380442809696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projet'!$B$11,Paramètres!$A$1:$I$88,7,0))</f>
        <v>0</v>
      </c>
      <c r="BN77" s="16">
        <f>IF(ISNA(VLOOKUP(A77,'Données projet'!$A$87:$I$107,6,0)),0%,VLOOKUP(A77,'Données projet'!$A$87:$I$107,6,0)*VLOOKUP('Données projet'!$B$11,Paramètres!$A$1:$I$88,7,0))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projet'!$B$11,Paramètres!$A$1:$I$88,3,0)*0.475*44/12</f>
        <v>0</v>
      </c>
      <c r="BQ77" s="21">
        <f>EXP(-LN(2)/25)*BQ76+(1-EXP(-LN(2)/25))/(LN(2)/25)*Calculateur!BL77*Calculateur!BN77*VLOOKUP('Données projet'!$B$11,Paramètres!$A$1:$I$88,3,0)*0.475*44/12</f>
        <v>6.7168357792975337</v>
      </c>
      <c r="BR77" s="21">
        <f>EXP(-LN(2)/2)*BR76+(1-EXP(-LN(2)/2))/(LN(2)/2)*BL77*BO77*VLOOKUP('Données projet'!$B$11,Paramètres!$A$1:$I$88,3,0)*0.475*44/12</f>
        <v>8.7474481743468447E-6</v>
      </c>
      <c r="BS77" s="22">
        <f t="shared" si="63"/>
        <v>6.7168445267457084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3.1</v>
      </c>
      <c r="BY77" s="12">
        <f>IF('Données projet'!$A$114&gt;35,BY76+BX77-CG76,IF(A77&lt;'Données projet'!$A$114,$BV$205^A77,IF(A77='Données projet'!$A$114,'Données projet'!$B$114,BY76+BX77-CG76)))</f>
        <v>265.39999999999992</v>
      </c>
      <c r="BZ77" s="13">
        <f>BY77*VLOOKUP('Données projet'!$B$12,Paramètres!$A$1:$I$88,3,0)*VLOOKUP('Données projet'!$B$12,Paramètres!$A$1:$I$88,5,0)</f>
        <v>173.89007999999995</v>
      </c>
      <c r="CA77" s="13">
        <f t="shared" si="93"/>
        <v>43.96012155029193</v>
      </c>
      <c r="CB77" s="20">
        <f t="shared" si="64"/>
        <v>379.42243436675835</v>
      </c>
      <c r="CC77" s="59">
        <f t="shared" si="65"/>
        <v>672.75576770009161</v>
      </c>
      <c r="CD77" s="59">
        <f ca="1">AVERAGE(OFFSET($CC$3,0,0,'Données projet'!$E$12+1,1))-AVERAGE(OFFSET($H$3,0,0,'Données projet'!$E$12+1,1))</f>
        <v>180.90147430936133</v>
      </c>
      <c r="CE77" s="59">
        <f t="shared" si="94"/>
        <v>226.87949199830018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projet'!$B$12,Paramètres!$A$1:$I$88,7,0))</f>
        <v>0</v>
      </c>
      <c r="CI77" s="16">
        <f>IF(ISNA(VLOOKUP(A77,'Données projet'!$A$113:$I$133,6,0)),0%,VLOOKUP(A77,'Données projet'!$A$113:$I$133,6,0)*VLOOKUP('Données projet'!$B$12,Paramètres!$A$1:$I$88,7,0))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projet'!$B$12,Paramètres!$A$1:$I$88,3,0)*0.475*44/12</f>
        <v>0</v>
      </c>
      <c r="CL77" s="21">
        <f>EXP(-LN(2)/25)*CL76+(1-EXP(-LN(2)/25))/(LN(2)/25)*Calculateur!CG77*Calculateur!CI77*VLOOKUP('Données projet'!$B$12,Paramètres!$A$1:$I$88,3,0)*0.475*44/12</f>
        <v>2.028512788100111</v>
      </c>
      <c r="CM77" s="21">
        <f>EXP(-LN(2)/2)*CM76+(1-EXP(-LN(2)/2))/(LN(2)/2)*CG77*CJ77*VLOOKUP('Données projet'!$B$12,Paramètres!$A$1:$I$88,3,0)*0.475*44/12</f>
        <v>2.1129750855541633E-6</v>
      </c>
      <c r="CN77" s="22">
        <f t="shared" si="66"/>
        <v>2.0285149010751966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5.6843418860808015E-14</v>
      </c>
      <c r="CU77" s="17">
        <f>CT77*VLOOKUP('Données projet'!$B$13,Paramètres!$A$1:$I$88,3,0)*VLOOKUP('Données projet'!$B$13,Paramètres!$A$1:$I$88,5,0)</f>
        <v>2.8908289095852525E-14</v>
      </c>
      <c r="CV77" s="13">
        <f t="shared" si="95"/>
        <v>5.0177780569126974E-13</v>
      </c>
      <c r="CW77" s="20">
        <f t="shared" si="67"/>
        <v>9.2427828175423786E-13</v>
      </c>
      <c r="CX77" s="59">
        <f t="shared" si="68"/>
        <v>293.33333333333422</v>
      </c>
      <c r="CY77" s="59">
        <f ca="1">AVERAGE(OFFSET($CX$3,0,0,'Données projet'!$E$13+1,1))-AVERAGE(OFFSET($H$3,0,0,'Données projet'!$E$13+1,1))</f>
        <v>133.08385802816008</v>
      </c>
      <c r="CZ77" s="59">
        <f t="shared" si="96"/>
        <v>316.59112511251385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projet'!$B$13,Paramètres!$A$1:$I$88,7,0))</f>
        <v>0</v>
      </c>
      <c r="DD77" s="16">
        <f>IF(ISNA(VLOOKUP(A77,'Données projet'!$A$139:$I$159,6,0)),0%,VLOOKUP(A77,'Données projet'!$A$139:$I$159,6,0)*VLOOKUP('Données projet'!$B$13,Paramètres!$A$1:$I$88,7,0))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projet'!$B$13,Paramètres!$A$1:$I$88,3,0)*0.475*44/12</f>
        <v>30.20896155321055</v>
      </c>
      <c r="DG77" s="21">
        <f>EXP(-LN(2)/25)*DG76+(1-EXP(-LN(2)/25))/(LN(2)/25)*Calculateur!DB77*Calculateur!DD77*VLOOKUP('Données projet'!$B$13,Paramètres!$A$1:$I$88,3,0)*0.475*44/12</f>
        <v>0</v>
      </c>
      <c r="DH77" s="21">
        <f>EXP(-LN(2)/2)*DH76+(1-EXP(-LN(2)/2))/(LN(2)/2)*DB77*DE77*VLOOKUP('Données projet'!$B$13,Paramètres!$A$1:$I$88,3,0)*0.475*44/12</f>
        <v>1.3481148949962036E-6</v>
      </c>
      <c r="DI77" s="22">
        <f t="shared" si="69"/>
        <v>30.208962901325446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projet'!$B$14,Paramètres!$A$1:$I$88,3,0)*VLOOKUP('Données projet'!$B$14,Paramètres!$A$1:$I$88,5,0)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projet'!$B$14,Paramètres!$A$1:$I$88,7,0))</f>
        <v>0</v>
      </c>
      <c r="DY77" s="16">
        <f>IF(ISNA(VLOOKUP(A77,'Données projet'!$A$165:$I$185,6,0)),0%,VLOOKUP(A77,'Données projet'!$A$165:$I$185,6,0)*VLOOKUP('Données projet'!$B$14,Paramètres!$A$1:$I$88,7,0))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projet'!$B$14,Paramètres!$A$1:$I$88,3,0)*0.475*44/12</f>
        <v>#N/A</v>
      </c>
      <c r="EB77" s="21" t="e">
        <f>EXP(-LN(2)/25)*EB76+(1-EXP(-LN(2)/25))/(LN(2)/25)*Calculateur!DW77*Calculateur!DY77*VLOOKUP('Données projet'!$B$14,Paramètres!$A$1:$I$88,3,0)*0.475*44/12</f>
        <v>#N/A</v>
      </c>
      <c r="EC77" s="21" t="e">
        <f>EXP(-LN(2)/2)*EC76+(1-EXP(-LN(2)/2))/(LN(2)/2)*DW77*DZ77*VLOOKUP('Données projet'!$B$14,Paramètres!$A$1:$I$88,3,0)*0.475*44/12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projet'!$B$15,Paramètres!$A$1:$I$88,3,0)*VLOOKUP('Données projet'!$B$15,Paramètres!$A$1:$I$88,5,0)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projet'!$B$15,Paramètres!$A$1:$I$88,7,0))</f>
        <v>0</v>
      </c>
      <c r="ET77" s="16">
        <f>IF(ISNA(VLOOKUP(A77,'Données projet'!$A$191:$I$211,6,0)),0%,VLOOKUP(A77,'Données projet'!$A$191:$I$211,6,0)*VLOOKUP('Données projet'!$B$15,Paramètres!$A$1:$I$88,7,0))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projet'!$B$15,Paramètres!$A$1:$I$88,3,0)*0.475*44/12</f>
        <v>#N/A</v>
      </c>
      <c r="EW77" s="21" t="e">
        <f>EXP(-LN(2)/25)*EW76+(1-EXP(-LN(2)/25))/(LN(2)/25)*Calculateur!ER77*Calculateur!ET77*VLOOKUP('Données projet'!$B$15,Paramètres!$A$1:$I$88,3,0)*0.475*44/12</f>
        <v>#N/A</v>
      </c>
      <c r="EX77" s="21" t="e">
        <f>EXP(-LN(2)/2)*EX76+(1-EXP(-LN(2)/2))/(LN(2)/2)*ER77*EU77*VLOOKUP('Données projet'!$B$15,Paramètres!$A$1:$I$88,3,0)*0.475*44/12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projet'!$B$16,Paramètres!$A$1:$I$88,3,0)*VLOOKUP('Données projet'!$B$16,Paramètres!$A$1:$I$88,5,0)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projet'!$B$16,Paramètres!$A$1:$I$88,7,0))</f>
        <v>0</v>
      </c>
      <c r="FO77" s="16">
        <f>IF(ISNA(VLOOKUP(A77,'Données projet'!$A$217:$I$237,6,0)),0%,VLOOKUP(A77,'Données projet'!$A$217:$I$237,6,0)*VLOOKUP('Données projet'!$B$16,Paramètres!$A$1:$I$88,7,0))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projet'!$B$16,Paramètres!$A$1:$I$88,3,0)*0.475*44/12</f>
        <v>#N/A</v>
      </c>
      <c r="FR77" s="21" t="e">
        <f>EXP(-LN(2)/25)*FR76+(1-EXP(-LN(2)/25))/(LN(2)/25)*Calculateur!FM77*Calculateur!FO77*VLOOKUP('Données projet'!$B$16,Paramètres!$A$1:$I$88,3,0)*0.475*44/12</f>
        <v>#N/A</v>
      </c>
      <c r="FS77" s="21" t="e">
        <f>EXP(-LN(2)/2)*FS76+(1-EXP(-LN(2)/2))/(LN(2)/2)*FM77*FP77*VLOOKUP('Données projet'!$B$16,Paramètres!$A$1:$I$88,3,0)*0.475*44/12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projet'!$B$17,Paramètres!$A$1:$I$88,3,0)*VLOOKUP('Données projet'!$B$17,Paramètres!$A$1:$I$88,5,0)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projet'!$B$17,Paramètres!$A$1:$I$88,7,0))</f>
        <v>0</v>
      </c>
      <c r="GJ77" s="16">
        <f>IF(ISNA(VLOOKUP(A77,'Données projet'!$A$243:$I$263,6,0)),0%,VLOOKUP(A77,'Données projet'!$A$243:$I$263,6,0)*VLOOKUP('Données projet'!$B$17,Paramètres!$A$1:$I$88,7,0))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projet'!$B$17,Paramètres!$A$1:$I$88,3,0)*0.475*44/12</f>
        <v>#N/A</v>
      </c>
      <c r="GM77" s="21" t="e">
        <f>EXP(-LN(2)/25)*GM76+(1-EXP(-LN(2)/25))/(LN(2)/25)*Calculateur!GH77*Calculateur!GJ77*VLOOKUP('Données projet'!$B$17,Paramètres!$A$1:$I$88,3,0)*0.475*44/12</f>
        <v>#N/A</v>
      </c>
      <c r="GN77" s="21" t="e">
        <f>EXP(-LN(2)/2)*GN76+(1-EXP(-LN(2)/2))/(LN(2)/2)*GH77*GK77*VLOOKUP('Données projet'!$B$17,Paramètres!$A$1:$I$88,3,0)*0.475*44/12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projet'!$B$18,Paramètres!$A$1:$I$88,3,0)*VLOOKUP('Données projet'!$B$18,Paramètres!$A$1:$I$88,5,0)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projet'!$B$18,Paramètres!$A$1:$I$88,7,0))</f>
        <v>0</v>
      </c>
      <c r="HE77" s="16">
        <f>IF(ISNA(VLOOKUP(A77,'Données projet'!$A$269:$I$289,6,0)),0%,VLOOKUP(A77,'Données projet'!$A$269:$I$289,6,0)*VLOOKUP('Données projet'!$B$18,Paramètres!$A$1:$I$88,7,0))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projet'!$B$18,Paramètres!$A$1:$I$88,3,0)*0.475*44/12</f>
        <v>#N/A</v>
      </c>
      <c r="HH77" s="21" t="e">
        <f>EXP(-LN(2)/25)*HH76+(1-EXP(-LN(2)/25))/(LN(2)/25)*Calculateur!HC77*Calculateur!HE77*VLOOKUP('Données projet'!$B$18,Paramètres!$A$1:$I$88,3,0)*0.475*44/12</f>
        <v>#N/A</v>
      </c>
      <c r="HI77" s="21" t="e">
        <f>EXP(-LN(2)/2)*HI76+(1-EXP(-LN(2)/2))/(LN(2)/2)*HC77*HF77*VLOOKUP('Données projet'!$B$18,Paramètres!$A$1:$I$88,3,0)*0.475*44/12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projet'!$B$9,Paramètres!$A$1:$I$88,3,0)*VLOOKUP('Données projet'!$B$9,Paramètres!$A$1:$I$88,5,0)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195.73441209602686</v>
      </c>
      <c r="T78" s="59">
        <f t="shared" si="88"/>
        <v>219.19129224309006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projet'!$B$9,Paramètres!$A$1:$I$88,7,0))</f>
        <v>0</v>
      </c>
      <c r="X78" s="16">
        <f>IF(ISNA(VLOOKUP(A78,'Données projet'!$A$35:$I$55,6,0)),0%,VLOOKUP(A78,'Données projet'!$A$35:$I$55,6,0)*VLOOKUP('Données projet'!$B$9,Paramètres!$A$1:$I$88,7,0))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projet'!$B$9,Paramètres!$A$1:$I$88,3,0)*0.475*44/12</f>
        <v>6.2560146991132228</v>
      </c>
      <c r="AA78" s="21">
        <f>EXP(-LN(2)/25)*AA77+(1-EXP(-LN(2)/25))/(LN(2)/25)*Calculateur!V78*Calculateur!X78*VLOOKUP('Données projet'!$B$9,Paramètres!$A$1:$I$88,3,0)*0.475*44/12</f>
        <v>4.0657170068433679</v>
      </c>
      <c r="AB78" s="21">
        <f>EXP(-LN(2)/2)*AB77+(1-EXP(-LN(2)/2))/(LN(2)/2)*V78*Y78*VLOOKUP('Données projet'!$B$9,Paramètres!$A$1:$I$88,3,0)*0.475*44/12</f>
        <v>6.6882594908314929E-9</v>
      </c>
      <c r="AC78" s="22">
        <f t="shared" si="57"/>
        <v>10.32173171264485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7.2</v>
      </c>
      <c r="AI78" s="13">
        <f>IF('Données projet'!$A$62&gt;35,AI77+AH78-AQ77,IF(A78&lt;'Données projet'!$A$62,$AF$205^A78,IF(A78='Données projet'!$A$62,'Données projet'!$B$62,AI77+AH78-AQ77)))</f>
        <v>413.9999999999996</v>
      </c>
      <c r="AJ78" s="13">
        <f>AI78*VLOOKUP('Données projet'!$B$10,Paramètres!$A$1:$I$88,3,0)*VLOOKUP('Données projet'!$B$10,Paramètres!$A$1:$I$88,5,0)</f>
        <v>247.57199999999978</v>
      </c>
      <c r="AK78" s="13">
        <f t="shared" si="89"/>
        <v>60.065726249156526</v>
      </c>
      <c r="AL78" s="20">
        <f t="shared" si="58"/>
        <v>535.80237321728055</v>
      </c>
      <c r="AM78" s="59">
        <f t="shared" si="59"/>
        <v>829.1357065506138</v>
      </c>
      <c r="AN78" s="59">
        <f ca="1">AVERAGE(OFFSET($AM$3,0,0,'Données projet'!$E$10+1,1))-AVERAGE(OFFSET($H$3,0,0,'Données projet'!$E$10+1,1))</f>
        <v>246.59447135626942</v>
      </c>
      <c r="AO78" s="59">
        <f t="shared" si="90"/>
        <v>262.00382544285367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projet'!$B$10,Paramètres!$A$1:$I$88,7,0))</f>
        <v>0</v>
      </c>
      <c r="AS78" s="16">
        <f>IF(ISNA(VLOOKUP(A78,'Données projet'!$A$61:$I$81,6,0)),0%,VLOOKUP(A78,'Données projet'!$A$61:$I$81,6,0)*VLOOKUP('Données projet'!$B$10,Paramètres!$A$1:$I$88,7,0))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projet'!$B$10,Paramètres!$A$1:$I$88,3,0)*0.475*44/12</f>
        <v>0</v>
      </c>
      <c r="AV78" s="21">
        <f>EXP(-LN(2)/25)*AV77+(1-EXP(-LN(2)/25))/(LN(2)/25)*Calculateur!AQ78*Calculateur!AS78*VLOOKUP('Données projet'!$B$10,Paramètres!$A$1:$I$88,3,0)*0.475*44/12</f>
        <v>3.6899819762334349</v>
      </c>
      <c r="AW78" s="21">
        <f>EXP(-LN(2)/2)*AW77+(1-EXP(-LN(2)/2))/(LN(2)/2)*AQ78*AT78*VLOOKUP('Données projet'!$B$10,Paramètres!$A$1:$I$88,3,0)*0.475*44/12</f>
        <v>4.0004709434493427E-6</v>
      </c>
      <c r="AX78" s="21">
        <f t="shared" si="60"/>
        <v>3.6899859767043783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10.4</v>
      </c>
      <c r="BD78" s="12">
        <f>IF('Données projet'!$A$88&gt;35,BD77+BC78-BL77,IF(A78&lt;'Données projet'!$A$88,$BA$205^A78,IF(A78='Données projet'!$A$88,'Données projet'!$B$88,BD77+BC78-BL77)))</f>
        <v>598.99999999999955</v>
      </c>
      <c r="BE78" s="13">
        <f>BD78*VLOOKUP('Données projet'!$B$11,Paramètres!$A$1:$I$88,3,0)*VLOOKUP('Données projet'!$B$11,Paramètres!$A$1:$I$88,5,0)</f>
        <v>334.84099999999978</v>
      </c>
      <c r="BF78" s="13">
        <f t="shared" si="91"/>
        <v>78.433117720461652</v>
      </c>
      <c r="BG78" s="20">
        <f t="shared" si="61"/>
        <v>719.78575502980368</v>
      </c>
      <c r="BH78" s="59">
        <f t="shared" si="62"/>
        <v>1013.1190883631371</v>
      </c>
      <c r="BI78" s="59">
        <f ca="1">AVERAGE(OFFSET($BH$3,0,0,'Données projet'!$E$11+1,1))-AVERAGE(OFFSET($H$3,0,0,'Données projet'!$E$11+1,1))</f>
        <v>355.96253323046608</v>
      </c>
      <c r="BJ78" s="59">
        <f t="shared" si="92"/>
        <v>366.8380442809696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projet'!$B$11,Paramètres!$A$1:$I$88,7,0))</f>
        <v>0</v>
      </c>
      <c r="BN78" s="16">
        <f>IF(ISNA(VLOOKUP(A78,'Données projet'!$A$87:$I$107,6,0)),0%,VLOOKUP(A78,'Données projet'!$A$87:$I$107,6,0)*VLOOKUP('Données projet'!$B$11,Paramètres!$A$1:$I$88,7,0))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projet'!$B$11,Paramètres!$A$1:$I$88,3,0)*0.475*44/12</f>
        <v>0</v>
      </c>
      <c r="BQ78" s="21">
        <f>EXP(-LN(2)/25)*BQ77+(1-EXP(-LN(2)/25))/(LN(2)/25)*Calculateur!BL78*Calculateur!BN78*VLOOKUP('Données projet'!$B$11,Paramètres!$A$1:$I$88,3,0)*0.475*44/12</f>
        <v>6.5331635516896007</v>
      </c>
      <c r="BR78" s="21">
        <f>EXP(-LN(2)/2)*BR77+(1-EXP(-LN(2)/2))/(LN(2)/2)*BL78*BO78*VLOOKUP('Données projet'!$B$11,Paramètres!$A$1:$I$88,3,0)*0.475*44/12</f>
        <v>6.1853799221585391E-6</v>
      </c>
      <c r="BS78" s="22">
        <f t="shared" si="63"/>
        <v>6.5331697370695228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3.1</v>
      </c>
      <c r="BY78" s="12">
        <f>IF('Données projet'!$A$114&gt;35,BY77+BX78-CG77,IF(A78&lt;'Données projet'!$A$114,$BV$205^A78,IF(A78='Données projet'!$A$114,'Données projet'!$B$114,BY77+BX78-CG77)))</f>
        <v>268.49999999999994</v>
      </c>
      <c r="BZ78" s="13">
        <f>BY78*VLOOKUP('Données projet'!$B$12,Paramètres!$A$1:$I$88,3,0)*VLOOKUP('Données projet'!$B$12,Paramètres!$A$1:$I$88,5,0)</f>
        <v>175.92119999999994</v>
      </c>
      <c r="CA78" s="13">
        <f t="shared" si="93"/>
        <v>44.413521333177933</v>
      </c>
      <c r="CB78" s="20">
        <f t="shared" si="64"/>
        <v>383.74963965528474</v>
      </c>
      <c r="CC78" s="59">
        <f t="shared" si="65"/>
        <v>677.08297298861805</v>
      </c>
      <c r="CD78" s="59">
        <f ca="1">AVERAGE(OFFSET($CC$3,0,0,'Données projet'!$E$12+1,1))-AVERAGE(OFFSET($H$3,0,0,'Données projet'!$E$12+1,1))</f>
        <v>180.90147430936133</v>
      </c>
      <c r="CE78" s="59">
        <f t="shared" si="94"/>
        <v>226.87949199830018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projet'!$B$12,Paramètres!$A$1:$I$88,7,0))</f>
        <v>0</v>
      </c>
      <c r="CI78" s="16">
        <f>IF(ISNA(VLOOKUP(A78,'Données projet'!$A$113:$I$133,6,0)),0%,VLOOKUP(A78,'Données projet'!$A$113:$I$133,6,0)*VLOOKUP('Données projet'!$B$12,Paramètres!$A$1:$I$88,7,0))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projet'!$B$12,Paramètres!$A$1:$I$88,3,0)*0.475*44/12</f>
        <v>0</v>
      </c>
      <c r="CL78" s="21">
        <f>EXP(-LN(2)/25)*CL77+(1-EXP(-LN(2)/25))/(LN(2)/25)*Calculateur!CG78*Calculateur!CI78*VLOOKUP('Données projet'!$B$12,Paramètres!$A$1:$I$88,3,0)*0.475*44/12</f>
        <v>1.9730429992346623</v>
      </c>
      <c r="CM78" s="21">
        <f>EXP(-LN(2)/2)*CM77+(1-EXP(-LN(2)/2))/(LN(2)/2)*CG78*CJ78*VLOOKUP('Données projet'!$B$12,Paramètres!$A$1:$I$88,3,0)*0.475*44/12</f>
        <v>1.4940990114735744E-6</v>
      </c>
      <c r="CN78" s="22">
        <f t="shared" si="66"/>
        <v>1.9730444933336737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5.6843418860808015E-14</v>
      </c>
      <c r="CU78" s="17">
        <f>CT78*VLOOKUP('Données projet'!$B$13,Paramètres!$A$1:$I$88,3,0)*VLOOKUP('Données projet'!$B$13,Paramètres!$A$1:$I$88,5,0)</f>
        <v>2.8908289095852525E-14</v>
      </c>
      <c r="CV78" s="13">
        <f t="shared" si="95"/>
        <v>5.0177780569126974E-13</v>
      </c>
      <c r="CW78" s="20">
        <f t="shared" si="67"/>
        <v>9.2427828175423786E-13</v>
      </c>
      <c r="CX78" s="59">
        <f t="shared" si="68"/>
        <v>293.33333333333422</v>
      </c>
      <c r="CY78" s="59">
        <f ca="1">AVERAGE(OFFSET($CX$3,0,0,'Données projet'!$E$13+1,1))-AVERAGE(OFFSET($H$3,0,0,'Données projet'!$E$13+1,1))</f>
        <v>133.08385802816008</v>
      </c>
      <c r="CZ78" s="59">
        <f t="shared" si="96"/>
        <v>316.59112511251385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projet'!$B$13,Paramètres!$A$1:$I$88,7,0))</f>
        <v>0</v>
      </c>
      <c r="DD78" s="16">
        <f>IF(ISNA(VLOOKUP(A78,'Données projet'!$A$139:$I$159,6,0)),0%,VLOOKUP(A78,'Données projet'!$A$139:$I$159,6,0)*VLOOKUP('Données projet'!$B$13,Paramètres!$A$1:$I$88,7,0))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projet'!$B$13,Paramètres!$A$1:$I$88,3,0)*0.475*44/12</f>
        <v>29.616582242799257</v>
      </c>
      <c r="DG78" s="21">
        <f>EXP(-LN(2)/25)*DG77+(1-EXP(-LN(2)/25))/(LN(2)/25)*Calculateur!DB78*Calculateur!DD78*VLOOKUP('Données projet'!$B$13,Paramètres!$A$1:$I$88,3,0)*0.475*44/12</f>
        <v>0</v>
      </c>
      <c r="DH78" s="21">
        <f>EXP(-LN(2)/2)*DH77+(1-EXP(-LN(2)/2))/(LN(2)/2)*DB78*DE78*VLOOKUP('Données projet'!$B$13,Paramètres!$A$1:$I$88,3,0)*0.475*44/12</f>
        <v>9.5326118407040607E-7</v>
      </c>
      <c r="DI78" s="22">
        <f t="shared" si="69"/>
        <v>29.616583196060443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projet'!$B$14,Paramètres!$A$1:$I$88,3,0)*VLOOKUP('Données projet'!$B$14,Paramètres!$A$1:$I$88,5,0)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projet'!$B$14,Paramètres!$A$1:$I$88,7,0))</f>
        <v>0</v>
      </c>
      <c r="DY78" s="16">
        <f>IF(ISNA(VLOOKUP(A78,'Données projet'!$A$165:$I$185,6,0)),0%,VLOOKUP(A78,'Données projet'!$A$165:$I$185,6,0)*VLOOKUP('Données projet'!$B$14,Paramètres!$A$1:$I$88,7,0))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projet'!$B$14,Paramètres!$A$1:$I$88,3,0)*0.475*44/12</f>
        <v>#N/A</v>
      </c>
      <c r="EB78" s="21" t="e">
        <f>EXP(-LN(2)/25)*EB77+(1-EXP(-LN(2)/25))/(LN(2)/25)*Calculateur!DW78*Calculateur!DY78*VLOOKUP('Données projet'!$B$14,Paramètres!$A$1:$I$88,3,0)*0.475*44/12</f>
        <v>#N/A</v>
      </c>
      <c r="EC78" s="21" t="e">
        <f>EXP(-LN(2)/2)*EC77+(1-EXP(-LN(2)/2))/(LN(2)/2)*DW78*DZ78*VLOOKUP('Données projet'!$B$14,Paramètres!$A$1:$I$88,3,0)*0.475*44/12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projet'!$B$15,Paramètres!$A$1:$I$88,3,0)*VLOOKUP('Données projet'!$B$15,Paramètres!$A$1:$I$88,5,0)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projet'!$B$15,Paramètres!$A$1:$I$88,7,0))</f>
        <v>0</v>
      </c>
      <c r="ET78" s="16">
        <f>IF(ISNA(VLOOKUP(A78,'Données projet'!$A$191:$I$211,6,0)),0%,VLOOKUP(A78,'Données projet'!$A$191:$I$211,6,0)*VLOOKUP('Données projet'!$B$15,Paramètres!$A$1:$I$88,7,0))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projet'!$B$15,Paramètres!$A$1:$I$88,3,0)*0.475*44/12</f>
        <v>#N/A</v>
      </c>
      <c r="EW78" s="21" t="e">
        <f>EXP(-LN(2)/25)*EW77+(1-EXP(-LN(2)/25))/(LN(2)/25)*Calculateur!ER78*Calculateur!ET78*VLOOKUP('Données projet'!$B$15,Paramètres!$A$1:$I$88,3,0)*0.475*44/12</f>
        <v>#N/A</v>
      </c>
      <c r="EX78" s="21" t="e">
        <f>EXP(-LN(2)/2)*EX77+(1-EXP(-LN(2)/2))/(LN(2)/2)*ER78*EU78*VLOOKUP('Données projet'!$B$15,Paramètres!$A$1:$I$88,3,0)*0.475*44/12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projet'!$B$16,Paramètres!$A$1:$I$88,3,0)*VLOOKUP('Données projet'!$B$16,Paramètres!$A$1:$I$88,5,0)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projet'!$B$16,Paramètres!$A$1:$I$88,7,0))</f>
        <v>0</v>
      </c>
      <c r="FO78" s="16">
        <f>IF(ISNA(VLOOKUP(A78,'Données projet'!$A$217:$I$237,6,0)),0%,VLOOKUP(A78,'Données projet'!$A$217:$I$237,6,0)*VLOOKUP('Données projet'!$B$16,Paramètres!$A$1:$I$88,7,0))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projet'!$B$16,Paramètres!$A$1:$I$88,3,0)*0.475*44/12</f>
        <v>#N/A</v>
      </c>
      <c r="FR78" s="21" t="e">
        <f>EXP(-LN(2)/25)*FR77+(1-EXP(-LN(2)/25))/(LN(2)/25)*Calculateur!FM78*Calculateur!FO78*VLOOKUP('Données projet'!$B$16,Paramètres!$A$1:$I$88,3,0)*0.475*44/12</f>
        <v>#N/A</v>
      </c>
      <c r="FS78" s="21" t="e">
        <f>EXP(-LN(2)/2)*FS77+(1-EXP(-LN(2)/2))/(LN(2)/2)*FM78*FP78*VLOOKUP('Données projet'!$B$16,Paramètres!$A$1:$I$88,3,0)*0.475*44/12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projet'!$B$17,Paramètres!$A$1:$I$88,3,0)*VLOOKUP('Données projet'!$B$17,Paramètres!$A$1:$I$88,5,0)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projet'!$B$17,Paramètres!$A$1:$I$88,7,0))</f>
        <v>0</v>
      </c>
      <c r="GJ78" s="16">
        <f>IF(ISNA(VLOOKUP(A78,'Données projet'!$A$243:$I$263,6,0)),0%,VLOOKUP(A78,'Données projet'!$A$243:$I$263,6,0)*VLOOKUP('Données projet'!$B$17,Paramètres!$A$1:$I$88,7,0))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projet'!$B$17,Paramètres!$A$1:$I$88,3,0)*0.475*44/12</f>
        <v>#N/A</v>
      </c>
      <c r="GM78" s="21" t="e">
        <f>EXP(-LN(2)/25)*GM77+(1-EXP(-LN(2)/25))/(LN(2)/25)*Calculateur!GH78*Calculateur!GJ78*VLOOKUP('Données projet'!$B$17,Paramètres!$A$1:$I$88,3,0)*0.475*44/12</f>
        <v>#N/A</v>
      </c>
      <c r="GN78" s="21" t="e">
        <f>EXP(-LN(2)/2)*GN77+(1-EXP(-LN(2)/2))/(LN(2)/2)*GH78*GK78*VLOOKUP('Données projet'!$B$17,Paramètres!$A$1:$I$88,3,0)*0.475*44/12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projet'!$B$18,Paramètres!$A$1:$I$88,3,0)*VLOOKUP('Données projet'!$B$18,Paramètres!$A$1:$I$88,5,0)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projet'!$B$18,Paramètres!$A$1:$I$88,7,0))</f>
        <v>0</v>
      </c>
      <c r="HE78" s="16">
        <f>IF(ISNA(VLOOKUP(A78,'Données projet'!$A$269:$I$289,6,0)),0%,VLOOKUP(A78,'Données projet'!$A$269:$I$289,6,0)*VLOOKUP('Données projet'!$B$18,Paramètres!$A$1:$I$88,7,0))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projet'!$B$18,Paramètres!$A$1:$I$88,3,0)*0.475*44/12</f>
        <v>#N/A</v>
      </c>
      <c r="HH78" s="21" t="e">
        <f>EXP(-LN(2)/25)*HH77+(1-EXP(-LN(2)/25))/(LN(2)/25)*Calculateur!HC78*Calculateur!HE78*VLOOKUP('Données projet'!$B$18,Paramètres!$A$1:$I$88,3,0)*0.475*44/12</f>
        <v>#N/A</v>
      </c>
      <c r="HI78" s="21" t="e">
        <f>EXP(-LN(2)/2)*HI77+(1-EXP(-LN(2)/2))/(LN(2)/2)*HC78*HF78*VLOOKUP('Données projet'!$B$18,Paramètres!$A$1:$I$88,3,0)*0.475*44/12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projet'!$B$9,Paramètres!$A$1:$I$88,3,0)*VLOOKUP('Données projet'!$B$9,Paramètres!$A$1:$I$88,5,0)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195.73441209602686</v>
      </c>
      <c r="T79" s="59">
        <f t="shared" si="88"/>
        <v>219.19129224309006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projet'!$B$9,Paramètres!$A$1:$I$88,7,0))</f>
        <v>0</v>
      </c>
      <c r="X79" s="16">
        <f>IF(ISNA(VLOOKUP(A79,'Données projet'!$A$35:$I$55,6,0)),0%,VLOOKUP(A79,'Données projet'!$A$35:$I$55,6,0)*VLOOKUP('Données projet'!$B$9,Paramètres!$A$1:$I$88,7,0))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projet'!$B$9,Paramètres!$A$1:$I$88,3,0)*0.475*44/12</f>
        <v>6.1333380666558011</v>
      </c>
      <c r="AA79" s="21">
        <f>EXP(-LN(2)/25)*AA78+(1-EXP(-LN(2)/25))/(LN(2)/25)*Calculateur!V79*Calculateur!X79*VLOOKUP('Données projet'!$B$9,Paramètres!$A$1:$I$88,3,0)*0.475*44/12</f>
        <v>3.9545397614844711</v>
      </c>
      <c r="AB79" s="21">
        <f>EXP(-LN(2)/2)*AB78+(1-EXP(-LN(2)/2))/(LN(2)/2)*V79*Y79*VLOOKUP('Données projet'!$B$9,Paramètres!$A$1:$I$88,3,0)*0.475*44/12</f>
        <v>4.7293136403022342E-9</v>
      </c>
      <c r="AC79" s="22">
        <f t="shared" si="57"/>
        <v>10.087877832869586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421.19999999999959</v>
      </c>
      <c r="AJ79" s="13">
        <f>AI79*VLOOKUP('Données projet'!$B$10,Paramètres!$A$1:$I$88,3,0)*VLOOKUP('Données projet'!$B$10,Paramètres!$A$1:$I$88,5,0)</f>
        <v>251.87759999999977</v>
      </c>
      <c r="AK79" s="13">
        <f t="shared" si="89"/>
        <v>60.987825380023018</v>
      </c>
      <c r="AL79" s="20">
        <f t="shared" si="58"/>
        <v>544.90728253687291</v>
      </c>
      <c r="AM79" s="59">
        <f t="shared" si="59"/>
        <v>838.24061587020628</v>
      </c>
      <c r="AN79" s="59">
        <f ca="1">AVERAGE(OFFSET($AM$3,0,0,'Données projet'!$E$10+1,1))-AVERAGE(OFFSET($H$3,0,0,'Données projet'!$E$10+1,1))</f>
        <v>246.59447135626942</v>
      </c>
      <c r="AO79" s="59">
        <f t="shared" si="90"/>
        <v>262.00382544285367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projet'!$B$10,Paramètres!$A$1:$I$88,7,0))</f>
        <v>0</v>
      </c>
      <c r="AS79" s="16">
        <f>IF(ISNA(VLOOKUP(A79,'Données projet'!$A$61:$I$81,6,0)),0%,VLOOKUP(A79,'Données projet'!$A$61:$I$81,6,0)*VLOOKUP('Données projet'!$B$10,Paramètres!$A$1:$I$88,7,0))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projet'!$B$10,Paramètres!$A$1:$I$88,3,0)*0.475*44/12</f>
        <v>0</v>
      </c>
      <c r="AV79" s="21">
        <f>EXP(-LN(2)/25)*AV78+(1-EXP(-LN(2)/25))/(LN(2)/25)*Calculateur!AQ79*Calculateur!AS79*VLOOKUP('Données projet'!$B$10,Paramètres!$A$1:$I$88,3,0)*0.475*44/12</f>
        <v>3.5890792250456132</v>
      </c>
      <c r="AW79" s="21">
        <f>EXP(-LN(2)/2)*AW78+(1-EXP(-LN(2)/2))/(LN(2)/2)*AQ79*AT79*VLOOKUP('Données projet'!$B$10,Paramètres!$A$1:$I$88,3,0)*0.475*44/12</f>
        <v>2.8287601320527758E-6</v>
      </c>
      <c r="AX79" s="21">
        <f t="shared" si="60"/>
        <v>3.5890820538057451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10.4</v>
      </c>
      <c r="BD79" s="12">
        <f>IF('Données projet'!$A$88&gt;35,BD78+BC79-BL78,IF(A79&lt;'Données projet'!$A$88,$BA$205^A79,IF(A79='Données projet'!$A$88,'Données projet'!$B$88,BD78+BC79-BL78)))</f>
        <v>609.39999999999952</v>
      </c>
      <c r="BE79" s="13">
        <f>BD79*VLOOKUP('Données projet'!$B$11,Paramètres!$A$1:$I$88,3,0)*VLOOKUP('Données projet'!$B$11,Paramètres!$A$1:$I$88,5,0)</f>
        <v>340.65459999999973</v>
      </c>
      <c r="BF79" s="13">
        <f t="shared" si="91"/>
        <v>79.635175782709197</v>
      </c>
      <c r="BG79" s="20">
        <f t="shared" si="61"/>
        <v>732.00469282155143</v>
      </c>
      <c r="BH79" s="59">
        <f t="shared" si="62"/>
        <v>1025.3380261548848</v>
      </c>
      <c r="BI79" s="59">
        <f ca="1">AVERAGE(OFFSET($BH$3,0,0,'Données projet'!$E$11+1,1))-AVERAGE(OFFSET($H$3,0,0,'Données projet'!$E$11+1,1))</f>
        <v>355.96253323046608</v>
      </c>
      <c r="BJ79" s="59">
        <f t="shared" si="92"/>
        <v>366.8380442809696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projet'!$B$11,Paramètres!$A$1:$I$88,7,0))</f>
        <v>0</v>
      </c>
      <c r="BN79" s="16">
        <f>IF(ISNA(VLOOKUP(A79,'Données projet'!$A$87:$I$107,6,0)),0%,VLOOKUP(A79,'Données projet'!$A$87:$I$107,6,0)*VLOOKUP('Données projet'!$B$11,Paramètres!$A$1:$I$88,7,0))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projet'!$B$11,Paramètres!$A$1:$I$88,3,0)*0.475*44/12</f>
        <v>0</v>
      </c>
      <c r="BQ79" s="21">
        <f>EXP(-LN(2)/25)*BQ78+(1-EXP(-LN(2)/25))/(LN(2)/25)*Calculateur!BL79*Calculateur!BN79*VLOOKUP('Données projet'!$B$11,Paramètres!$A$1:$I$88,3,0)*0.475*44/12</f>
        <v>6.3545138508045094</v>
      </c>
      <c r="BR79" s="21">
        <f>EXP(-LN(2)/2)*BR78+(1-EXP(-LN(2)/2))/(LN(2)/2)*BL79*BO79*VLOOKUP('Données projet'!$B$11,Paramètres!$A$1:$I$88,3,0)*0.475*44/12</f>
        <v>4.3737240871734223E-6</v>
      </c>
      <c r="BS79" s="22">
        <f t="shared" si="63"/>
        <v>6.3545182245285963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3.1</v>
      </c>
      <c r="BY79" s="12">
        <f>IF('Données projet'!$A$114&gt;35,BY78+BX79-CG78,IF(A79&lt;'Données projet'!$A$114,$BV$205^A79,IF(A79='Données projet'!$A$114,'Données projet'!$B$114,BY78+BX79-CG78)))</f>
        <v>271.59999999999997</v>
      </c>
      <c r="BZ79" s="13">
        <f>BY79*VLOOKUP('Données projet'!$B$12,Paramètres!$A$1:$I$88,3,0)*VLOOKUP('Données projet'!$B$12,Paramètres!$A$1:$I$88,5,0)</f>
        <v>177.95231999999999</v>
      </c>
      <c r="CA79" s="13">
        <f t="shared" si="93"/>
        <v>44.866312182234566</v>
      </c>
      <c r="CB79" s="20">
        <f t="shared" si="64"/>
        <v>388.07578438405852</v>
      </c>
      <c r="CC79" s="59">
        <f t="shared" si="65"/>
        <v>681.40911771739184</v>
      </c>
      <c r="CD79" s="59">
        <f ca="1">AVERAGE(OFFSET($CC$3,0,0,'Données projet'!$E$12+1,1))-AVERAGE(OFFSET($H$3,0,0,'Données projet'!$E$12+1,1))</f>
        <v>180.90147430936133</v>
      </c>
      <c r="CE79" s="59">
        <f t="shared" si="94"/>
        <v>226.87949199830018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projet'!$B$12,Paramètres!$A$1:$I$88,7,0))</f>
        <v>0</v>
      </c>
      <c r="CI79" s="16">
        <f>IF(ISNA(VLOOKUP(A79,'Données projet'!$A$113:$I$133,6,0)),0%,VLOOKUP(A79,'Données projet'!$A$113:$I$133,6,0)*VLOOKUP('Données projet'!$B$12,Paramètres!$A$1:$I$88,7,0))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projet'!$B$12,Paramètres!$A$1:$I$88,3,0)*0.475*44/12</f>
        <v>0</v>
      </c>
      <c r="CL79" s="21">
        <f>EXP(-LN(2)/25)*CL78+(1-EXP(-LN(2)/25))/(LN(2)/25)*Calculateur!CG79*Calculateur!CI79*VLOOKUP('Données projet'!$B$12,Paramètres!$A$1:$I$88,3,0)*0.475*44/12</f>
        <v>1.9190900346627686</v>
      </c>
      <c r="CM79" s="21">
        <f>EXP(-LN(2)/2)*CM78+(1-EXP(-LN(2)/2))/(LN(2)/2)*CG79*CJ79*VLOOKUP('Données projet'!$B$12,Paramètres!$A$1:$I$88,3,0)*0.475*44/12</f>
        <v>1.0564875427770817E-6</v>
      </c>
      <c r="CN79" s="22">
        <f t="shared" si="66"/>
        <v>1.9190910911503114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5.6843418860808015E-14</v>
      </c>
      <c r="CU79" s="17">
        <f>CT79*VLOOKUP('Données projet'!$B$13,Paramètres!$A$1:$I$88,3,0)*VLOOKUP('Données projet'!$B$13,Paramètres!$A$1:$I$88,5,0)</f>
        <v>2.8908289095852525E-14</v>
      </c>
      <c r="CV79" s="13">
        <f t="shared" si="95"/>
        <v>5.0177780569126974E-13</v>
      </c>
      <c r="CW79" s="20">
        <f t="shared" si="67"/>
        <v>9.2427828175423786E-13</v>
      </c>
      <c r="CX79" s="59">
        <f t="shared" si="68"/>
        <v>293.33333333333422</v>
      </c>
      <c r="CY79" s="59">
        <f ca="1">AVERAGE(OFFSET($CX$3,0,0,'Données projet'!$E$13+1,1))-AVERAGE(OFFSET($H$3,0,0,'Données projet'!$E$13+1,1))</f>
        <v>133.08385802816008</v>
      </c>
      <c r="CZ79" s="59">
        <f t="shared" si="96"/>
        <v>316.59112511251385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projet'!$B$13,Paramètres!$A$1:$I$88,7,0))</f>
        <v>0</v>
      </c>
      <c r="DD79" s="16">
        <f>IF(ISNA(VLOOKUP(A79,'Données projet'!$A$139:$I$159,6,0)),0%,VLOOKUP(A79,'Données projet'!$A$139:$I$159,6,0)*VLOOKUP('Données projet'!$B$13,Paramètres!$A$1:$I$88,7,0))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projet'!$B$13,Paramètres!$A$1:$I$88,3,0)*0.475*44/12</f>
        <v>29.035819129349427</v>
      </c>
      <c r="DG79" s="21">
        <f>EXP(-LN(2)/25)*DG78+(1-EXP(-LN(2)/25))/(LN(2)/25)*Calculateur!DB79*Calculateur!DD79*VLOOKUP('Données projet'!$B$13,Paramètres!$A$1:$I$88,3,0)*0.475*44/12</f>
        <v>0</v>
      </c>
      <c r="DH79" s="21">
        <f>EXP(-LN(2)/2)*DH78+(1-EXP(-LN(2)/2))/(LN(2)/2)*DB79*DE79*VLOOKUP('Données projet'!$B$13,Paramètres!$A$1:$I$88,3,0)*0.475*44/12</f>
        <v>6.740574474981019E-7</v>
      </c>
      <c r="DI79" s="22">
        <f t="shared" si="69"/>
        <v>29.035819803406874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projet'!$B$14,Paramètres!$A$1:$I$88,3,0)*VLOOKUP('Données projet'!$B$14,Paramètres!$A$1:$I$88,5,0)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projet'!$B$14,Paramètres!$A$1:$I$88,7,0))</f>
        <v>0</v>
      </c>
      <c r="DY79" s="16">
        <f>IF(ISNA(VLOOKUP(A79,'Données projet'!$A$165:$I$185,6,0)),0%,VLOOKUP(A79,'Données projet'!$A$165:$I$185,6,0)*VLOOKUP('Données projet'!$B$14,Paramètres!$A$1:$I$88,7,0))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projet'!$B$14,Paramètres!$A$1:$I$88,3,0)*0.475*44/12</f>
        <v>#N/A</v>
      </c>
      <c r="EB79" s="21" t="e">
        <f>EXP(-LN(2)/25)*EB78+(1-EXP(-LN(2)/25))/(LN(2)/25)*Calculateur!DW79*Calculateur!DY79*VLOOKUP('Données projet'!$B$14,Paramètres!$A$1:$I$88,3,0)*0.475*44/12</f>
        <v>#N/A</v>
      </c>
      <c r="EC79" s="21" t="e">
        <f>EXP(-LN(2)/2)*EC78+(1-EXP(-LN(2)/2))/(LN(2)/2)*DW79*DZ79*VLOOKUP('Données projet'!$B$14,Paramètres!$A$1:$I$88,3,0)*0.475*44/12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projet'!$B$15,Paramètres!$A$1:$I$88,3,0)*VLOOKUP('Données projet'!$B$15,Paramètres!$A$1:$I$88,5,0)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projet'!$B$15,Paramètres!$A$1:$I$88,7,0))</f>
        <v>0</v>
      </c>
      <c r="ET79" s="16">
        <f>IF(ISNA(VLOOKUP(A79,'Données projet'!$A$191:$I$211,6,0)),0%,VLOOKUP(A79,'Données projet'!$A$191:$I$211,6,0)*VLOOKUP('Données projet'!$B$15,Paramètres!$A$1:$I$88,7,0))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projet'!$B$15,Paramètres!$A$1:$I$88,3,0)*0.475*44/12</f>
        <v>#N/A</v>
      </c>
      <c r="EW79" s="21" t="e">
        <f>EXP(-LN(2)/25)*EW78+(1-EXP(-LN(2)/25))/(LN(2)/25)*Calculateur!ER79*Calculateur!ET79*VLOOKUP('Données projet'!$B$15,Paramètres!$A$1:$I$88,3,0)*0.475*44/12</f>
        <v>#N/A</v>
      </c>
      <c r="EX79" s="21" t="e">
        <f>EXP(-LN(2)/2)*EX78+(1-EXP(-LN(2)/2))/(LN(2)/2)*ER79*EU79*VLOOKUP('Données projet'!$B$15,Paramètres!$A$1:$I$88,3,0)*0.475*44/12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projet'!$B$16,Paramètres!$A$1:$I$88,3,0)*VLOOKUP('Données projet'!$B$16,Paramètres!$A$1:$I$88,5,0)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projet'!$B$16,Paramètres!$A$1:$I$88,7,0))</f>
        <v>0</v>
      </c>
      <c r="FO79" s="16">
        <f>IF(ISNA(VLOOKUP(A79,'Données projet'!$A$217:$I$237,6,0)),0%,VLOOKUP(A79,'Données projet'!$A$217:$I$237,6,0)*VLOOKUP('Données projet'!$B$16,Paramètres!$A$1:$I$88,7,0))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projet'!$B$16,Paramètres!$A$1:$I$88,3,0)*0.475*44/12</f>
        <v>#N/A</v>
      </c>
      <c r="FR79" s="21" t="e">
        <f>EXP(-LN(2)/25)*FR78+(1-EXP(-LN(2)/25))/(LN(2)/25)*Calculateur!FM79*Calculateur!FO79*VLOOKUP('Données projet'!$B$16,Paramètres!$A$1:$I$88,3,0)*0.475*44/12</f>
        <v>#N/A</v>
      </c>
      <c r="FS79" s="21" t="e">
        <f>EXP(-LN(2)/2)*FS78+(1-EXP(-LN(2)/2))/(LN(2)/2)*FM79*FP79*VLOOKUP('Données projet'!$B$16,Paramètres!$A$1:$I$88,3,0)*0.475*44/12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projet'!$B$17,Paramètres!$A$1:$I$88,3,0)*VLOOKUP('Données projet'!$B$17,Paramètres!$A$1:$I$88,5,0)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projet'!$B$17,Paramètres!$A$1:$I$88,7,0))</f>
        <v>0</v>
      </c>
      <c r="GJ79" s="16">
        <f>IF(ISNA(VLOOKUP(A79,'Données projet'!$A$243:$I$263,6,0)),0%,VLOOKUP(A79,'Données projet'!$A$243:$I$263,6,0)*VLOOKUP('Données projet'!$B$17,Paramètres!$A$1:$I$88,7,0))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projet'!$B$17,Paramètres!$A$1:$I$88,3,0)*0.475*44/12</f>
        <v>#N/A</v>
      </c>
      <c r="GM79" s="21" t="e">
        <f>EXP(-LN(2)/25)*GM78+(1-EXP(-LN(2)/25))/(LN(2)/25)*Calculateur!GH79*Calculateur!GJ79*VLOOKUP('Données projet'!$B$17,Paramètres!$A$1:$I$88,3,0)*0.475*44/12</f>
        <v>#N/A</v>
      </c>
      <c r="GN79" s="21" t="e">
        <f>EXP(-LN(2)/2)*GN78+(1-EXP(-LN(2)/2))/(LN(2)/2)*GH79*GK79*VLOOKUP('Données projet'!$B$17,Paramètres!$A$1:$I$88,3,0)*0.475*44/12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projet'!$B$18,Paramètres!$A$1:$I$88,3,0)*VLOOKUP('Données projet'!$B$18,Paramètres!$A$1:$I$88,5,0)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projet'!$B$18,Paramètres!$A$1:$I$88,7,0))</f>
        <v>0</v>
      </c>
      <c r="HE79" s="16">
        <f>IF(ISNA(VLOOKUP(A79,'Données projet'!$A$269:$I$289,6,0)),0%,VLOOKUP(A79,'Données projet'!$A$269:$I$289,6,0)*VLOOKUP('Données projet'!$B$18,Paramètres!$A$1:$I$88,7,0))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projet'!$B$18,Paramètres!$A$1:$I$88,3,0)*0.475*44/12</f>
        <v>#N/A</v>
      </c>
      <c r="HH79" s="21" t="e">
        <f>EXP(-LN(2)/25)*HH78+(1-EXP(-LN(2)/25))/(LN(2)/25)*Calculateur!HC79*Calculateur!HE79*VLOOKUP('Données projet'!$B$18,Paramètres!$A$1:$I$88,3,0)*0.475*44/12</f>
        <v>#N/A</v>
      </c>
      <c r="HI79" s="21" t="e">
        <f>EXP(-LN(2)/2)*HI78+(1-EXP(-LN(2)/2))/(LN(2)/2)*HC79*HF79*VLOOKUP('Données projet'!$B$18,Paramètres!$A$1:$I$88,3,0)*0.475*44/12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projet'!$B$9,Paramètres!$A$1:$I$88,3,0)*VLOOKUP('Données projet'!$B$9,Paramètres!$A$1:$I$88,5,0)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195.73441209602686</v>
      </c>
      <c r="T80" s="59">
        <f t="shared" si="88"/>
        <v>219.19129224309006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projet'!$B$9,Paramètres!$A$1:$I$88,7,0))</f>
        <v>0</v>
      </c>
      <c r="X80" s="16">
        <f>IF(ISNA(VLOOKUP(A80,'Données projet'!$A$35:$I$55,6,0)),0%,VLOOKUP(A80,'Données projet'!$A$35:$I$55,6,0)*VLOOKUP('Données projet'!$B$9,Paramètres!$A$1:$I$88,7,0))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projet'!$B$9,Paramètres!$A$1:$I$88,3,0)*0.475*44/12</f>
        <v>6.013067048135512</v>
      </c>
      <c r="AA80" s="21">
        <f>EXP(-LN(2)/25)*AA79+(1-EXP(-LN(2)/25))/(LN(2)/25)*Calculateur!V80*Calculateur!X80*VLOOKUP('Données projet'!$B$9,Paramètres!$A$1:$I$88,3,0)*0.475*44/12</f>
        <v>3.8464026637464706</v>
      </c>
      <c r="AB80" s="21">
        <f>EXP(-LN(2)/2)*AB79+(1-EXP(-LN(2)/2))/(LN(2)/2)*V80*Y80*VLOOKUP('Données projet'!$B$9,Paramètres!$A$1:$I$88,3,0)*0.475*44/12</f>
        <v>3.3441297454157465E-9</v>
      </c>
      <c r="AC80" s="22">
        <f t="shared" si="57"/>
        <v>9.8594697152261119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428.39999999999958</v>
      </c>
      <c r="AJ80" s="13">
        <f>AI80*VLOOKUP('Données projet'!$B$10,Paramètres!$A$1:$I$88,3,0)*VLOOKUP('Données projet'!$B$10,Paramètres!$A$1:$I$88,5,0)</f>
        <v>256.18319999999977</v>
      </c>
      <c r="AK80" s="13">
        <f t="shared" si="89"/>
        <v>61.90809149979912</v>
      </c>
      <c r="AL80" s="20">
        <f t="shared" si="58"/>
        <v>554.00899936214978</v>
      </c>
      <c r="AM80" s="59">
        <f t="shared" si="59"/>
        <v>847.34233269548304</v>
      </c>
      <c r="AN80" s="59">
        <f ca="1">AVERAGE(OFFSET($AM$3,0,0,'Données projet'!$E$10+1,1))-AVERAGE(OFFSET($H$3,0,0,'Données projet'!$E$10+1,1))</f>
        <v>246.59447135626942</v>
      </c>
      <c r="AO80" s="59">
        <f t="shared" si="90"/>
        <v>262.00382544285367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projet'!$B$10,Paramètres!$A$1:$I$88,7,0))</f>
        <v>0</v>
      </c>
      <c r="AS80" s="16">
        <f>IF(ISNA(VLOOKUP(A80,'Données projet'!$A$61:$I$81,6,0)),0%,VLOOKUP(A80,'Données projet'!$A$61:$I$81,6,0)*VLOOKUP('Données projet'!$B$10,Paramètres!$A$1:$I$88,7,0))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projet'!$B$10,Paramètres!$A$1:$I$88,3,0)*0.475*44/12</f>
        <v>0</v>
      </c>
      <c r="AV80" s="21">
        <f>EXP(-LN(2)/25)*AV79+(1-EXP(-LN(2)/25))/(LN(2)/25)*Calculateur!AQ80*Calculateur!AS80*VLOOKUP('Données projet'!$B$10,Paramètres!$A$1:$I$88,3,0)*0.475*44/12</f>
        <v>3.4909356648952672</v>
      </c>
      <c r="AW80" s="21">
        <f>EXP(-LN(2)/2)*AW79+(1-EXP(-LN(2)/2))/(LN(2)/2)*AQ80*AT80*VLOOKUP('Données projet'!$B$10,Paramètres!$A$1:$I$88,3,0)*0.475*44/12</f>
        <v>2.0002354717246714E-6</v>
      </c>
      <c r="AX80" s="21">
        <f t="shared" si="60"/>
        <v>3.4909376651307391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10.4</v>
      </c>
      <c r="BD80" s="12">
        <f>IF('Données projet'!$A$88&gt;35,BD79+BC80-BL79,IF(A80&lt;'Données projet'!$A$88,$BA$205^A80,IF(A80='Données projet'!$A$88,'Données projet'!$B$88,BD79+BC80-BL79)))</f>
        <v>619.7999999999995</v>
      </c>
      <c r="BE80" s="13">
        <f>BD80*VLOOKUP('Données projet'!$B$11,Paramètres!$A$1:$I$88,3,0)*VLOOKUP('Données projet'!$B$11,Paramètres!$A$1:$I$88,5,0)</f>
        <v>346.46819999999974</v>
      </c>
      <c r="BF80" s="13">
        <f t="shared" si="91"/>
        <v>80.834848230178139</v>
      </c>
      <c r="BG80" s="20">
        <f t="shared" si="61"/>
        <v>744.21947566755978</v>
      </c>
      <c r="BH80" s="59">
        <f t="shared" si="62"/>
        <v>1037.5528090008931</v>
      </c>
      <c r="BI80" s="59">
        <f ca="1">AVERAGE(OFFSET($BH$3,0,0,'Données projet'!$E$11+1,1))-AVERAGE(OFFSET($H$3,0,0,'Données projet'!$E$11+1,1))</f>
        <v>355.96253323046608</v>
      </c>
      <c r="BJ80" s="59">
        <f t="shared" si="92"/>
        <v>366.8380442809696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projet'!$B$11,Paramètres!$A$1:$I$88,7,0))</f>
        <v>0</v>
      </c>
      <c r="BN80" s="16">
        <f>IF(ISNA(VLOOKUP(A80,'Données projet'!$A$87:$I$107,6,0)),0%,VLOOKUP(A80,'Données projet'!$A$87:$I$107,6,0)*VLOOKUP('Données projet'!$B$11,Paramètres!$A$1:$I$88,7,0))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projet'!$B$11,Paramètres!$A$1:$I$88,3,0)*0.475*44/12</f>
        <v>0</v>
      </c>
      <c r="BQ80" s="21">
        <f>EXP(-LN(2)/25)*BQ79+(1-EXP(-LN(2)/25))/(LN(2)/25)*Calculateur!BL80*Calculateur!BN80*VLOOKUP('Données projet'!$B$11,Paramètres!$A$1:$I$88,3,0)*0.475*44/12</f>
        <v>6.1807493353848999</v>
      </c>
      <c r="BR80" s="21">
        <f>EXP(-LN(2)/2)*BR79+(1-EXP(-LN(2)/2))/(LN(2)/2)*BL80*BO80*VLOOKUP('Données projet'!$B$11,Paramètres!$A$1:$I$88,3,0)*0.475*44/12</f>
        <v>3.0926899610792695E-6</v>
      </c>
      <c r="BS80" s="22">
        <f t="shared" si="63"/>
        <v>6.1807524280748609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3.1</v>
      </c>
      <c r="BY80" s="12">
        <f>IF('Données projet'!$A$114&gt;35,BY79+BX80-CG79,IF(A80&lt;'Données projet'!$A$114,$BV$205^A80,IF(A80='Données projet'!$A$114,'Données projet'!$B$114,BY79+BX80-CG79)))</f>
        <v>274.7</v>
      </c>
      <c r="BZ80" s="13">
        <f>BY80*VLOOKUP('Données projet'!$B$12,Paramètres!$A$1:$I$88,3,0)*VLOOKUP('Données projet'!$B$12,Paramètres!$A$1:$I$88,5,0)</f>
        <v>179.98344</v>
      </c>
      <c r="CA80" s="13">
        <f t="shared" si="93"/>
        <v>45.318501851936055</v>
      </c>
      <c r="CB80" s="20">
        <f t="shared" si="64"/>
        <v>392.40088205878857</v>
      </c>
      <c r="CC80" s="59">
        <f t="shared" si="65"/>
        <v>685.73421539212188</v>
      </c>
      <c r="CD80" s="59">
        <f ca="1">AVERAGE(OFFSET($CC$3,0,0,'Données projet'!$E$12+1,1))-AVERAGE(OFFSET($H$3,0,0,'Données projet'!$E$12+1,1))</f>
        <v>180.90147430936133</v>
      </c>
      <c r="CE80" s="59">
        <f t="shared" si="94"/>
        <v>226.87949199830018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projet'!$B$12,Paramètres!$A$1:$I$88,7,0))</f>
        <v>0</v>
      </c>
      <c r="CI80" s="16">
        <f>IF(ISNA(VLOOKUP(A80,'Données projet'!$A$113:$I$133,6,0)),0%,VLOOKUP(A80,'Données projet'!$A$113:$I$133,6,0)*VLOOKUP('Données projet'!$B$12,Paramètres!$A$1:$I$88,7,0))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projet'!$B$12,Paramètres!$A$1:$I$88,3,0)*0.475*44/12</f>
        <v>0</v>
      </c>
      <c r="CL80" s="21">
        <f>EXP(-LN(2)/25)*CL79+(1-EXP(-LN(2)/25))/(LN(2)/25)*Calculateur!CG80*Calculateur!CI80*VLOOKUP('Données projet'!$B$12,Paramètres!$A$1:$I$88,3,0)*0.475*44/12</f>
        <v>1.8666124167443565</v>
      </c>
      <c r="CM80" s="21">
        <f>EXP(-LN(2)/2)*CM79+(1-EXP(-LN(2)/2))/(LN(2)/2)*CG80*CJ80*VLOOKUP('Données projet'!$B$12,Paramètres!$A$1:$I$88,3,0)*0.475*44/12</f>
        <v>7.4704950573678718E-7</v>
      </c>
      <c r="CN80" s="22">
        <f t="shared" si="66"/>
        <v>1.8666131637938623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5.6843418860808015E-14</v>
      </c>
      <c r="CU80" s="17">
        <f>CT80*VLOOKUP('Données projet'!$B$13,Paramètres!$A$1:$I$88,3,0)*VLOOKUP('Données projet'!$B$13,Paramètres!$A$1:$I$88,5,0)</f>
        <v>2.8908289095852525E-14</v>
      </c>
      <c r="CV80" s="13">
        <f t="shared" si="95"/>
        <v>5.0177780569126974E-13</v>
      </c>
      <c r="CW80" s="20">
        <f t="shared" si="67"/>
        <v>9.2427828175423786E-13</v>
      </c>
      <c r="CX80" s="59">
        <f t="shared" si="68"/>
        <v>293.33333333333422</v>
      </c>
      <c r="CY80" s="59">
        <f ca="1">AVERAGE(OFFSET($CX$3,0,0,'Données projet'!$E$13+1,1))-AVERAGE(OFFSET($H$3,0,0,'Données projet'!$E$13+1,1))</f>
        <v>133.08385802816008</v>
      </c>
      <c r="CZ80" s="59">
        <f t="shared" si="96"/>
        <v>316.59112511251385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projet'!$B$13,Paramètres!$A$1:$I$88,7,0))</f>
        <v>0</v>
      </c>
      <c r="DD80" s="16">
        <f>IF(ISNA(VLOOKUP(A80,'Données projet'!$A$139:$I$159,6,0)),0%,VLOOKUP(A80,'Données projet'!$A$139:$I$159,6,0)*VLOOKUP('Données projet'!$B$13,Paramètres!$A$1:$I$88,7,0))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projet'!$B$13,Paramètres!$A$1:$I$88,3,0)*0.475*44/12</f>
        <v>28.466444426323825</v>
      </c>
      <c r="DG80" s="21">
        <f>EXP(-LN(2)/25)*DG79+(1-EXP(-LN(2)/25))/(LN(2)/25)*Calculateur!DB80*Calculateur!DD80*VLOOKUP('Données projet'!$B$13,Paramètres!$A$1:$I$88,3,0)*0.475*44/12</f>
        <v>0</v>
      </c>
      <c r="DH80" s="21">
        <f>EXP(-LN(2)/2)*DH79+(1-EXP(-LN(2)/2))/(LN(2)/2)*DB80*DE80*VLOOKUP('Données projet'!$B$13,Paramètres!$A$1:$I$88,3,0)*0.475*44/12</f>
        <v>4.7663059203520314E-7</v>
      </c>
      <c r="DI80" s="22">
        <f t="shared" si="69"/>
        <v>28.466444902954418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projet'!$B$14,Paramètres!$A$1:$I$88,3,0)*VLOOKUP('Données projet'!$B$14,Paramètres!$A$1:$I$88,5,0)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projet'!$B$14,Paramètres!$A$1:$I$88,7,0))</f>
        <v>0</v>
      </c>
      <c r="DY80" s="16">
        <f>IF(ISNA(VLOOKUP(A80,'Données projet'!$A$165:$I$185,6,0)),0%,VLOOKUP(A80,'Données projet'!$A$165:$I$185,6,0)*VLOOKUP('Données projet'!$B$14,Paramètres!$A$1:$I$88,7,0))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projet'!$B$14,Paramètres!$A$1:$I$88,3,0)*0.475*44/12</f>
        <v>#N/A</v>
      </c>
      <c r="EB80" s="21" t="e">
        <f>EXP(-LN(2)/25)*EB79+(1-EXP(-LN(2)/25))/(LN(2)/25)*Calculateur!DW80*Calculateur!DY80*VLOOKUP('Données projet'!$B$14,Paramètres!$A$1:$I$88,3,0)*0.475*44/12</f>
        <v>#N/A</v>
      </c>
      <c r="EC80" s="21" t="e">
        <f>EXP(-LN(2)/2)*EC79+(1-EXP(-LN(2)/2))/(LN(2)/2)*DW80*DZ80*VLOOKUP('Données projet'!$B$14,Paramètres!$A$1:$I$88,3,0)*0.475*44/12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projet'!$B$15,Paramètres!$A$1:$I$88,3,0)*VLOOKUP('Données projet'!$B$15,Paramètres!$A$1:$I$88,5,0)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projet'!$B$15,Paramètres!$A$1:$I$88,7,0))</f>
        <v>0</v>
      </c>
      <c r="ET80" s="16">
        <f>IF(ISNA(VLOOKUP(A80,'Données projet'!$A$191:$I$211,6,0)),0%,VLOOKUP(A80,'Données projet'!$A$191:$I$211,6,0)*VLOOKUP('Données projet'!$B$15,Paramètres!$A$1:$I$88,7,0))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projet'!$B$15,Paramètres!$A$1:$I$88,3,0)*0.475*44/12</f>
        <v>#N/A</v>
      </c>
      <c r="EW80" s="21" t="e">
        <f>EXP(-LN(2)/25)*EW79+(1-EXP(-LN(2)/25))/(LN(2)/25)*Calculateur!ER80*Calculateur!ET80*VLOOKUP('Données projet'!$B$15,Paramètres!$A$1:$I$88,3,0)*0.475*44/12</f>
        <v>#N/A</v>
      </c>
      <c r="EX80" s="21" t="e">
        <f>EXP(-LN(2)/2)*EX79+(1-EXP(-LN(2)/2))/(LN(2)/2)*ER80*EU80*VLOOKUP('Données projet'!$B$15,Paramètres!$A$1:$I$88,3,0)*0.475*44/12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projet'!$B$16,Paramètres!$A$1:$I$88,3,0)*VLOOKUP('Données projet'!$B$16,Paramètres!$A$1:$I$88,5,0)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projet'!$B$16,Paramètres!$A$1:$I$88,7,0))</f>
        <v>0</v>
      </c>
      <c r="FO80" s="16">
        <f>IF(ISNA(VLOOKUP(A80,'Données projet'!$A$217:$I$237,6,0)),0%,VLOOKUP(A80,'Données projet'!$A$217:$I$237,6,0)*VLOOKUP('Données projet'!$B$16,Paramètres!$A$1:$I$88,7,0))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projet'!$B$16,Paramètres!$A$1:$I$88,3,0)*0.475*44/12</f>
        <v>#N/A</v>
      </c>
      <c r="FR80" s="21" t="e">
        <f>EXP(-LN(2)/25)*FR79+(1-EXP(-LN(2)/25))/(LN(2)/25)*Calculateur!FM80*Calculateur!FO80*VLOOKUP('Données projet'!$B$16,Paramètres!$A$1:$I$88,3,0)*0.475*44/12</f>
        <v>#N/A</v>
      </c>
      <c r="FS80" s="21" t="e">
        <f>EXP(-LN(2)/2)*FS79+(1-EXP(-LN(2)/2))/(LN(2)/2)*FM80*FP80*VLOOKUP('Données projet'!$B$16,Paramètres!$A$1:$I$88,3,0)*0.475*44/12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projet'!$B$17,Paramètres!$A$1:$I$88,3,0)*VLOOKUP('Données projet'!$B$17,Paramètres!$A$1:$I$88,5,0)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projet'!$B$17,Paramètres!$A$1:$I$88,7,0))</f>
        <v>0</v>
      </c>
      <c r="GJ80" s="16">
        <f>IF(ISNA(VLOOKUP(A80,'Données projet'!$A$243:$I$263,6,0)),0%,VLOOKUP(A80,'Données projet'!$A$243:$I$263,6,0)*VLOOKUP('Données projet'!$B$17,Paramètres!$A$1:$I$88,7,0))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projet'!$B$17,Paramètres!$A$1:$I$88,3,0)*0.475*44/12</f>
        <v>#N/A</v>
      </c>
      <c r="GM80" s="21" t="e">
        <f>EXP(-LN(2)/25)*GM79+(1-EXP(-LN(2)/25))/(LN(2)/25)*Calculateur!GH80*Calculateur!GJ80*VLOOKUP('Données projet'!$B$17,Paramètres!$A$1:$I$88,3,0)*0.475*44/12</f>
        <v>#N/A</v>
      </c>
      <c r="GN80" s="21" t="e">
        <f>EXP(-LN(2)/2)*GN79+(1-EXP(-LN(2)/2))/(LN(2)/2)*GH80*GK80*VLOOKUP('Données projet'!$B$17,Paramètres!$A$1:$I$88,3,0)*0.475*44/12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projet'!$B$18,Paramètres!$A$1:$I$88,3,0)*VLOOKUP('Données projet'!$B$18,Paramètres!$A$1:$I$88,5,0)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projet'!$B$18,Paramètres!$A$1:$I$88,7,0))</f>
        <v>0</v>
      </c>
      <c r="HE80" s="16">
        <f>IF(ISNA(VLOOKUP(A80,'Données projet'!$A$269:$I$289,6,0)),0%,VLOOKUP(A80,'Données projet'!$A$269:$I$289,6,0)*VLOOKUP('Données projet'!$B$18,Paramètres!$A$1:$I$88,7,0))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projet'!$B$18,Paramètres!$A$1:$I$88,3,0)*0.475*44/12</f>
        <v>#N/A</v>
      </c>
      <c r="HH80" s="21" t="e">
        <f>EXP(-LN(2)/25)*HH79+(1-EXP(-LN(2)/25))/(LN(2)/25)*Calculateur!HC80*Calculateur!HE80*VLOOKUP('Données projet'!$B$18,Paramètres!$A$1:$I$88,3,0)*0.475*44/12</f>
        <v>#N/A</v>
      </c>
      <c r="HI80" s="21" t="e">
        <f>EXP(-LN(2)/2)*HI79+(1-EXP(-LN(2)/2))/(LN(2)/2)*HC80*HF80*VLOOKUP('Données projet'!$B$18,Paramètres!$A$1:$I$88,3,0)*0.475*44/12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projet'!$B$9,Paramètres!$A$1:$I$88,3,0)*VLOOKUP('Données projet'!$B$9,Paramètres!$A$1:$I$88,5,0)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195.73441209602686</v>
      </c>
      <c r="T81" s="59">
        <f t="shared" si="88"/>
        <v>219.19129224309006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projet'!$B$9,Paramètres!$A$1:$I$88,7,0))</f>
        <v>0</v>
      </c>
      <c r="X81" s="16">
        <f>IF(ISNA(VLOOKUP(A81,'Données projet'!$A$35:$I$55,6,0)),0%,VLOOKUP(A81,'Données projet'!$A$35:$I$55,6,0)*VLOOKUP('Données projet'!$B$9,Paramètres!$A$1:$I$88,7,0))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projet'!$B$9,Paramètres!$A$1:$I$88,3,0)*0.475*44/12</f>
        <v>5.8951544709303274</v>
      </c>
      <c r="AA81" s="21">
        <f>EXP(-LN(2)/25)*AA80+(1-EXP(-LN(2)/25))/(LN(2)/25)*Calculateur!V81*Calculateur!X81*VLOOKUP('Données projet'!$B$9,Paramètres!$A$1:$I$88,3,0)*0.475*44/12</f>
        <v>3.7412225806327983</v>
      </c>
      <c r="AB81" s="21">
        <f>EXP(-LN(2)/2)*AB80+(1-EXP(-LN(2)/2))/(LN(2)/2)*V81*Y81*VLOOKUP('Données projet'!$B$9,Paramètres!$A$1:$I$88,3,0)*0.475*44/12</f>
        <v>2.3646568201511171E-9</v>
      </c>
      <c r="AC81" s="22">
        <f t="shared" si="57"/>
        <v>9.6363770539277827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435.59999999999957</v>
      </c>
      <c r="AJ81" s="13">
        <f>AI81*VLOOKUP('Données projet'!$B$10,Paramètres!$A$1:$I$88,3,0)*VLOOKUP('Données projet'!$B$10,Paramètres!$A$1:$I$88,5,0)</f>
        <v>260.48879999999974</v>
      </c>
      <c r="AK81" s="13">
        <f t="shared" si="89"/>
        <v>62.826558970958764</v>
      </c>
      <c r="AL81" s="20">
        <f t="shared" si="58"/>
        <v>563.107583541086</v>
      </c>
      <c r="AM81" s="59">
        <f t="shared" si="59"/>
        <v>856.44091687441937</v>
      </c>
      <c r="AN81" s="59">
        <f ca="1">AVERAGE(OFFSET($AM$3,0,0,'Données projet'!$E$10+1,1))-AVERAGE(OFFSET($H$3,0,0,'Données projet'!$E$10+1,1))</f>
        <v>246.59447135626942</v>
      </c>
      <c r="AO81" s="59">
        <f t="shared" si="90"/>
        <v>262.00382544285367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projet'!$B$10,Paramètres!$A$1:$I$88,7,0))</f>
        <v>0</v>
      </c>
      <c r="AS81" s="16">
        <f>IF(ISNA(VLOOKUP(A81,'Données projet'!$A$61:$I$81,6,0)),0%,VLOOKUP(A81,'Données projet'!$A$61:$I$81,6,0)*VLOOKUP('Données projet'!$B$10,Paramètres!$A$1:$I$88,7,0))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projet'!$B$10,Paramètres!$A$1:$I$88,3,0)*0.475*44/12</f>
        <v>0</v>
      </c>
      <c r="AV81" s="21">
        <f>EXP(-LN(2)/25)*AV80+(1-EXP(-LN(2)/25))/(LN(2)/25)*Calculateur!AQ81*Calculateur!AS81*VLOOKUP('Données projet'!$B$10,Paramètres!$A$1:$I$88,3,0)*0.475*44/12</f>
        <v>3.3954758455583782</v>
      </c>
      <c r="AW81" s="21">
        <f>EXP(-LN(2)/2)*AW80+(1-EXP(-LN(2)/2))/(LN(2)/2)*AQ81*AT81*VLOOKUP('Données projet'!$B$10,Paramètres!$A$1:$I$88,3,0)*0.475*44/12</f>
        <v>1.4143800660263879E-6</v>
      </c>
      <c r="AX81" s="21">
        <f t="shared" si="60"/>
        <v>3.3954772599384442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10.4</v>
      </c>
      <c r="BD81" s="12">
        <f>IF('Données projet'!$A$88&gt;35,BD80+BC81-BL80,IF(A81&lt;'Données projet'!$A$88,$BA$205^A81,IF(A81='Données projet'!$A$88,'Données projet'!$B$88,BD80+BC81-BL80)))</f>
        <v>630.19999999999948</v>
      </c>
      <c r="BE81" s="13">
        <f>BD81*VLOOKUP('Données projet'!$B$11,Paramètres!$A$1:$I$88,3,0)*VLOOKUP('Données projet'!$B$11,Paramètres!$A$1:$I$88,5,0)</f>
        <v>352.28179999999969</v>
      </c>
      <c r="BF81" s="13">
        <f t="shared" si="91"/>
        <v>82.032179712608126</v>
      </c>
      <c r="BG81" s="20">
        <f t="shared" si="61"/>
        <v>756.4301813327919</v>
      </c>
      <c r="BH81" s="59">
        <f t="shared" si="62"/>
        <v>1049.7635146661253</v>
      </c>
      <c r="BI81" s="59">
        <f ca="1">AVERAGE(OFFSET($BH$3,0,0,'Données projet'!$E$11+1,1))-AVERAGE(OFFSET($H$3,0,0,'Données projet'!$E$11+1,1))</f>
        <v>355.96253323046608</v>
      </c>
      <c r="BJ81" s="59">
        <f t="shared" si="92"/>
        <v>366.8380442809696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projet'!$B$11,Paramètres!$A$1:$I$88,7,0))</f>
        <v>0</v>
      </c>
      <c r="BN81" s="16">
        <f>IF(ISNA(VLOOKUP(A81,'Données projet'!$A$87:$I$107,6,0)),0%,VLOOKUP(A81,'Données projet'!$A$87:$I$107,6,0)*VLOOKUP('Données projet'!$B$11,Paramètres!$A$1:$I$88,7,0))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projet'!$B$11,Paramètres!$A$1:$I$88,3,0)*0.475*44/12</f>
        <v>0</v>
      </c>
      <c r="BQ81" s="21">
        <f>EXP(-LN(2)/25)*BQ80+(1-EXP(-LN(2)/25))/(LN(2)/25)*Calculateur!BL81*Calculateur!BN81*VLOOKUP('Données projet'!$B$11,Paramètres!$A$1:$I$88,3,0)*0.475*44/12</f>
        <v>6.0117364197773187</v>
      </c>
      <c r="BR81" s="21">
        <f>EXP(-LN(2)/2)*BR80+(1-EXP(-LN(2)/2))/(LN(2)/2)*BL81*BO81*VLOOKUP('Données projet'!$B$11,Paramètres!$A$1:$I$88,3,0)*0.475*44/12</f>
        <v>2.1868620435867112E-6</v>
      </c>
      <c r="BS81" s="22">
        <f t="shared" si="63"/>
        <v>6.0117386066393621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3.1</v>
      </c>
      <c r="BY81" s="12">
        <f>IF('Données projet'!$A$114&gt;35,BY80+BX81-CG80,IF(A81&lt;'Données projet'!$A$114,$BV$205^A81,IF(A81='Données projet'!$A$114,'Données projet'!$B$114,BY80+BX81-CG80)))</f>
        <v>277.8</v>
      </c>
      <c r="BZ81" s="13">
        <f>BY81*VLOOKUP('Données projet'!$B$12,Paramètres!$A$1:$I$88,3,0)*VLOOKUP('Données projet'!$B$12,Paramètres!$A$1:$I$88,5,0)</f>
        <v>182.01456000000002</v>
      </c>
      <c r="CA81" s="13">
        <f t="shared" si="93"/>
        <v>45.770097911661125</v>
      </c>
      <c r="CB81" s="20">
        <f t="shared" si="64"/>
        <v>396.72494586280982</v>
      </c>
      <c r="CC81" s="59">
        <f t="shared" si="65"/>
        <v>690.05827919614308</v>
      </c>
      <c r="CD81" s="59">
        <f ca="1">AVERAGE(OFFSET($CC$3,0,0,'Données projet'!$E$12+1,1))-AVERAGE(OFFSET($H$3,0,0,'Données projet'!$E$12+1,1))</f>
        <v>180.90147430936133</v>
      </c>
      <c r="CE81" s="59">
        <f t="shared" si="94"/>
        <v>226.87949199830018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projet'!$B$12,Paramètres!$A$1:$I$88,7,0))</f>
        <v>0</v>
      </c>
      <c r="CI81" s="16">
        <f>IF(ISNA(VLOOKUP(A81,'Données projet'!$A$113:$I$133,6,0)),0%,VLOOKUP(A81,'Données projet'!$A$113:$I$133,6,0)*VLOOKUP('Données projet'!$B$12,Paramètres!$A$1:$I$88,7,0))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projet'!$B$12,Paramètres!$A$1:$I$88,3,0)*0.475*44/12</f>
        <v>0</v>
      </c>
      <c r="CL81" s="21">
        <f>EXP(-LN(2)/25)*CL80+(1-EXP(-LN(2)/25))/(LN(2)/25)*Calculateur!CG81*Calculateur!CI81*VLOOKUP('Données projet'!$B$12,Paramètres!$A$1:$I$88,3,0)*0.475*44/12</f>
        <v>1.8155698020476012</v>
      </c>
      <c r="CM81" s="21">
        <f>EXP(-LN(2)/2)*CM80+(1-EXP(-LN(2)/2))/(LN(2)/2)*CG81*CJ81*VLOOKUP('Données projet'!$B$12,Paramètres!$A$1:$I$88,3,0)*0.475*44/12</f>
        <v>5.2824377138854083E-7</v>
      </c>
      <c r="CN81" s="22">
        <f t="shared" si="66"/>
        <v>1.8155703302913726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5.6843418860808015E-14</v>
      </c>
      <c r="CU81" s="17">
        <f>CT81*VLOOKUP('Données projet'!$B$13,Paramètres!$A$1:$I$88,3,0)*VLOOKUP('Données projet'!$B$13,Paramètres!$A$1:$I$88,5,0)</f>
        <v>2.8908289095852525E-14</v>
      </c>
      <c r="CV81" s="13">
        <f t="shared" si="95"/>
        <v>5.0177780569126974E-13</v>
      </c>
      <c r="CW81" s="20">
        <f t="shared" si="67"/>
        <v>9.2427828175423786E-13</v>
      </c>
      <c r="CX81" s="59">
        <f t="shared" si="68"/>
        <v>293.33333333333422</v>
      </c>
      <c r="CY81" s="59">
        <f ca="1">AVERAGE(OFFSET($CX$3,0,0,'Données projet'!$E$13+1,1))-AVERAGE(OFFSET($H$3,0,0,'Données projet'!$E$13+1,1))</f>
        <v>133.08385802816008</v>
      </c>
      <c r="CZ81" s="59">
        <f t="shared" si="96"/>
        <v>316.59112511251385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projet'!$B$13,Paramètres!$A$1:$I$88,7,0))</f>
        <v>0</v>
      </c>
      <c r="DD81" s="16">
        <f>IF(ISNA(VLOOKUP(A81,'Données projet'!$A$139:$I$159,6,0)),0%,VLOOKUP(A81,'Données projet'!$A$139:$I$159,6,0)*VLOOKUP('Données projet'!$B$13,Paramètres!$A$1:$I$88,7,0))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projet'!$B$13,Paramètres!$A$1:$I$88,3,0)*0.475*44/12</f>
        <v>27.908234813940279</v>
      </c>
      <c r="DG81" s="21">
        <f>EXP(-LN(2)/25)*DG80+(1-EXP(-LN(2)/25))/(LN(2)/25)*Calculateur!DB81*Calculateur!DD81*VLOOKUP('Données projet'!$B$13,Paramètres!$A$1:$I$88,3,0)*0.475*44/12</f>
        <v>0</v>
      </c>
      <c r="DH81" s="21">
        <f>EXP(-LN(2)/2)*DH80+(1-EXP(-LN(2)/2))/(LN(2)/2)*DB81*DE81*VLOOKUP('Données projet'!$B$13,Paramètres!$A$1:$I$88,3,0)*0.475*44/12</f>
        <v>3.37028723749051E-7</v>
      </c>
      <c r="DI81" s="22">
        <f t="shared" si="69"/>
        <v>27.908235150969002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projet'!$B$14,Paramètres!$A$1:$I$88,3,0)*VLOOKUP('Données projet'!$B$14,Paramètres!$A$1:$I$88,5,0)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projet'!$B$14,Paramètres!$A$1:$I$88,7,0))</f>
        <v>0</v>
      </c>
      <c r="DY81" s="16">
        <f>IF(ISNA(VLOOKUP(A81,'Données projet'!$A$165:$I$185,6,0)),0%,VLOOKUP(A81,'Données projet'!$A$165:$I$185,6,0)*VLOOKUP('Données projet'!$B$14,Paramètres!$A$1:$I$88,7,0))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projet'!$B$14,Paramètres!$A$1:$I$88,3,0)*0.475*44/12</f>
        <v>#N/A</v>
      </c>
      <c r="EB81" s="21" t="e">
        <f>EXP(-LN(2)/25)*EB80+(1-EXP(-LN(2)/25))/(LN(2)/25)*Calculateur!DW81*Calculateur!DY81*VLOOKUP('Données projet'!$B$14,Paramètres!$A$1:$I$88,3,0)*0.475*44/12</f>
        <v>#N/A</v>
      </c>
      <c r="EC81" s="21" t="e">
        <f>EXP(-LN(2)/2)*EC80+(1-EXP(-LN(2)/2))/(LN(2)/2)*DW81*DZ81*VLOOKUP('Données projet'!$B$14,Paramètres!$A$1:$I$88,3,0)*0.475*44/12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projet'!$B$15,Paramètres!$A$1:$I$88,3,0)*VLOOKUP('Données projet'!$B$15,Paramètres!$A$1:$I$88,5,0)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projet'!$B$15,Paramètres!$A$1:$I$88,7,0))</f>
        <v>0</v>
      </c>
      <c r="ET81" s="16">
        <f>IF(ISNA(VLOOKUP(A81,'Données projet'!$A$191:$I$211,6,0)),0%,VLOOKUP(A81,'Données projet'!$A$191:$I$211,6,0)*VLOOKUP('Données projet'!$B$15,Paramètres!$A$1:$I$88,7,0))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projet'!$B$15,Paramètres!$A$1:$I$88,3,0)*0.475*44/12</f>
        <v>#N/A</v>
      </c>
      <c r="EW81" s="21" t="e">
        <f>EXP(-LN(2)/25)*EW80+(1-EXP(-LN(2)/25))/(LN(2)/25)*Calculateur!ER81*Calculateur!ET81*VLOOKUP('Données projet'!$B$15,Paramètres!$A$1:$I$88,3,0)*0.475*44/12</f>
        <v>#N/A</v>
      </c>
      <c r="EX81" s="21" t="e">
        <f>EXP(-LN(2)/2)*EX80+(1-EXP(-LN(2)/2))/(LN(2)/2)*ER81*EU81*VLOOKUP('Données projet'!$B$15,Paramètres!$A$1:$I$88,3,0)*0.475*44/12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projet'!$B$16,Paramètres!$A$1:$I$88,3,0)*VLOOKUP('Données projet'!$B$16,Paramètres!$A$1:$I$88,5,0)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projet'!$B$16,Paramètres!$A$1:$I$88,7,0))</f>
        <v>0</v>
      </c>
      <c r="FO81" s="16">
        <f>IF(ISNA(VLOOKUP(A81,'Données projet'!$A$217:$I$237,6,0)),0%,VLOOKUP(A81,'Données projet'!$A$217:$I$237,6,0)*VLOOKUP('Données projet'!$B$16,Paramètres!$A$1:$I$88,7,0))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projet'!$B$16,Paramètres!$A$1:$I$88,3,0)*0.475*44/12</f>
        <v>#N/A</v>
      </c>
      <c r="FR81" s="21" t="e">
        <f>EXP(-LN(2)/25)*FR80+(1-EXP(-LN(2)/25))/(LN(2)/25)*Calculateur!FM81*Calculateur!FO81*VLOOKUP('Données projet'!$B$16,Paramètres!$A$1:$I$88,3,0)*0.475*44/12</f>
        <v>#N/A</v>
      </c>
      <c r="FS81" s="21" t="e">
        <f>EXP(-LN(2)/2)*FS80+(1-EXP(-LN(2)/2))/(LN(2)/2)*FM81*FP81*VLOOKUP('Données projet'!$B$16,Paramètres!$A$1:$I$88,3,0)*0.475*44/12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projet'!$B$17,Paramètres!$A$1:$I$88,3,0)*VLOOKUP('Données projet'!$B$17,Paramètres!$A$1:$I$88,5,0)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projet'!$B$17,Paramètres!$A$1:$I$88,7,0))</f>
        <v>0</v>
      </c>
      <c r="GJ81" s="16">
        <f>IF(ISNA(VLOOKUP(A81,'Données projet'!$A$243:$I$263,6,0)),0%,VLOOKUP(A81,'Données projet'!$A$243:$I$263,6,0)*VLOOKUP('Données projet'!$B$17,Paramètres!$A$1:$I$88,7,0))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projet'!$B$17,Paramètres!$A$1:$I$88,3,0)*0.475*44/12</f>
        <v>#N/A</v>
      </c>
      <c r="GM81" s="21" t="e">
        <f>EXP(-LN(2)/25)*GM80+(1-EXP(-LN(2)/25))/(LN(2)/25)*Calculateur!GH81*Calculateur!GJ81*VLOOKUP('Données projet'!$B$17,Paramètres!$A$1:$I$88,3,0)*0.475*44/12</f>
        <v>#N/A</v>
      </c>
      <c r="GN81" s="21" t="e">
        <f>EXP(-LN(2)/2)*GN80+(1-EXP(-LN(2)/2))/(LN(2)/2)*GH81*GK81*VLOOKUP('Données projet'!$B$17,Paramètres!$A$1:$I$88,3,0)*0.475*44/12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projet'!$B$18,Paramètres!$A$1:$I$88,3,0)*VLOOKUP('Données projet'!$B$18,Paramètres!$A$1:$I$88,5,0)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projet'!$B$18,Paramètres!$A$1:$I$88,7,0))</f>
        <v>0</v>
      </c>
      <c r="HE81" s="16">
        <f>IF(ISNA(VLOOKUP(A81,'Données projet'!$A$269:$I$289,6,0)),0%,VLOOKUP(A81,'Données projet'!$A$269:$I$289,6,0)*VLOOKUP('Données projet'!$B$18,Paramètres!$A$1:$I$88,7,0))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projet'!$B$18,Paramètres!$A$1:$I$88,3,0)*0.475*44/12</f>
        <v>#N/A</v>
      </c>
      <c r="HH81" s="21" t="e">
        <f>EXP(-LN(2)/25)*HH80+(1-EXP(-LN(2)/25))/(LN(2)/25)*Calculateur!HC81*Calculateur!HE81*VLOOKUP('Données projet'!$B$18,Paramètres!$A$1:$I$88,3,0)*0.475*44/12</f>
        <v>#N/A</v>
      </c>
      <c r="HI81" s="21" t="e">
        <f>EXP(-LN(2)/2)*HI80+(1-EXP(-LN(2)/2))/(LN(2)/2)*HC81*HF81*VLOOKUP('Données projet'!$B$18,Paramètres!$A$1:$I$88,3,0)*0.475*44/12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projet'!$B$9,Paramètres!$A$1:$I$88,3,0)*VLOOKUP('Données projet'!$B$9,Paramètres!$A$1:$I$88,5,0)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195.73441209602686</v>
      </c>
      <c r="T82" s="59">
        <f t="shared" si="88"/>
        <v>219.19129224309006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projet'!$B$9,Paramètres!$A$1:$I$88,7,0))</f>
        <v>0</v>
      </c>
      <c r="X82" s="16">
        <f>IF(ISNA(VLOOKUP(A82,'Données projet'!$A$35:$I$55,6,0)),0%,VLOOKUP(A82,'Données projet'!$A$35:$I$55,6,0)*VLOOKUP('Données projet'!$B$9,Paramètres!$A$1:$I$88,7,0))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projet'!$B$9,Paramètres!$A$1:$I$88,3,0)*0.475*44/12</f>
        <v>5.7795540874445663</v>
      </c>
      <c r="AA82" s="21">
        <f>EXP(-LN(2)/25)*AA81+(1-EXP(-LN(2)/25))/(LN(2)/25)*Calculateur!V82*Calculateur!X82*VLOOKUP('Données projet'!$B$9,Paramètres!$A$1:$I$88,3,0)*0.475*44/12</f>
        <v>3.6389186524230497</v>
      </c>
      <c r="AB82" s="21">
        <f>EXP(-LN(2)/2)*AB81+(1-EXP(-LN(2)/2))/(LN(2)/2)*V82*Y82*VLOOKUP('Données projet'!$B$9,Paramètres!$A$1:$I$88,3,0)*0.475*44/12</f>
        <v>1.6720648727078732E-9</v>
      </c>
      <c r="AC82" s="22">
        <f t="shared" si="57"/>
        <v>9.4184727415396807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442.79999999999956</v>
      </c>
      <c r="AJ82" s="13">
        <f>AI82*VLOOKUP('Données projet'!$B$10,Paramètres!$A$1:$I$88,3,0)*VLOOKUP('Données projet'!$B$10,Paramètres!$A$1:$I$88,5,0)</f>
        <v>264.79439999999977</v>
      </c>
      <c r="AK82" s="13">
        <f t="shared" si="89"/>
        <v>63.74326095490612</v>
      </c>
      <c r="AL82" s="20">
        <f t="shared" si="58"/>
        <v>572.2030928297944</v>
      </c>
      <c r="AM82" s="59">
        <f t="shared" si="59"/>
        <v>865.53642616312777</v>
      </c>
      <c r="AN82" s="59">
        <f ca="1">AVERAGE(OFFSET($AM$3,0,0,'Données projet'!$E$10+1,1))-AVERAGE(OFFSET($H$3,0,0,'Données projet'!$E$10+1,1))</f>
        <v>246.59447135626942</v>
      </c>
      <c r="AO82" s="59">
        <f t="shared" si="90"/>
        <v>262.00382544285367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projet'!$B$10,Paramètres!$A$1:$I$88,7,0))</f>
        <v>0</v>
      </c>
      <c r="AS82" s="16">
        <f>IF(ISNA(VLOOKUP(A82,'Données projet'!$A$61:$I$81,6,0)),0%,VLOOKUP(A82,'Données projet'!$A$61:$I$81,6,0)*VLOOKUP('Données projet'!$B$10,Paramètres!$A$1:$I$88,7,0))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projet'!$B$10,Paramètres!$A$1:$I$88,3,0)*0.475*44/12</f>
        <v>0</v>
      </c>
      <c r="AV82" s="21">
        <f>EXP(-LN(2)/25)*AV81+(1-EXP(-LN(2)/25))/(LN(2)/25)*Calculateur!AQ82*Calculateur!AS82*VLOOKUP('Données projet'!$B$10,Paramètres!$A$1:$I$88,3,0)*0.475*44/12</f>
        <v>3.3026263800012701</v>
      </c>
      <c r="AW82" s="21">
        <f>EXP(-LN(2)/2)*AW81+(1-EXP(-LN(2)/2))/(LN(2)/2)*AQ82*AT82*VLOOKUP('Données projet'!$B$10,Paramètres!$A$1:$I$88,3,0)*0.475*44/12</f>
        <v>1.0001177358623357E-6</v>
      </c>
      <c r="AX82" s="21">
        <f t="shared" si="60"/>
        <v>3.3026273801190058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10.4</v>
      </c>
      <c r="BD82" s="12">
        <f>IF('Données projet'!$A$88&gt;35,BD81+BC82-BL81,IF(A82&lt;'Données projet'!$A$88,$BA$205^A82,IF(A82='Données projet'!$A$88,'Données projet'!$B$88,BD81+BC82-BL81)))</f>
        <v>640.59999999999945</v>
      </c>
      <c r="BE82" s="13">
        <f>BD82*VLOOKUP('Données projet'!$B$11,Paramètres!$A$1:$I$88,3,0)*VLOOKUP('Données projet'!$B$11,Paramètres!$A$1:$I$88,5,0)</f>
        <v>358.0953999999997</v>
      </c>
      <c r="BF82" s="13">
        <f t="shared" si="91"/>
        <v>83.227213321573814</v>
      </c>
      <c r="BG82" s="20">
        <f t="shared" si="61"/>
        <v>768.63688486840704</v>
      </c>
      <c r="BH82" s="59">
        <f t="shared" si="62"/>
        <v>1061.9702182017404</v>
      </c>
      <c r="BI82" s="59">
        <f ca="1">AVERAGE(OFFSET($BH$3,0,0,'Données projet'!$E$11+1,1))-AVERAGE(OFFSET($H$3,0,0,'Données projet'!$E$11+1,1))</f>
        <v>355.96253323046608</v>
      </c>
      <c r="BJ82" s="59">
        <f t="shared" si="92"/>
        <v>366.8380442809696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projet'!$B$11,Paramètres!$A$1:$I$88,7,0))</f>
        <v>0</v>
      </c>
      <c r="BN82" s="16">
        <f>IF(ISNA(VLOOKUP(A82,'Données projet'!$A$87:$I$107,6,0)),0%,VLOOKUP(A82,'Données projet'!$A$87:$I$107,6,0)*VLOOKUP('Données projet'!$B$11,Paramètres!$A$1:$I$88,7,0))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projet'!$B$11,Paramètres!$A$1:$I$88,3,0)*0.475*44/12</f>
        <v>0</v>
      </c>
      <c r="BQ82" s="21">
        <f>EXP(-LN(2)/25)*BQ81+(1-EXP(-LN(2)/25))/(LN(2)/25)*Calculateur!BL82*Calculateur!BN82*VLOOKUP('Données projet'!$B$11,Paramètres!$A$1:$I$88,3,0)*0.475*44/12</f>
        <v>5.8473451712350295</v>
      </c>
      <c r="BR82" s="21">
        <f>EXP(-LN(2)/2)*BR81+(1-EXP(-LN(2)/2))/(LN(2)/2)*BL82*BO82*VLOOKUP('Données projet'!$B$11,Paramètres!$A$1:$I$88,3,0)*0.475*44/12</f>
        <v>1.5463449805396348E-6</v>
      </c>
      <c r="BS82" s="22">
        <f t="shared" si="63"/>
        <v>5.8473467175800105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3.1</v>
      </c>
      <c r="BY82" s="12">
        <f>IF('Données projet'!$A$114&gt;35,BY81+BX82-CG81,IF(A82&lt;'Données projet'!$A$114,$BV$205^A82,IF(A82='Données projet'!$A$114,'Données projet'!$B$114,BY81+BX82-CG81)))</f>
        <v>280.90000000000003</v>
      </c>
      <c r="BZ82" s="13">
        <f>BY82*VLOOKUP('Données projet'!$B$12,Paramètres!$A$1:$I$88,3,0)*VLOOKUP('Données projet'!$B$12,Paramètres!$A$1:$I$88,5,0)</f>
        <v>184.04568000000003</v>
      </c>
      <c r="CA82" s="13">
        <f t="shared" si="93"/>
        <v>46.221107752126649</v>
      </c>
      <c r="CB82" s="20">
        <f t="shared" si="64"/>
        <v>401.04798866828725</v>
      </c>
      <c r="CC82" s="59">
        <f t="shared" si="65"/>
        <v>694.38132200162056</v>
      </c>
      <c r="CD82" s="59">
        <f ca="1">AVERAGE(OFFSET($CC$3,0,0,'Données projet'!$E$12+1,1))-AVERAGE(OFFSET($H$3,0,0,'Données projet'!$E$12+1,1))</f>
        <v>180.90147430936133</v>
      </c>
      <c r="CE82" s="59">
        <f t="shared" si="94"/>
        <v>226.87949199830018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projet'!$B$12,Paramètres!$A$1:$I$88,7,0))</f>
        <v>0</v>
      </c>
      <c r="CI82" s="16">
        <f>IF(ISNA(VLOOKUP(A82,'Données projet'!$A$113:$I$133,6,0)),0%,VLOOKUP(A82,'Données projet'!$A$113:$I$133,6,0)*VLOOKUP('Données projet'!$B$12,Paramètres!$A$1:$I$88,7,0))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projet'!$B$12,Paramètres!$A$1:$I$88,3,0)*0.475*44/12</f>
        <v>0</v>
      </c>
      <c r="CL82" s="21">
        <f>EXP(-LN(2)/25)*CL81+(1-EXP(-LN(2)/25))/(LN(2)/25)*Calculateur!CG82*Calculateur!CI82*VLOOKUP('Données projet'!$B$12,Paramètres!$A$1:$I$88,3,0)*0.475*44/12</f>
        <v>1.7659229503339433</v>
      </c>
      <c r="CM82" s="21">
        <f>EXP(-LN(2)/2)*CM81+(1-EXP(-LN(2)/2))/(LN(2)/2)*CG82*CJ82*VLOOKUP('Données projet'!$B$12,Paramètres!$A$1:$I$88,3,0)*0.475*44/12</f>
        <v>3.7352475286839359E-7</v>
      </c>
      <c r="CN82" s="22">
        <f t="shared" si="66"/>
        <v>1.7659233238586962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5.6843418860808015E-14</v>
      </c>
      <c r="CU82" s="17">
        <f>CT82*VLOOKUP('Données projet'!$B$13,Paramètres!$A$1:$I$88,3,0)*VLOOKUP('Données projet'!$B$13,Paramètres!$A$1:$I$88,5,0)</f>
        <v>2.8908289095852525E-14</v>
      </c>
      <c r="CV82" s="13">
        <f t="shared" si="95"/>
        <v>5.0177780569126974E-13</v>
      </c>
      <c r="CW82" s="20">
        <f t="shared" si="67"/>
        <v>9.2427828175423786E-13</v>
      </c>
      <c r="CX82" s="59">
        <f t="shared" si="68"/>
        <v>293.33333333333422</v>
      </c>
      <c r="CY82" s="59">
        <f ca="1">AVERAGE(OFFSET($CX$3,0,0,'Données projet'!$E$13+1,1))-AVERAGE(OFFSET($H$3,0,0,'Données projet'!$E$13+1,1))</f>
        <v>133.08385802816008</v>
      </c>
      <c r="CZ82" s="59">
        <f t="shared" si="96"/>
        <v>316.59112511251385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projet'!$B$13,Paramètres!$A$1:$I$88,7,0))</f>
        <v>0</v>
      </c>
      <c r="DD82" s="16">
        <f>IF(ISNA(VLOOKUP(A82,'Données projet'!$A$139:$I$159,6,0)),0%,VLOOKUP(A82,'Données projet'!$A$139:$I$159,6,0)*VLOOKUP('Données projet'!$B$13,Paramètres!$A$1:$I$88,7,0))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projet'!$B$13,Paramètres!$A$1:$I$88,3,0)*0.475*44/12</f>
        <v>27.36097135158133</v>
      </c>
      <c r="DG82" s="21">
        <f>EXP(-LN(2)/25)*DG81+(1-EXP(-LN(2)/25))/(LN(2)/25)*Calculateur!DB82*Calculateur!DD82*VLOOKUP('Données projet'!$B$13,Paramètres!$A$1:$I$88,3,0)*0.475*44/12</f>
        <v>0</v>
      </c>
      <c r="DH82" s="21">
        <f>EXP(-LN(2)/2)*DH81+(1-EXP(-LN(2)/2))/(LN(2)/2)*DB82*DE82*VLOOKUP('Données projet'!$B$13,Paramètres!$A$1:$I$88,3,0)*0.475*44/12</f>
        <v>2.383152960176016E-7</v>
      </c>
      <c r="DI82" s="22">
        <f t="shared" si="69"/>
        <v>27.360971589896625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projet'!$B$14,Paramètres!$A$1:$I$88,3,0)*VLOOKUP('Données projet'!$B$14,Paramètres!$A$1:$I$88,5,0)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projet'!$B$14,Paramètres!$A$1:$I$88,7,0))</f>
        <v>0</v>
      </c>
      <c r="DY82" s="16">
        <f>IF(ISNA(VLOOKUP(A82,'Données projet'!$A$165:$I$185,6,0)),0%,VLOOKUP(A82,'Données projet'!$A$165:$I$185,6,0)*VLOOKUP('Données projet'!$B$14,Paramètres!$A$1:$I$88,7,0))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projet'!$B$14,Paramètres!$A$1:$I$88,3,0)*0.475*44/12</f>
        <v>#N/A</v>
      </c>
      <c r="EB82" s="21" t="e">
        <f>EXP(-LN(2)/25)*EB81+(1-EXP(-LN(2)/25))/(LN(2)/25)*Calculateur!DW82*Calculateur!DY82*VLOOKUP('Données projet'!$B$14,Paramètres!$A$1:$I$88,3,0)*0.475*44/12</f>
        <v>#N/A</v>
      </c>
      <c r="EC82" s="21" t="e">
        <f>EXP(-LN(2)/2)*EC81+(1-EXP(-LN(2)/2))/(LN(2)/2)*DW82*DZ82*VLOOKUP('Données projet'!$B$14,Paramètres!$A$1:$I$88,3,0)*0.475*44/12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projet'!$B$15,Paramètres!$A$1:$I$88,3,0)*VLOOKUP('Données projet'!$B$15,Paramètres!$A$1:$I$88,5,0)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projet'!$B$15,Paramètres!$A$1:$I$88,7,0))</f>
        <v>0</v>
      </c>
      <c r="ET82" s="16">
        <f>IF(ISNA(VLOOKUP(A82,'Données projet'!$A$191:$I$211,6,0)),0%,VLOOKUP(A82,'Données projet'!$A$191:$I$211,6,0)*VLOOKUP('Données projet'!$B$15,Paramètres!$A$1:$I$88,7,0))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projet'!$B$15,Paramètres!$A$1:$I$88,3,0)*0.475*44/12</f>
        <v>#N/A</v>
      </c>
      <c r="EW82" s="21" t="e">
        <f>EXP(-LN(2)/25)*EW81+(1-EXP(-LN(2)/25))/(LN(2)/25)*Calculateur!ER82*Calculateur!ET82*VLOOKUP('Données projet'!$B$15,Paramètres!$A$1:$I$88,3,0)*0.475*44/12</f>
        <v>#N/A</v>
      </c>
      <c r="EX82" s="21" t="e">
        <f>EXP(-LN(2)/2)*EX81+(1-EXP(-LN(2)/2))/(LN(2)/2)*ER82*EU82*VLOOKUP('Données projet'!$B$15,Paramètres!$A$1:$I$88,3,0)*0.475*44/12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projet'!$B$16,Paramètres!$A$1:$I$88,3,0)*VLOOKUP('Données projet'!$B$16,Paramètres!$A$1:$I$88,5,0)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projet'!$B$16,Paramètres!$A$1:$I$88,7,0))</f>
        <v>0</v>
      </c>
      <c r="FO82" s="16">
        <f>IF(ISNA(VLOOKUP(A82,'Données projet'!$A$217:$I$237,6,0)),0%,VLOOKUP(A82,'Données projet'!$A$217:$I$237,6,0)*VLOOKUP('Données projet'!$B$16,Paramètres!$A$1:$I$88,7,0))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projet'!$B$16,Paramètres!$A$1:$I$88,3,0)*0.475*44/12</f>
        <v>#N/A</v>
      </c>
      <c r="FR82" s="21" t="e">
        <f>EXP(-LN(2)/25)*FR81+(1-EXP(-LN(2)/25))/(LN(2)/25)*Calculateur!FM82*Calculateur!FO82*VLOOKUP('Données projet'!$B$16,Paramètres!$A$1:$I$88,3,0)*0.475*44/12</f>
        <v>#N/A</v>
      </c>
      <c r="FS82" s="21" t="e">
        <f>EXP(-LN(2)/2)*FS81+(1-EXP(-LN(2)/2))/(LN(2)/2)*FM82*FP82*VLOOKUP('Données projet'!$B$16,Paramètres!$A$1:$I$88,3,0)*0.475*44/12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projet'!$B$17,Paramètres!$A$1:$I$88,3,0)*VLOOKUP('Données projet'!$B$17,Paramètres!$A$1:$I$88,5,0)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projet'!$B$17,Paramètres!$A$1:$I$88,7,0))</f>
        <v>0</v>
      </c>
      <c r="GJ82" s="16">
        <f>IF(ISNA(VLOOKUP(A82,'Données projet'!$A$243:$I$263,6,0)),0%,VLOOKUP(A82,'Données projet'!$A$243:$I$263,6,0)*VLOOKUP('Données projet'!$B$17,Paramètres!$A$1:$I$88,7,0))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projet'!$B$17,Paramètres!$A$1:$I$88,3,0)*0.475*44/12</f>
        <v>#N/A</v>
      </c>
      <c r="GM82" s="21" t="e">
        <f>EXP(-LN(2)/25)*GM81+(1-EXP(-LN(2)/25))/(LN(2)/25)*Calculateur!GH82*Calculateur!GJ82*VLOOKUP('Données projet'!$B$17,Paramètres!$A$1:$I$88,3,0)*0.475*44/12</f>
        <v>#N/A</v>
      </c>
      <c r="GN82" s="21" t="e">
        <f>EXP(-LN(2)/2)*GN81+(1-EXP(-LN(2)/2))/(LN(2)/2)*GH82*GK82*VLOOKUP('Données projet'!$B$17,Paramètres!$A$1:$I$88,3,0)*0.475*44/12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projet'!$B$18,Paramètres!$A$1:$I$88,3,0)*VLOOKUP('Données projet'!$B$18,Paramètres!$A$1:$I$88,5,0)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projet'!$B$18,Paramètres!$A$1:$I$88,7,0))</f>
        <v>0</v>
      </c>
      <c r="HE82" s="16">
        <f>IF(ISNA(VLOOKUP(A82,'Données projet'!$A$269:$I$289,6,0)),0%,VLOOKUP(A82,'Données projet'!$A$269:$I$289,6,0)*VLOOKUP('Données projet'!$B$18,Paramètres!$A$1:$I$88,7,0))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projet'!$B$18,Paramètres!$A$1:$I$88,3,0)*0.475*44/12</f>
        <v>#N/A</v>
      </c>
      <c r="HH82" s="21" t="e">
        <f>EXP(-LN(2)/25)*HH81+(1-EXP(-LN(2)/25))/(LN(2)/25)*Calculateur!HC82*Calculateur!HE82*VLOOKUP('Données projet'!$B$18,Paramètres!$A$1:$I$88,3,0)*0.475*44/12</f>
        <v>#N/A</v>
      </c>
      <c r="HI82" s="21" t="e">
        <f>EXP(-LN(2)/2)*HI81+(1-EXP(-LN(2)/2))/(LN(2)/2)*HC82*HF82*VLOOKUP('Données projet'!$B$18,Paramètres!$A$1:$I$88,3,0)*0.475*44/12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projet'!$B$9,Paramètres!$A$1:$I$88,3,0)*VLOOKUP('Données projet'!$B$9,Paramètres!$A$1:$I$88,5,0)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195.73441209602686</v>
      </c>
      <c r="T83" s="59">
        <f t="shared" si="88"/>
        <v>219.19129224309006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projet'!$B$9,Paramètres!$A$1:$I$88,7,0))</f>
        <v>0</v>
      </c>
      <c r="X83" s="16">
        <f>IF(ISNA(VLOOKUP(A83,'Données projet'!$A$35:$I$55,6,0)),0%,VLOOKUP(A83,'Données projet'!$A$35:$I$55,6,0)*VLOOKUP('Données projet'!$B$9,Paramètres!$A$1:$I$88,7,0))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projet'!$B$9,Paramètres!$A$1:$I$88,3,0)*0.475*44/12</f>
        <v>5.6662205569696891</v>
      </c>
      <c r="AA83" s="21">
        <f>EXP(-LN(2)/25)*AA82+(1-EXP(-LN(2)/25))/(LN(2)/25)*Calculateur!V83*Calculateur!X83*VLOOKUP('Données projet'!$B$9,Paramètres!$A$1:$I$88,3,0)*0.475*44/12</f>
        <v>3.5394122305101261</v>
      </c>
      <c r="AB83" s="21">
        <f>EXP(-LN(2)/2)*AB82+(1-EXP(-LN(2)/2))/(LN(2)/2)*V83*Y83*VLOOKUP('Données projet'!$B$9,Paramètres!$A$1:$I$88,3,0)*0.475*44/12</f>
        <v>1.1823284100755585E-9</v>
      </c>
      <c r="AC83" s="22">
        <f t="shared" si="57"/>
        <v>9.2056327886621432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450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449.99999999999955</v>
      </c>
      <c r="AJ83" s="13">
        <f>AI83*VLOOKUP('Données projet'!$B$10,Paramètres!$A$1:$I$88,3,0)*VLOOKUP('Données projet'!$B$10,Paramètres!$A$1:$I$88,5,0)</f>
        <v>269.09999999999974</v>
      </c>
      <c r="AK83" s="13">
        <f t="shared" si="89"/>
        <v>64.658229472790936</v>
      </c>
      <c r="AL83" s="20">
        <f t="shared" si="58"/>
        <v>581.29558299844382</v>
      </c>
      <c r="AM83" s="59">
        <f t="shared" si="59"/>
        <v>874.62891633177719</v>
      </c>
      <c r="AN83" s="59">
        <f ca="1">AVERAGE(OFFSET($AM$3,0,0,'Données projet'!$E$10+1,1))-AVERAGE(OFFSET($H$3,0,0,'Données projet'!$E$10+1,1))</f>
        <v>246.59447135626942</v>
      </c>
      <c r="AO83" s="59">
        <f t="shared" si="90"/>
        <v>262.00382544285367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450</v>
      </c>
      <c r="AR83" s="16">
        <f>IF(ISNA(VLOOKUP(A83,'Données projet'!$A$61:$I$81,5,0)),0%,VLOOKUP(A83,'Données projet'!$A$61:$I$81,5,0)*VLOOKUP('Données projet'!$B$10,Paramètres!$A$1:$I$88,7,0))</f>
        <v>0</v>
      </c>
      <c r="AS83" s="16">
        <f>IF(ISNA(VLOOKUP(A83,'Données projet'!$A$61:$I$81,6,0)),0%,VLOOKUP(A83,'Données projet'!$A$61:$I$81,6,0)*VLOOKUP('Données projet'!$B$10,Paramètres!$A$1:$I$88,7,0))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projet'!$B$10,Paramètres!$A$1:$I$88,3,0)*0.475*44/12</f>
        <v>0</v>
      </c>
      <c r="AV83" s="21">
        <f>EXP(-LN(2)/25)*AV82+(1-EXP(-LN(2)/25))/(LN(2)/25)*Calculateur!AQ83*Calculateur!AS83*VLOOKUP('Données projet'!$B$10,Paramètres!$A$1:$I$88,3,0)*0.475*44/12</f>
        <v>3.2123158879625624</v>
      </c>
      <c r="AW83" s="21">
        <f>EXP(-LN(2)/2)*AW82+(1-EXP(-LN(2)/2))/(LN(2)/2)*AQ83*AT83*VLOOKUP('Données projet'!$B$10,Paramètres!$A$1:$I$88,3,0)*0.475*44/12</f>
        <v>7.0719003301319395E-7</v>
      </c>
      <c r="AX83" s="21">
        <f t="shared" si="60"/>
        <v>3.2123165951525956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651</v>
      </c>
      <c r="BB83" s="12">
        <f>VLOOKUP(A83,'Données projet'!$A$87:$I$107,9,0)</f>
        <v>10.4</v>
      </c>
      <c r="BC83" s="12">
        <f t="array" ref="BC83">INDEX(BB:BB,MIN(IF(ISNUMBER(BB83:BB279),ROW(BB83:BB279),"")))</f>
        <v>10.4</v>
      </c>
      <c r="BD83" s="12">
        <f>IF('Données projet'!$A$88&gt;35,BD82+BC83-BL82,IF(A83&lt;'Données projet'!$A$88,$BA$205^A83,IF(A83='Données projet'!$A$88,'Données projet'!$B$88,BD82+BC83-BL82)))</f>
        <v>650.99999999999943</v>
      </c>
      <c r="BE83" s="13">
        <f>BD83*VLOOKUP('Données projet'!$B$11,Paramètres!$A$1:$I$88,3,0)*VLOOKUP('Données projet'!$B$11,Paramètres!$A$1:$I$88,5,0)</f>
        <v>363.90899999999971</v>
      </c>
      <c r="BF83" s="13">
        <f t="shared" si="91"/>
        <v>84.4199906692578</v>
      </c>
      <c r="BG83" s="20">
        <f t="shared" si="61"/>
        <v>780.83965874895682</v>
      </c>
      <c r="BH83" s="59">
        <f t="shared" si="62"/>
        <v>1074.1729920822902</v>
      </c>
      <c r="BI83" s="59">
        <f ca="1">AVERAGE(OFFSET($BH$3,0,0,'Données projet'!$E$11+1,1))-AVERAGE(OFFSET($H$3,0,0,'Données projet'!$E$11+1,1))</f>
        <v>355.96253323046608</v>
      </c>
      <c r="BJ83" s="59">
        <f t="shared" si="92"/>
        <v>366.8380442809696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651</v>
      </c>
      <c r="BM83" s="16">
        <f>IF(ISNA(VLOOKUP(A83,'Données projet'!$A$87:$I$107,5,0)),0%,VLOOKUP(A83,'Données projet'!$A$87:$I$107,5,0)*VLOOKUP('Données projet'!$B$11,Paramètres!$A$1:$I$88,7,0))</f>
        <v>0</v>
      </c>
      <c r="BN83" s="16">
        <f>IF(ISNA(VLOOKUP(A83,'Données projet'!$A$87:$I$107,6,0)),0%,VLOOKUP(A83,'Données projet'!$A$87:$I$107,6,0)*VLOOKUP('Données projet'!$B$11,Paramètres!$A$1:$I$88,7,0))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projet'!$B$11,Paramètres!$A$1:$I$88,3,0)*0.475*44/12</f>
        <v>0</v>
      </c>
      <c r="BQ83" s="21">
        <f>EXP(-LN(2)/25)*BQ82+(1-EXP(-LN(2)/25))/(LN(2)/25)*Calculateur!BL83*Calculateur!BN83*VLOOKUP('Données projet'!$B$11,Paramètres!$A$1:$I$88,3,0)*0.475*44/12</f>
        <v>5.6874492100290892</v>
      </c>
      <c r="BR83" s="21">
        <f>EXP(-LN(2)/2)*BR82+(1-EXP(-LN(2)/2))/(LN(2)/2)*BL83*BO83*VLOOKUP('Données projet'!$B$11,Paramètres!$A$1:$I$88,3,0)*0.475*44/12</f>
        <v>1.0934310217933556E-6</v>
      </c>
      <c r="BS83" s="22">
        <f t="shared" si="63"/>
        <v>5.6874503034601114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284</v>
      </c>
      <c r="BW83" s="12">
        <f>VLOOKUP(A83,'Données projet'!$A$113:$I$133,9,0)</f>
        <v>3.1</v>
      </c>
      <c r="BX83" s="12">
        <f t="array" ref="BX83">INDEX(BW:BW,MIN(IF(ISNUMBER(BW83:BW279),ROW(BW83:BW279),"")))</f>
        <v>3.1</v>
      </c>
      <c r="BY83" s="12">
        <f>IF('Données projet'!$A$114&gt;35,BY82+BX83-CG82,IF(A83&lt;'Données projet'!$A$114,$BV$205^A83,IF(A83='Données projet'!$A$114,'Données projet'!$B$114,BY82+BX83-CG82)))</f>
        <v>284.00000000000006</v>
      </c>
      <c r="BZ83" s="13">
        <f>BY83*VLOOKUP('Données projet'!$B$12,Paramètres!$A$1:$I$88,3,0)*VLOOKUP('Données projet'!$B$12,Paramètres!$A$1:$I$88,5,0)</f>
        <v>186.07680000000002</v>
      </c>
      <c r="CA83" s="13">
        <f t="shared" si="93"/>
        <v>46.671538591528673</v>
      </c>
      <c r="CB83" s="20">
        <f t="shared" si="64"/>
        <v>405.37002304691242</v>
      </c>
      <c r="CC83" s="59">
        <f t="shared" si="65"/>
        <v>698.70335638024574</v>
      </c>
      <c r="CD83" s="59">
        <f ca="1">AVERAGE(OFFSET($CC$3,0,0,'Données projet'!$E$12+1,1))-AVERAGE(OFFSET($H$3,0,0,'Données projet'!$E$12+1,1))</f>
        <v>180.90147430936133</v>
      </c>
      <c r="CE83" s="59">
        <f t="shared" si="94"/>
        <v>226.87949199830018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284</v>
      </c>
      <c r="CH83" s="16">
        <f>IF(ISNA(VLOOKUP(A83,'Données projet'!$A$113:$I$133,5,0)),0%,VLOOKUP(A83,'Données projet'!$A$113:$I$133,5,0)*VLOOKUP('Données projet'!$B$12,Paramètres!$A$1:$I$88,7,0))</f>
        <v>0</v>
      </c>
      <c r="CI83" s="16">
        <f>IF(ISNA(VLOOKUP(A83,'Données projet'!$A$113:$I$133,6,0)),0%,VLOOKUP(A83,'Données projet'!$A$113:$I$133,6,0)*VLOOKUP('Données projet'!$B$12,Paramètres!$A$1:$I$88,7,0))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projet'!$B$12,Paramètres!$A$1:$I$88,3,0)*0.475*44/12</f>
        <v>0</v>
      </c>
      <c r="CL83" s="21">
        <f>EXP(-LN(2)/25)*CL82+(1-EXP(-LN(2)/25))/(LN(2)/25)*Calculateur!CG83*Calculateur!CI83*VLOOKUP('Données projet'!$B$12,Paramètres!$A$1:$I$88,3,0)*0.475*44/12</f>
        <v>1.7176336943912098</v>
      </c>
      <c r="CM83" s="21">
        <f>EXP(-LN(2)/2)*CM82+(1-EXP(-LN(2)/2))/(LN(2)/2)*CG83*CJ83*VLOOKUP('Données projet'!$B$12,Paramètres!$A$1:$I$88,3,0)*0.475*44/12</f>
        <v>2.6412188569427042E-7</v>
      </c>
      <c r="CN83" s="22">
        <f t="shared" si="66"/>
        <v>1.7176339585130955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5.6843418860808015E-14</v>
      </c>
      <c r="CU83" s="17">
        <f>CT83*VLOOKUP('Données projet'!$B$13,Paramètres!$A$1:$I$88,3,0)*VLOOKUP('Données projet'!$B$13,Paramètres!$A$1:$I$88,5,0)</f>
        <v>2.8908289095852525E-14</v>
      </c>
      <c r="CV83" s="13">
        <f t="shared" si="95"/>
        <v>5.0177780569126974E-13</v>
      </c>
      <c r="CW83" s="20">
        <f t="shared" si="67"/>
        <v>9.2427828175423786E-13</v>
      </c>
      <c r="CX83" s="59">
        <f t="shared" si="68"/>
        <v>293.33333333333422</v>
      </c>
      <c r="CY83" s="59">
        <f ca="1">AVERAGE(OFFSET($CX$3,0,0,'Données projet'!$E$13+1,1))-AVERAGE(OFFSET($H$3,0,0,'Données projet'!$E$13+1,1))</f>
        <v>133.08385802816008</v>
      </c>
      <c r="CZ83" s="59">
        <f t="shared" si="96"/>
        <v>316.59112511251385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projet'!$B$13,Paramètres!$A$1:$I$88,7,0))</f>
        <v>0</v>
      </c>
      <c r="DD83" s="16">
        <f>IF(ISNA(VLOOKUP(A83,'Données projet'!$A$139:$I$159,6,0)),0%,VLOOKUP(A83,'Données projet'!$A$139:$I$159,6,0)*VLOOKUP('Données projet'!$B$13,Paramètres!$A$1:$I$88,7,0))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projet'!$B$13,Paramètres!$A$1:$I$88,3,0)*0.475*44/12</f>
        <v>26.824439391921487</v>
      </c>
      <c r="DG83" s="21">
        <f>EXP(-LN(2)/25)*DG82+(1-EXP(-LN(2)/25))/(LN(2)/25)*Calculateur!DB83*Calculateur!DD83*VLOOKUP('Données projet'!$B$13,Paramètres!$A$1:$I$88,3,0)*0.475*44/12</f>
        <v>0</v>
      </c>
      <c r="DH83" s="21">
        <f>EXP(-LN(2)/2)*DH82+(1-EXP(-LN(2)/2))/(LN(2)/2)*DB83*DE83*VLOOKUP('Données projet'!$B$13,Paramètres!$A$1:$I$88,3,0)*0.475*44/12</f>
        <v>1.6851436187452553E-7</v>
      </c>
      <c r="DI83" s="22">
        <f t="shared" si="69"/>
        <v>26.824439560435849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projet'!$B$14,Paramètres!$A$1:$I$88,3,0)*VLOOKUP('Données projet'!$B$14,Paramètres!$A$1:$I$88,5,0)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projet'!$B$14,Paramètres!$A$1:$I$88,7,0))</f>
        <v>0</v>
      </c>
      <c r="DY83" s="16">
        <f>IF(ISNA(VLOOKUP(A83,'Données projet'!$A$165:$I$185,6,0)),0%,VLOOKUP(A83,'Données projet'!$A$165:$I$185,6,0)*VLOOKUP('Données projet'!$B$14,Paramètres!$A$1:$I$88,7,0))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projet'!$B$14,Paramètres!$A$1:$I$88,3,0)*0.475*44/12</f>
        <v>#N/A</v>
      </c>
      <c r="EB83" s="21" t="e">
        <f>EXP(-LN(2)/25)*EB82+(1-EXP(-LN(2)/25))/(LN(2)/25)*Calculateur!DW83*Calculateur!DY83*VLOOKUP('Données projet'!$B$14,Paramètres!$A$1:$I$88,3,0)*0.475*44/12</f>
        <v>#N/A</v>
      </c>
      <c r="EC83" s="21" t="e">
        <f>EXP(-LN(2)/2)*EC82+(1-EXP(-LN(2)/2))/(LN(2)/2)*DW83*DZ83*VLOOKUP('Données projet'!$B$14,Paramètres!$A$1:$I$88,3,0)*0.475*44/12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projet'!$B$15,Paramètres!$A$1:$I$88,3,0)*VLOOKUP('Données projet'!$B$15,Paramètres!$A$1:$I$88,5,0)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projet'!$B$15,Paramètres!$A$1:$I$88,7,0))</f>
        <v>0</v>
      </c>
      <c r="ET83" s="16">
        <f>IF(ISNA(VLOOKUP(A83,'Données projet'!$A$191:$I$211,6,0)),0%,VLOOKUP(A83,'Données projet'!$A$191:$I$211,6,0)*VLOOKUP('Données projet'!$B$15,Paramètres!$A$1:$I$88,7,0))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projet'!$B$15,Paramètres!$A$1:$I$88,3,0)*0.475*44/12</f>
        <v>#N/A</v>
      </c>
      <c r="EW83" s="21" t="e">
        <f>EXP(-LN(2)/25)*EW82+(1-EXP(-LN(2)/25))/(LN(2)/25)*Calculateur!ER83*Calculateur!ET83*VLOOKUP('Données projet'!$B$15,Paramètres!$A$1:$I$88,3,0)*0.475*44/12</f>
        <v>#N/A</v>
      </c>
      <c r="EX83" s="21" t="e">
        <f>EXP(-LN(2)/2)*EX82+(1-EXP(-LN(2)/2))/(LN(2)/2)*ER83*EU83*VLOOKUP('Données projet'!$B$15,Paramètres!$A$1:$I$88,3,0)*0.475*44/12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projet'!$B$16,Paramètres!$A$1:$I$88,3,0)*VLOOKUP('Données projet'!$B$16,Paramètres!$A$1:$I$88,5,0)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projet'!$B$16,Paramètres!$A$1:$I$88,7,0))</f>
        <v>0</v>
      </c>
      <c r="FO83" s="16">
        <f>IF(ISNA(VLOOKUP(A83,'Données projet'!$A$217:$I$237,6,0)),0%,VLOOKUP(A83,'Données projet'!$A$217:$I$237,6,0)*VLOOKUP('Données projet'!$B$16,Paramètres!$A$1:$I$88,7,0))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projet'!$B$16,Paramètres!$A$1:$I$88,3,0)*0.475*44/12</f>
        <v>#N/A</v>
      </c>
      <c r="FR83" s="21" t="e">
        <f>EXP(-LN(2)/25)*FR82+(1-EXP(-LN(2)/25))/(LN(2)/25)*Calculateur!FM83*Calculateur!FO83*VLOOKUP('Données projet'!$B$16,Paramètres!$A$1:$I$88,3,0)*0.475*44/12</f>
        <v>#N/A</v>
      </c>
      <c r="FS83" s="21" t="e">
        <f>EXP(-LN(2)/2)*FS82+(1-EXP(-LN(2)/2))/(LN(2)/2)*FM83*FP83*VLOOKUP('Données projet'!$B$16,Paramètres!$A$1:$I$88,3,0)*0.475*44/12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projet'!$B$17,Paramètres!$A$1:$I$88,3,0)*VLOOKUP('Données projet'!$B$17,Paramètres!$A$1:$I$88,5,0)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projet'!$B$17,Paramètres!$A$1:$I$88,7,0))</f>
        <v>0</v>
      </c>
      <c r="GJ83" s="16">
        <f>IF(ISNA(VLOOKUP(A83,'Données projet'!$A$243:$I$263,6,0)),0%,VLOOKUP(A83,'Données projet'!$A$243:$I$263,6,0)*VLOOKUP('Données projet'!$B$17,Paramètres!$A$1:$I$88,7,0))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projet'!$B$17,Paramètres!$A$1:$I$88,3,0)*0.475*44/12</f>
        <v>#N/A</v>
      </c>
      <c r="GM83" s="21" t="e">
        <f>EXP(-LN(2)/25)*GM82+(1-EXP(-LN(2)/25))/(LN(2)/25)*Calculateur!GH83*Calculateur!GJ83*VLOOKUP('Données projet'!$B$17,Paramètres!$A$1:$I$88,3,0)*0.475*44/12</f>
        <v>#N/A</v>
      </c>
      <c r="GN83" s="21" t="e">
        <f>EXP(-LN(2)/2)*GN82+(1-EXP(-LN(2)/2))/(LN(2)/2)*GH83*GK83*VLOOKUP('Données projet'!$B$17,Paramètres!$A$1:$I$88,3,0)*0.475*44/12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projet'!$B$18,Paramètres!$A$1:$I$88,3,0)*VLOOKUP('Données projet'!$B$18,Paramètres!$A$1:$I$88,5,0)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projet'!$B$18,Paramètres!$A$1:$I$88,7,0))</f>
        <v>0</v>
      </c>
      <c r="HE83" s="16">
        <f>IF(ISNA(VLOOKUP(A83,'Données projet'!$A$269:$I$289,6,0)),0%,VLOOKUP(A83,'Données projet'!$A$269:$I$289,6,0)*VLOOKUP('Données projet'!$B$18,Paramètres!$A$1:$I$88,7,0))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projet'!$B$18,Paramètres!$A$1:$I$88,3,0)*0.475*44/12</f>
        <v>#N/A</v>
      </c>
      <c r="HH83" s="21" t="e">
        <f>EXP(-LN(2)/25)*HH82+(1-EXP(-LN(2)/25))/(LN(2)/25)*Calculateur!HC83*Calculateur!HE83*VLOOKUP('Données projet'!$B$18,Paramètres!$A$1:$I$88,3,0)*0.475*44/12</f>
        <v>#N/A</v>
      </c>
      <c r="HI83" s="21" t="e">
        <f>EXP(-LN(2)/2)*HI82+(1-EXP(-LN(2)/2))/(LN(2)/2)*HC83*HF83*VLOOKUP('Données projet'!$B$18,Paramètres!$A$1:$I$88,3,0)*0.475*44/12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projet'!$B$9,Paramètres!$A$1:$I$88,3,0)*VLOOKUP('Données projet'!$B$9,Paramètres!$A$1:$I$88,5,0)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195.73441209602686</v>
      </c>
      <c r="T84" s="59">
        <f t="shared" si="88"/>
        <v>219.19129224309006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projet'!$B$9,Paramètres!$A$1:$I$88,7,0))</f>
        <v>0</v>
      </c>
      <c r="X84" s="16">
        <f>IF(ISNA(VLOOKUP(A84,'Données projet'!$A$35:$I$55,6,0)),0%,VLOOKUP(A84,'Données projet'!$A$35:$I$55,6,0)*VLOOKUP('Données projet'!$B$9,Paramètres!$A$1:$I$88,7,0))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projet'!$B$9,Paramètres!$A$1:$I$88,3,0)*0.475*44/12</f>
        <v>5.5551094279007964</v>
      </c>
      <c r="AA84" s="21">
        <f>EXP(-LN(2)/25)*AA83+(1-EXP(-LN(2)/25))/(LN(2)/25)*Calculateur!V84*Calculateur!X84*VLOOKUP('Données projet'!$B$9,Paramètres!$A$1:$I$88,3,0)*0.475*44/12</f>
        <v>3.4426268169372269</v>
      </c>
      <c r="AB84" s="21">
        <f>EXP(-LN(2)/2)*AB83+(1-EXP(-LN(2)/2))/(LN(2)/2)*V84*Y84*VLOOKUP('Données projet'!$B$9,Paramètres!$A$1:$I$88,3,0)*0.475*44/12</f>
        <v>8.3603243635393662E-10</v>
      </c>
      <c r="AC84" s="22">
        <f t="shared" si="57"/>
        <v>8.9977362456740551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-4.5474735088646412E-13</v>
      </c>
      <c r="AJ84" s="13">
        <f>AI84*VLOOKUP('Données projet'!$B$10,Paramètres!$A$1:$I$88,3,0)*VLOOKUP('Données projet'!$B$10,Paramètres!$A$1:$I$88,5,0)</f>
        <v>-2.7193891583010558E-13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246.59447135626942</v>
      </c>
      <c r="AO84" s="59">
        <f t="shared" si="90"/>
        <v>262.00382544285367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projet'!$B$10,Paramètres!$A$1:$I$88,7,0))</f>
        <v>0</v>
      </c>
      <c r="AS84" s="16">
        <f>IF(ISNA(VLOOKUP(A84,'Données projet'!$A$61:$I$81,6,0)),0%,VLOOKUP(A84,'Données projet'!$A$61:$I$81,6,0)*VLOOKUP('Données projet'!$B$10,Paramètres!$A$1:$I$88,7,0))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projet'!$B$10,Paramètres!$A$1:$I$88,3,0)*0.475*44/12</f>
        <v>0</v>
      </c>
      <c r="AV84" s="21">
        <f>EXP(-LN(2)/25)*AV83+(1-EXP(-LN(2)/25))/(LN(2)/25)*Calculateur!AQ84*Calculateur!AS84*VLOOKUP('Données projet'!$B$10,Paramètres!$A$1:$I$88,3,0)*0.475*44/12</f>
        <v>3.1244749410778754</v>
      </c>
      <c r="AW84" s="21">
        <f>EXP(-LN(2)/2)*AW83+(1-EXP(-LN(2)/2))/(LN(2)/2)*AQ84*AT84*VLOOKUP('Données projet'!$B$10,Paramètres!$A$1:$I$88,3,0)*0.475*44/12</f>
        <v>5.0005886793116784E-7</v>
      </c>
      <c r="AX84" s="21">
        <f t="shared" si="60"/>
        <v>3.1244754411367435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-5.6843418860808015E-13</v>
      </c>
      <c r="BE84" s="13">
        <f>BD84*VLOOKUP('Données projet'!$B$11,Paramètres!$A$1:$I$88,3,0)*VLOOKUP('Données projet'!$B$11,Paramètres!$A$1:$I$88,5,0)</f>
        <v>-3.177547114319168E-13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355.96253323046608</v>
      </c>
      <c r="BJ84" s="59">
        <f t="shared" si="92"/>
        <v>366.8380442809696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projet'!$B$11,Paramètres!$A$1:$I$88,7,0))</f>
        <v>0</v>
      </c>
      <c r="BN84" s="16">
        <f>IF(ISNA(VLOOKUP(A84,'Données projet'!$A$87:$I$107,6,0)),0%,VLOOKUP(A84,'Données projet'!$A$87:$I$107,6,0)*VLOOKUP('Données projet'!$B$11,Paramètres!$A$1:$I$88,7,0))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projet'!$B$11,Paramètres!$A$1:$I$88,3,0)*0.475*44/12</f>
        <v>0</v>
      </c>
      <c r="BQ84" s="21">
        <f>EXP(-LN(2)/25)*BQ83+(1-EXP(-LN(2)/25))/(LN(2)/25)*Calculateur!BL84*Calculateur!BN84*VLOOKUP('Données projet'!$B$11,Paramètres!$A$1:$I$88,3,0)*0.475*44/12</f>
        <v>5.5319256122908884</v>
      </c>
      <c r="BR84" s="21">
        <f>EXP(-LN(2)/2)*BR83+(1-EXP(-LN(2)/2))/(LN(2)/2)*BL84*BO84*VLOOKUP('Données projet'!$B$11,Paramètres!$A$1:$I$88,3,0)*0.475*44/12</f>
        <v>7.7317249026981738E-7</v>
      </c>
      <c r="BS84" s="22">
        <f t="shared" si="63"/>
        <v>5.5319263854633789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5.6843418860808015E-14</v>
      </c>
      <c r="BZ84" s="13">
        <f>BY84*VLOOKUP('Données projet'!$B$12,Paramètres!$A$1:$I$88,3,0)*VLOOKUP('Données projet'!$B$12,Paramètres!$A$1:$I$88,5,0)</f>
        <v>3.7243808037601412E-14</v>
      </c>
      <c r="CA84" s="13">
        <f t="shared" si="93"/>
        <v>6.2767589361185393E-13</v>
      </c>
      <c r="CB84" s="20">
        <f t="shared" si="64"/>
        <v>1.1580684803728015E-12</v>
      </c>
      <c r="CC84" s="59">
        <f t="shared" si="65"/>
        <v>293.33333333333445</v>
      </c>
      <c r="CD84" s="59">
        <f ca="1">AVERAGE(OFFSET($CC$3,0,0,'Données projet'!$E$12+1,1))-AVERAGE(OFFSET($H$3,0,0,'Données projet'!$E$12+1,1))</f>
        <v>180.90147430936133</v>
      </c>
      <c r="CE84" s="59">
        <f t="shared" si="94"/>
        <v>226.87949199830018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projet'!$B$12,Paramètres!$A$1:$I$88,7,0))</f>
        <v>0</v>
      </c>
      <c r="CI84" s="16">
        <f>IF(ISNA(VLOOKUP(A84,'Données projet'!$A$113:$I$133,6,0)),0%,VLOOKUP(A84,'Données projet'!$A$113:$I$133,6,0)*VLOOKUP('Données projet'!$B$12,Paramètres!$A$1:$I$88,7,0))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projet'!$B$12,Paramètres!$A$1:$I$88,3,0)*0.475*44/12</f>
        <v>0</v>
      </c>
      <c r="CL84" s="21">
        <f>EXP(-LN(2)/25)*CL83+(1-EXP(-LN(2)/25))/(LN(2)/25)*Calculateur!CG84*Calculateur!CI84*VLOOKUP('Données projet'!$B$12,Paramètres!$A$1:$I$88,3,0)*0.475*44/12</f>
        <v>1.670664910691652</v>
      </c>
      <c r="CM84" s="21">
        <f>EXP(-LN(2)/2)*CM83+(1-EXP(-LN(2)/2))/(LN(2)/2)*CG84*CJ84*VLOOKUP('Données projet'!$B$12,Paramètres!$A$1:$I$88,3,0)*0.475*44/12</f>
        <v>1.8676237643419679E-7</v>
      </c>
      <c r="CN84" s="22">
        <f t="shared" si="66"/>
        <v>1.6706650974540285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5.6843418860808015E-14</v>
      </c>
      <c r="CU84" s="17">
        <f>CT84*VLOOKUP('Données projet'!$B$13,Paramètres!$A$1:$I$88,3,0)*VLOOKUP('Données projet'!$B$13,Paramètres!$A$1:$I$88,5,0)</f>
        <v>2.8908289095852525E-14</v>
      </c>
      <c r="CV84" s="13">
        <f t="shared" si="95"/>
        <v>5.0177780569126974E-13</v>
      </c>
      <c r="CW84" s="20">
        <f t="shared" si="67"/>
        <v>9.2427828175423786E-13</v>
      </c>
      <c r="CX84" s="59">
        <f t="shared" si="68"/>
        <v>293.33333333333422</v>
      </c>
      <c r="CY84" s="59">
        <f ca="1">AVERAGE(OFFSET($CX$3,0,0,'Données projet'!$E$13+1,1))-AVERAGE(OFFSET($H$3,0,0,'Données projet'!$E$13+1,1))</f>
        <v>133.08385802816008</v>
      </c>
      <c r="CZ84" s="59">
        <f t="shared" si="96"/>
        <v>316.59112511251385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projet'!$B$13,Paramètres!$A$1:$I$88,7,0))</f>
        <v>0</v>
      </c>
      <c r="DD84" s="16">
        <f>IF(ISNA(VLOOKUP(A84,'Données projet'!$A$139:$I$159,6,0)),0%,VLOOKUP(A84,'Données projet'!$A$139:$I$159,6,0)*VLOOKUP('Données projet'!$B$13,Paramètres!$A$1:$I$88,7,0))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projet'!$B$13,Paramètres!$A$1:$I$88,3,0)*0.475*44/12</f>
        <v>26.298428496738392</v>
      </c>
      <c r="DG84" s="21">
        <f>EXP(-LN(2)/25)*DG83+(1-EXP(-LN(2)/25))/(LN(2)/25)*Calculateur!DB84*Calculateur!DD84*VLOOKUP('Données projet'!$B$13,Paramètres!$A$1:$I$88,3,0)*0.475*44/12</f>
        <v>0</v>
      </c>
      <c r="DH84" s="21">
        <f>EXP(-LN(2)/2)*DH83+(1-EXP(-LN(2)/2))/(LN(2)/2)*DB84*DE84*VLOOKUP('Données projet'!$B$13,Paramètres!$A$1:$I$88,3,0)*0.475*44/12</f>
        <v>1.1915764800880081E-7</v>
      </c>
      <c r="DI84" s="22">
        <f t="shared" si="69"/>
        <v>26.298428615896039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projet'!$B$14,Paramètres!$A$1:$I$88,3,0)*VLOOKUP('Données projet'!$B$14,Paramètres!$A$1:$I$88,5,0)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projet'!$B$14,Paramètres!$A$1:$I$88,7,0))</f>
        <v>0</v>
      </c>
      <c r="DY84" s="16">
        <f>IF(ISNA(VLOOKUP(A84,'Données projet'!$A$165:$I$185,6,0)),0%,VLOOKUP(A84,'Données projet'!$A$165:$I$185,6,0)*VLOOKUP('Données projet'!$B$14,Paramètres!$A$1:$I$88,7,0))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projet'!$B$14,Paramètres!$A$1:$I$88,3,0)*0.475*44/12</f>
        <v>#N/A</v>
      </c>
      <c r="EB84" s="21" t="e">
        <f>EXP(-LN(2)/25)*EB83+(1-EXP(-LN(2)/25))/(LN(2)/25)*Calculateur!DW84*Calculateur!DY84*VLOOKUP('Données projet'!$B$14,Paramètres!$A$1:$I$88,3,0)*0.475*44/12</f>
        <v>#N/A</v>
      </c>
      <c r="EC84" s="21" t="e">
        <f>EXP(-LN(2)/2)*EC83+(1-EXP(-LN(2)/2))/(LN(2)/2)*DW84*DZ84*VLOOKUP('Données projet'!$B$14,Paramètres!$A$1:$I$88,3,0)*0.475*44/12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projet'!$B$15,Paramètres!$A$1:$I$88,3,0)*VLOOKUP('Données projet'!$B$15,Paramètres!$A$1:$I$88,5,0)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projet'!$B$15,Paramètres!$A$1:$I$88,7,0))</f>
        <v>0</v>
      </c>
      <c r="ET84" s="16">
        <f>IF(ISNA(VLOOKUP(A84,'Données projet'!$A$191:$I$211,6,0)),0%,VLOOKUP(A84,'Données projet'!$A$191:$I$211,6,0)*VLOOKUP('Données projet'!$B$15,Paramètres!$A$1:$I$88,7,0))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projet'!$B$15,Paramètres!$A$1:$I$88,3,0)*0.475*44/12</f>
        <v>#N/A</v>
      </c>
      <c r="EW84" s="21" t="e">
        <f>EXP(-LN(2)/25)*EW83+(1-EXP(-LN(2)/25))/(LN(2)/25)*Calculateur!ER84*Calculateur!ET84*VLOOKUP('Données projet'!$B$15,Paramètres!$A$1:$I$88,3,0)*0.475*44/12</f>
        <v>#N/A</v>
      </c>
      <c r="EX84" s="21" t="e">
        <f>EXP(-LN(2)/2)*EX83+(1-EXP(-LN(2)/2))/(LN(2)/2)*ER84*EU84*VLOOKUP('Données projet'!$B$15,Paramètres!$A$1:$I$88,3,0)*0.475*44/12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projet'!$B$16,Paramètres!$A$1:$I$88,3,0)*VLOOKUP('Données projet'!$B$16,Paramètres!$A$1:$I$88,5,0)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projet'!$B$16,Paramètres!$A$1:$I$88,7,0))</f>
        <v>0</v>
      </c>
      <c r="FO84" s="16">
        <f>IF(ISNA(VLOOKUP(A84,'Données projet'!$A$217:$I$237,6,0)),0%,VLOOKUP(A84,'Données projet'!$A$217:$I$237,6,0)*VLOOKUP('Données projet'!$B$16,Paramètres!$A$1:$I$88,7,0))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projet'!$B$16,Paramètres!$A$1:$I$88,3,0)*0.475*44/12</f>
        <v>#N/A</v>
      </c>
      <c r="FR84" s="21" t="e">
        <f>EXP(-LN(2)/25)*FR83+(1-EXP(-LN(2)/25))/(LN(2)/25)*Calculateur!FM84*Calculateur!FO84*VLOOKUP('Données projet'!$B$16,Paramètres!$A$1:$I$88,3,0)*0.475*44/12</f>
        <v>#N/A</v>
      </c>
      <c r="FS84" s="21" t="e">
        <f>EXP(-LN(2)/2)*FS83+(1-EXP(-LN(2)/2))/(LN(2)/2)*FM84*FP84*VLOOKUP('Données projet'!$B$16,Paramètres!$A$1:$I$88,3,0)*0.475*44/12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projet'!$B$17,Paramètres!$A$1:$I$88,3,0)*VLOOKUP('Données projet'!$B$17,Paramètres!$A$1:$I$88,5,0)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projet'!$B$17,Paramètres!$A$1:$I$88,7,0))</f>
        <v>0</v>
      </c>
      <c r="GJ84" s="16">
        <f>IF(ISNA(VLOOKUP(A84,'Données projet'!$A$243:$I$263,6,0)),0%,VLOOKUP(A84,'Données projet'!$A$243:$I$263,6,0)*VLOOKUP('Données projet'!$B$17,Paramètres!$A$1:$I$88,7,0))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projet'!$B$17,Paramètres!$A$1:$I$88,3,0)*0.475*44/12</f>
        <v>#N/A</v>
      </c>
      <c r="GM84" s="21" t="e">
        <f>EXP(-LN(2)/25)*GM83+(1-EXP(-LN(2)/25))/(LN(2)/25)*Calculateur!GH84*Calculateur!GJ84*VLOOKUP('Données projet'!$B$17,Paramètres!$A$1:$I$88,3,0)*0.475*44/12</f>
        <v>#N/A</v>
      </c>
      <c r="GN84" s="21" t="e">
        <f>EXP(-LN(2)/2)*GN83+(1-EXP(-LN(2)/2))/(LN(2)/2)*GH84*GK84*VLOOKUP('Données projet'!$B$17,Paramètres!$A$1:$I$88,3,0)*0.475*44/12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projet'!$B$18,Paramètres!$A$1:$I$88,3,0)*VLOOKUP('Données projet'!$B$18,Paramètres!$A$1:$I$88,5,0)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projet'!$B$18,Paramètres!$A$1:$I$88,7,0))</f>
        <v>0</v>
      </c>
      <c r="HE84" s="16">
        <f>IF(ISNA(VLOOKUP(A84,'Données projet'!$A$269:$I$289,6,0)),0%,VLOOKUP(A84,'Données projet'!$A$269:$I$289,6,0)*VLOOKUP('Données projet'!$B$18,Paramètres!$A$1:$I$88,7,0))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projet'!$B$18,Paramètres!$A$1:$I$88,3,0)*0.475*44/12</f>
        <v>#N/A</v>
      </c>
      <c r="HH84" s="21" t="e">
        <f>EXP(-LN(2)/25)*HH83+(1-EXP(-LN(2)/25))/(LN(2)/25)*Calculateur!HC84*Calculateur!HE84*VLOOKUP('Données projet'!$B$18,Paramètres!$A$1:$I$88,3,0)*0.475*44/12</f>
        <v>#N/A</v>
      </c>
      <c r="HI84" s="21" t="e">
        <f>EXP(-LN(2)/2)*HI83+(1-EXP(-LN(2)/2))/(LN(2)/2)*HC84*HF84*VLOOKUP('Données projet'!$B$18,Paramètres!$A$1:$I$88,3,0)*0.475*44/12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projet'!$B$9,Paramètres!$A$1:$I$88,3,0)*VLOOKUP('Données projet'!$B$9,Paramètres!$A$1:$I$88,5,0)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195.73441209602686</v>
      </c>
      <c r="T85" s="59">
        <f t="shared" si="88"/>
        <v>219.19129224309006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projet'!$B$9,Paramètres!$A$1:$I$88,7,0))</f>
        <v>0</v>
      </c>
      <c r="X85" s="16">
        <f>IF(ISNA(VLOOKUP(A85,'Données projet'!$A$35:$I$55,6,0)),0%,VLOOKUP(A85,'Données projet'!$A$35:$I$55,6,0)*VLOOKUP('Données projet'!$B$9,Paramètres!$A$1:$I$88,7,0))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projet'!$B$9,Paramètres!$A$1:$I$88,3,0)*0.475*44/12</f>
        <v>5.4461771203018481</v>
      </c>
      <c r="AA85" s="21">
        <f>EXP(-LN(2)/25)*AA84+(1-EXP(-LN(2)/25))/(LN(2)/25)*Calculateur!V85*Calculateur!X85*VLOOKUP('Données projet'!$B$9,Paramètres!$A$1:$I$88,3,0)*0.475*44/12</f>
        <v>3.3484880055882025</v>
      </c>
      <c r="AB85" s="21">
        <f>EXP(-LN(2)/2)*AB84+(1-EXP(-LN(2)/2))/(LN(2)/2)*V85*Y85*VLOOKUP('Données projet'!$B$9,Paramètres!$A$1:$I$88,3,0)*0.475*44/12</f>
        <v>5.9116420503777927E-10</v>
      </c>
      <c r="AC85" s="22">
        <f t="shared" si="57"/>
        <v>8.794665126481215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-4.5474735088646412E-13</v>
      </c>
      <c r="AJ85" s="13">
        <f>AI85*VLOOKUP('Données projet'!$B$10,Paramètres!$A$1:$I$88,3,0)*VLOOKUP('Données projet'!$B$10,Paramètres!$A$1:$I$88,5,0)</f>
        <v>-2.7193891583010558E-13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246.59447135626942</v>
      </c>
      <c r="AO85" s="59">
        <f t="shared" si="90"/>
        <v>262.00382544285367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projet'!$B$10,Paramètres!$A$1:$I$88,7,0))</f>
        <v>0</v>
      </c>
      <c r="AS85" s="16">
        <f>IF(ISNA(VLOOKUP(A85,'Données projet'!$A$61:$I$81,6,0)),0%,VLOOKUP(A85,'Données projet'!$A$61:$I$81,6,0)*VLOOKUP('Données projet'!$B$10,Paramètres!$A$1:$I$88,7,0))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projet'!$B$10,Paramètres!$A$1:$I$88,3,0)*0.475*44/12</f>
        <v>0</v>
      </c>
      <c r="AV85" s="21">
        <f>EXP(-LN(2)/25)*AV84+(1-EXP(-LN(2)/25))/(LN(2)/25)*Calculateur!AQ85*Calculateur!AS85*VLOOKUP('Données projet'!$B$10,Paramètres!$A$1:$I$88,3,0)*0.475*44/12</f>
        <v>3.039036009505105</v>
      </c>
      <c r="AW85" s="21">
        <f>EXP(-LN(2)/2)*AW84+(1-EXP(-LN(2)/2))/(LN(2)/2)*AQ85*AT85*VLOOKUP('Données projet'!$B$10,Paramètres!$A$1:$I$88,3,0)*0.475*44/12</f>
        <v>3.5359501650659697E-7</v>
      </c>
      <c r="AX85" s="21">
        <f t="shared" si="60"/>
        <v>3.0390363631001214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-5.6843418860808015E-13</v>
      </c>
      <c r="BE85" s="13">
        <f>BD85*VLOOKUP('Données projet'!$B$11,Paramètres!$A$1:$I$88,3,0)*VLOOKUP('Données projet'!$B$11,Paramètres!$A$1:$I$88,5,0)</f>
        <v>-3.177547114319168E-13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355.96253323046608</v>
      </c>
      <c r="BJ85" s="59">
        <f t="shared" si="92"/>
        <v>366.8380442809696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projet'!$B$11,Paramètres!$A$1:$I$88,7,0))</f>
        <v>0</v>
      </c>
      <c r="BN85" s="16">
        <f>IF(ISNA(VLOOKUP(A85,'Données projet'!$A$87:$I$107,6,0)),0%,VLOOKUP(A85,'Données projet'!$A$87:$I$107,6,0)*VLOOKUP('Données projet'!$B$11,Paramètres!$A$1:$I$88,7,0))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projet'!$B$11,Paramètres!$A$1:$I$88,3,0)*0.475*44/12</f>
        <v>0</v>
      </c>
      <c r="BQ85" s="21">
        <f>EXP(-LN(2)/25)*BQ84+(1-EXP(-LN(2)/25))/(LN(2)/25)*Calculateur!BL85*Calculateur!BN85*VLOOKUP('Données projet'!$B$11,Paramètres!$A$1:$I$88,3,0)*0.475*44/12</f>
        <v>5.3806548155114697</v>
      </c>
      <c r="BR85" s="21">
        <f>EXP(-LN(2)/2)*BR84+(1-EXP(-LN(2)/2))/(LN(2)/2)*BL85*BO85*VLOOKUP('Données projet'!$B$11,Paramètres!$A$1:$I$88,3,0)*0.475*44/12</f>
        <v>5.4671551089667779E-7</v>
      </c>
      <c r="BS85" s="22">
        <f t="shared" si="63"/>
        <v>5.3806553622269808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5.6843418860808015E-14</v>
      </c>
      <c r="BZ85" s="13">
        <f>BY85*VLOOKUP('Données projet'!$B$12,Paramètres!$A$1:$I$88,3,0)*VLOOKUP('Données projet'!$B$12,Paramètres!$A$1:$I$88,5,0)</f>
        <v>3.7243808037601412E-14</v>
      </c>
      <c r="CA85" s="13">
        <f t="shared" si="93"/>
        <v>6.2767589361185393E-13</v>
      </c>
      <c r="CB85" s="20">
        <f t="shared" si="64"/>
        <v>1.1580684803728015E-12</v>
      </c>
      <c r="CC85" s="59">
        <f t="shared" si="65"/>
        <v>293.33333333333445</v>
      </c>
      <c r="CD85" s="59">
        <f ca="1">AVERAGE(OFFSET($CC$3,0,0,'Données projet'!$E$12+1,1))-AVERAGE(OFFSET($H$3,0,0,'Données projet'!$E$12+1,1))</f>
        <v>180.90147430936133</v>
      </c>
      <c r="CE85" s="59">
        <f t="shared" si="94"/>
        <v>226.87949199830018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projet'!$B$12,Paramètres!$A$1:$I$88,7,0))</f>
        <v>0</v>
      </c>
      <c r="CI85" s="16">
        <f>IF(ISNA(VLOOKUP(A85,'Données projet'!$A$113:$I$133,6,0)),0%,VLOOKUP(A85,'Données projet'!$A$113:$I$133,6,0)*VLOOKUP('Données projet'!$B$12,Paramètres!$A$1:$I$88,7,0))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projet'!$B$12,Paramètres!$A$1:$I$88,3,0)*0.475*44/12</f>
        <v>0</v>
      </c>
      <c r="CL85" s="21">
        <f>EXP(-LN(2)/25)*CL84+(1-EXP(-LN(2)/25))/(LN(2)/25)*Calculateur!CG85*Calculateur!CI85*VLOOKUP('Données projet'!$B$12,Paramètres!$A$1:$I$88,3,0)*0.475*44/12</f>
        <v>1.6249804908523395</v>
      </c>
      <c r="CM85" s="21">
        <f>EXP(-LN(2)/2)*CM84+(1-EXP(-LN(2)/2))/(LN(2)/2)*CG85*CJ85*VLOOKUP('Données projet'!$B$12,Paramètres!$A$1:$I$88,3,0)*0.475*44/12</f>
        <v>1.3206094284713521E-7</v>
      </c>
      <c r="CN85" s="22">
        <f t="shared" si="66"/>
        <v>1.6249806229132824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5.6843418860808015E-14</v>
      </c>
      <c r="CU85" s="17">
        <f>CT85*VLOOKUP('Données projet'!$B$13,Paramètres!$A$1:$I$88,3,0)*VLOOKUP('Données projet'!$B$13,Paramètres!$A$1:$I$88,5,0)</f>
        <v>2.8908289095852525E-14</v>
      </c>
      <c r="CV85" s="13">
        <f t="shared" si="95"/>
        <v>5.0177780569126974E-13</v>
      </c>
      <c r="CW85" s="20">
        <f t="shared" si="67"/>
        <v>9.2427828175423786E-13</v>
      </c>
      <c r="CX85" s="59">
        <f t="shared" si="68"/>
        <v>293.33333333333422</v>
      </c>
      <c r="CY85" s="59">
        <f ca="1">AVERAGE(OFFSET($CX$3,0,0,'Données projet'!$E$13+1,1))-AVERAGE(OFFSET($H$3,0,0,'Données projet'!$E$13+1,1))</f>
        <v>133.08385802816008</v>
      </c>
      <c r="CZ85" s="59">
        <f t="shared" si="96"/>
        <v>316.59112511251385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projet'!$B$13,Paramètres!$A$1:$I$88,7,0))</f>
        <v>0</v>
      </c>
      <c r="DD85" s="16">
        <f>IF(ISNA(VLOOKUP(A85,'Données projet'!$A$139:$I$159,6,0)),0%,VLOOKUP(A85,'Données projet'!$A$139:$I$159,6,0)*VLOOKUP('Données projet'!$B$13,Paramètres!$A$1:$I$88,7,0))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projet'!$B$13,Paramètres!$A$1:$I$88,3,0)*0.475*44/12</f>
        <v>25.782732354374872</v>
      </c>
      <c r="DG85" s="21">
        <f>EXP(-LN(2)/25)*DG84+(1-EXP(-LN(2)/25))/(LN(2)/25)*Calculateur!DB85*Calculateur!DD85*VLOOKUP('Données projet'!$B$13,Paramètres!$A$1:$I$88,3,0)*0.475*44/12</f>
        <v>0</v>
      </c>
      <c r="DH85" s="21">
        <f>EXP(-LN(2)/2)*DH84+(1-EXP(-LN(2)/2))/(LN(2)/2)*DB85*DE85*VLOOKUP('Données projet'!$B$13,Paramètres!$A$1:$I$88,3,0)*0.475*44/12</f>
        <v>8.4257180937262777E-8</v>
      </c>
      <c r="DI85" s="22">
        <f t="shared" si="69"/>
        <v>25.782732438632053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projet'!$B$14,Paramètres!$A$1:$I$88,3,0)*VLOOKUP('Données projet'!$B$14,Paramètres!$A$1:$I$88,5,0)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projet'!$B$14,Paramètres!$A$1:$I$88,7,0))</f>
        <v>0</v>
      </c>
      <c r="DY85" s="16">
        <f>IF(ISNA(VLOOKUP(A85,'Données projet'!$A$165:$I$185,6,0)),0%,VLOOKUP(A85,'Données projet'!$A$165:$I$185,6,0)*VLOOKUP('Données projet'!$B$14,Paramètres!$A$1:$I$88,7,0))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projet'!$B$14,Paramètres!$A$1:$I$88,3,0)*0.475*44/12</f>
        <v>#N/A</v>
      </c>
      <c r="EB85" s="21" t="e">
        <f>EXP(-LN(2)/25)*EB84+(1-EXP(-LN(2)/25))/(LN(2)/25)*Calculateur!DW85*Calculateur!DY85*VLOOKUP('Données projet'!$B$14,Paramètres!$A$1:$I$88,3,0)*0.475*44/12</f>
        <v>#N/A</v>
      </c>
      <c r="EC85" s="21" t="e">
        <f>EXP(-LN(2)/2)*EC84+(1-EXP(-LN(2)/2))/(LN(2)/2)*DW85*DZ85*VLOOKUP('Données projet'!$B$14,Paramètres!$A$1:$I$88,3,0)*0.475*44/12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projet'!$B$15,Paramètres!$A$1:$I$88,3,0)*VLOOKUP('Données projet'!$B$15,Paramètres!$A$1:$I$88,5,0)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projet'!$B$15,Paramètres!$A$1:$I$88,7,0))</f>
        <v>0</v>
      </c>
      <c r="ET85" s="16">
        <f>IF(ISNA(VLOOKUP(A85,'Données projet'!$A$191:$I$211,6,0)),0%,VLOOKUP(A85,'Données projet'!$A$191:$I$211,6,0)*VLOOKUP('Données projet'!$B$15,Paramètres!$A$1:$I$88,7,0))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projet'!$B$15,Paramètres!$A$1:$I$88,3,0)*0.475*44/12</f>
        <v>#N/A</v>
      </c>
      <c r="EW85" s="21" t="e">
        <f>EXP(-LN(2)/25)*EW84+(1-EXP(-LN(2)/25))/(LN(2)/25)*Calculateur!ER85*Calculateur!ET85*VLOOKUP('Données projet'!$B$15,Paramètres!$A$1:$I$88,3,0)*0.475*44/12</f>
        <v>#N/A</v>
      </c>
      <c r="EX85" s="21" t="e">
        <f>EXP(-LN(2)/2)*EX84+(1-EXP(-LN(2)/2))/(LN(2)/2)*ER85*EU85*VLOOKUP('Données projet'!$B$15,Paramètres!$A$1:$I$88,3,0)*0.475*44/12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projet'!$B$16,Paramètres!$A$1:$I$88,3,0)*VLOOKUP('Données projet'!$B$16,Paramètres!$A$1:$I$88,5,0)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projet'!$B$16,Paramètres!$A$1:$I$88,7,0))</f>
        <v>0</v>
      </c>
      <c r="FO85" s="16">
        <f>IF(ISNA(VLOOKUP(A85,'Données projet'!$A$217:$I$237,6,0)),0%,VLOOKUP(A85,'Données projet'!$A$217:$I$237,6,0)*VLOOKUP('Données projet'!$B$16,Paramètres!$A$1:$I$88,7,0))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projet'!$B$16,Paramètres!$A$1:$I$88,3,0)*0.475*44/12</f>
        <v>#N/A</v>
      </c>
      <c r="FR85" s="21" t="e">
        <f>EXP(-LN(2)/25)*FR84+(1-EXP(-LN(2)/25))/(LN(2)/25)*Calculateur!FM85*Calculateur!FO85*VLOOKUP('Données projet'!$B$16,Paramètres!$A$1:$I$88,3,0)*0.475*44/12</f>
        <v>#N/A</v>
      </c>
      <c r="FS85" s="21" t="e">
        <f>EXP(-LN(2)/2)*FS84+(1-EXP(-LN(2)/2))/(LN(2)/2)*FM85*FP85*VLOOKUP('Données projet'!$B$16,Paramètres!$A$1:$I$88,3,0)*0.475*44/12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projet'!$B$17,Paramètres!$A$1:$I$88,3,0)*VLOOKUP('Données projet'!$B$17,Paramètres!$A$1:$I$88,5,0)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projet'!$B$17,Paramètres!$A$1:$I$88,7,0))</f>
        <v>0</v>
      </c>
      <c r="GJ85" s="16">
        <f>IF(ISNA(VLOOKUP(A85,'Données projet'!$A$243:$I$263,6,0)),0%,VLOOKUP(A85,'Données projet'!$A$243:$I$263,6,0)*VLOOKUP('Données projet'!$B$17,Paramètres!$A$1:$I$88,7,0))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projet'!$B$17,Paramètres!$A$1:$I$88,3,0)*0.475*44/12</f>
        <v>#N/A</v>
      </c>
      <c r="GM85" s="21" t="e">
        <f>EXP(-LN(2)/25)*GM84+(1-EXP(-LN(2)/25))/(LN(2)/25)*Calculateur!GH85*Calculateur!GJ85*VLOOKUP('Données projet'!$B$17,Paramètres!$A$1:$I$88,3,0)*0.475*44/12</f>
        <v>#N/A</v>
      </c>
      <c r="GN85" s="21" t="e">
        <f>EXP(-LN(2)/2)*GN84+(1-EXP(-LN(2)/2))/(LN(2)/2)*GH85*GK85*VLOOKUP('Données projet'!$B$17,Paramètres!$A$1:$I$88,3,0)*0.475*44/12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projet'!$B$18,Paramètres!$A$1:$I$88,3,0)*VLOOKUP('Données projet'!$B$18,Paramètres!$A$1:$I$88,5,0)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projet'!$B$18,Paramètres!$A$1:$I$88,7,0))</f>
        <v>0</v>
      </c>
      <c r="HE85" s="16">
        <f>IF(ISNA(VLOOKUP(A85,'Données projet'!$A$269:$I$289,6,0)),0%,VLOOKUP(A85,'Données projet'!$A$269:$I$289,6,0)*VLOOKUP('Données projet'!$B$18,Paramètres!$A$1:$I$88,7,0))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projet'!$B$18,Paramètres!$A$1:$I$88,3,0)*0.475*44/12</f>
        <v>#N/A</v>
      </c>
      <c r="HH85" s="21" t="e">
        <f>EXP(-LN(2)/25)*HH84+(1-EXP(-LN(2)/25))/(LN(2)/25)*Calculateur!HC85*Calculateur!HE85*VLOOKUP('Données projet'!$B$18,Paramètres!$A$1:$I$88,3,0)*0.475*44/12</f>
        <v>#N/A</v>
      </c>
      <c r="HI85" s="21" t="e">
        <f>EXP(-LN(2)/2)*HI84+(1-EXP(-LN(2)/2))/(LN(2)/2)*HC85*HF85*VLOOKUP('Données projet'!$B$18,Paramètres!$A$1:$I$88,3,0)*0.475*44/12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projet'!$B$9,Paramètres!$A$1:$I$88,3,0)*VLOOKUP('Données projet'!$B$9,Paramètres!$A$1:$I$88,5,0)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195.73441209602686</v>
      </c>
      <c r="T86" s="59">
        <f t="shared" si="88"/>
        <v>219.19129224309006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projet'!$B$9,Paramètres!$A$1:$I$88,7,0))</f>
        <v>0</v>
      </c>
      <c r="X86" s="16">
        <f>IF(ISNA(VLOOKUP(A86,'Données projet'!$A$35:$I$55,6,0)),0%,VLOOKUP(A86,'Données projet'!$A$35:$I$55,6,0)*VLOOKUP('Données projet'!$B$9,Paramètres!$A$1:$I$88,7,0))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projet'!$B$9,Paramètres!$A$1:$I$88,3,0)*0.475*44/12</f>
        <v>5.3393809088127675</v>
      </c>
      <c r="AA86" s="21">
        <f>EXP(-LN(2)/25)*AA85+(1-EXP(-LN(2)/25))/(LN(2)/25)*Calculateur!V86*Calculateur!X86*VLOOKUP('Données projet'!$B$9,Paramètres!$A$1:$I$88,3,0)*0.475*44/12</f>
        <v>3.2569234249860619</v>
      </c>
      <c r="AB86" s="21">
        <f>EXP(-LN(2)/2)*AB85+(1-EXP(-LN(2)/2))/(LN(2)/2)*V86*Y86*VLOOKUP('Données projet'!$B$9,Paramètres!$A$1:$I$88,3,0)*0.475*44/12</f>
        <v>4.1801621817696831E-10</v>
      </c>
      <c r="AC86" s="22">
        <f t="shared" si="57"/>
        <v>8.5963043342168461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-4.5474735088646412E-13</v>
      </c>
      <c r="AJ86" s="13">
        <f>AI86*VLOOKUP('Données projet'!$B$10,Paramètres!$A$1:$I$88,3,0)*VLOOKUP('Données projet'!$B$10,Paramètres!$A$1:$I$88,5,0)</f>
        <v>-2.7193891583010558E-13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246.59447135626942</v>
      </c>
      <c r="AO86" s="59">
        <f t="shared" si="90"/>
        <v>262.00382544285367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projet'!$B$10,Paramètres!$A$1:$I$88,7,0))</f>
        <v>0</v>
      </c>
      <c r="AS86" s="16">
        <f>IF(ISNA(VLOOKUP(A86,'Données projet'!$A$61:$I$81,6,0)),0%,VLOOKUP(A86,'Données projet'!$A$61:$I$81,6,0)*VLOOKUP('Données projet'!$B$10,Paramètres!$A$1:$I$88,7,0))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projet'!$B$10,Paramètres!$A$1:$I$88,3,0)*0.475*44/12</f>
        <v>0</v>
      </c>
      <c r="AV86" s="21">
        <f>EXP(-LN(2)/25)*AV85+(1-EXP(-LN(2)/25))/(LN(2)/25)*Calculateur!AQ86*Calculateur!AS86*VLOOKUP('Données projet'!$B$10,Paramètres!$A$1:$I$88,3,0)*0.475*44/12</f>
        <v>2.95593341000923</v>
      </c>
      <c r="AW86" s="21">
        <f>EXP(-LN(2)/2)*AW85+(1-EXP(-LN(2)/2))/(LN(2)/2)*AQ86*AT86*VLOOKUP('Données projet'!$B$10,Paramètres!$A$1:$I$88,3,0)*0.475*44/12</f>
        <v>2.5002943396558392E-7</v>
      </c>
      <c r="AX86" s="21">
        <f t="shared" si="60"/>
        <v>2.9559336600386641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-5.6843418860808015E-13</v>
      </c>
      <c r="BE86" s="13">
        <f>BD86*VLOOKUP('Données projet'!$B$11,Paramètres!$A$1:$I$88,3,0)*VLOOKUP('Données projet'!$B$11,Paramètres!$A$1:$I$88,5,0)</f>
        <v>-3.177547114319168E-13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355.96253323046608</v>
      </c>
      <c r="BJ86" s="59">
        <f t="shared" si="92"/>
        <v>366.8380442809696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projet'!$B$11,Paramètres!$A$1:$I$88,7,0))</f>
        <v>0</v>
      </c>
      <c r="BN86" s="16">
        <f>IF(ISNA(VLOOKUP(A86,'Données projet'!$A$87:$I$107,6,0)),0%,VLOOKUP(A86,'Données projet'!$A$87:$I$107,6,0)*VLOOKUP('Données projet'!$B$11,Paramètres!$A$1:$I$88,7,0))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projet'!$B$11,Paramètres!$A$1:$I$88,3,0)*0.475*44/12</f>
        <v>0</v>
      </c>
      <c r="BQ86" s="21">
        <f>EXP(-LN(2)/25)*BQ85+(1-EXP(-LN(2)/25))/(LN(2)/25)*Calculateur!BL86*Calculateur!BN86*VLOOKUP('Données projet'!$B$11,Paramètres!$A$1:$I$88,3,0)*0.475*44/12</f>
        <v>5.2335205266249698</v>
      </c>
      <c r="BR86" s="21">
        <f>EXP(-LN(2)/2)*BR85+(1-EXP(-LN(2)/2))/(LN(2)/2)*BL86*BO86*VLOOKUP('Données projet'!$B$11,Paramètres!$A$1:$I$88,3,0)*0.475*44/12</f>
        <v>3.8658624513490869E-7</v>
      </c>
      <c r="BS86" s="22">
        <f t="shared" si="63"/>
        <v>5.2335209132112146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5.6843418860808015E-14</v>
      </c>
      <c r="BZ86" s="13">
        <f>BY86*VLOOKUP('Données projet'!$B$12,Paramètres!$A$1:$I$88,3,0)*VLOOKUP('Données projet'!$B$12,Paramètres!$A$1:$I$88,5,0)</f>
        <v>3.7243808037601412E-14</v>
      </c>
      <c r="CA86" s="13">
        <f t="shared" si="93"/>
        <v>6.2767589361185393E-13</v>
      </c>
      <c r="CB86" s="20">
        <f t="shared" si="64"/>
        <v>1.1580684803728015E-12</v>
      </c>
      <c r="CC86" s="59">
        <f t="shared" si="65"/>
        <v>293.33333333333445</v>
      </c>
      <c r="CD86" s="59">
        <f ca="1">AVERAGE(OFFSET($CC$3,0,0,'Données projet'!$E$12+1,1))-AVERAGE(OFFSET($H$3,0,0,'Données projet'!$E$12+1,1))</f>
        <v>180.90147430936133</v>
      </c>
      <c r="CE86" s="59">
        <f t="shared" si="94"/>
        <v>226.87949199830018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projet'!$B$12,Paramètres!$A$1:$I$88,7,0))</f>
        <v>0</v>
      </c>
      <c r="CI86" s="16">
        <f>IF(ISNA(VLOOKUP(A86,'Données projet'!$A$113:$I$133,6,0)),0%,VLOOKUP(A86,'Données projet'!$A$113:$I$133,6,0)*VLOOKUP('Données projet'!$B$12,Paramètres!$A$1:$I$88,7,0))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projet'!$B$12,Paramètres!$A$1:$I$88,3,0)*0.475*44/12</f>
        <v>0</v>
      </c>
      <c r="CL86" s="21">
        <f>EXP(-LN(2)/25)*CL85+(1-EXP(-LN(2)/25))/(LN(2)/25)*Calculateur!CG86*Calculateur!CI86*VLOOKUP('Données projet'!$B$12,Paramètres!$A$1:$I$88,3,0)*0.475*44/12</f>
        <v>1.5805453138759722</v>
      </c>
      <c r="CM86" s="21">
        <f>EXP(-LN(2)/2)*CM85+(1-EXP(-LN(2)/2))/(LN(2)/2)*CG86*CJ86*VLOOKUP('Données projet'!$B$12,Paramètres!$A$1:$I$88,3,0)*0.475*44/12</f>
        <v>9.3381188217098397E-8</v>
      </c>
      <c r="CN86" s="22">
        <f t="shared" si="66"/>
        <v>1.5805454072571603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5.6843418860808015E-14</v>
      </c>
      <c r="CU86" s="17">
        <f>CT86*VLOOKUP('Données projet'!$B$13,Paramètres!$A$1:$I$88,3,0)*VLOOKUP('Données projet'!$B$13,Paramètres!$A$1:$I$88,5,0)</f>
        <v>2.8908289095852525E-14</v>
      </c>
      <c r="CV86" s="13">
        <f t="shared" si="95"/>
        <v>5.0177780569126974E-13</v>
      </c>
      <c r="CW86" s="20">
        <f t="shared" si="67"/>
        <v>9.2427828175423786E-13</v>
      </c>
      <c r="CX86" s="59">
        <f t="shared" si="68"/>
        <v>293.33333333333422</v>
      </c>
      <c r="CY86" s="59">
        <f ca="1">AVERAGE(OFFSET($CX$3,0,0,'Données projet'!$E$13+1,1))-AVERAGE(OFFSET($H$3,0,0,'Données projet'!$E$13+1,1))</f>
        <v>133.08385802816008</v>
      </c>
      <c r="CZ86" s="59">
        <f t="shared" si="96"/>
        <v>316.59112511251385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projet'!$B$13,Paramètres!$A$1:$I$88,7,0))</f>
        <v>0</v>
      </c>
      <c r="DD86" s="16">
        <f>IF(ISNA(VLOOKUP(A86,'Données projet'!$A$139:$I$159,6,0)),0%,VLOOKUP(A86,'Données projet'!$A$139:$I$159,6,0)*VLOOKUP('Données projet'!$B$13,Paramètres!$A$1:$I$88,7,0))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projet'!$B$13,Paramètres!$A$1:$I$88,3,0)*0.475*44/12</f>
        <v>25.277148698819513</v>
      </c>
      <c r="DG86" s="21">
        <f>EXP(-LN(2)/25)*DG85+(1-EXP(-LN(2)/25))/(LN(2)/25)*Calculateur!DB86*Calculateur!DD86*VLOOKUP('Données projet'!$B$13,Paramètres!$A$1:$I$88,3,0)*0.475*44/12</f>
        <v>0</v>
      </c>
      <c r="DH86" s="21">
        <f>EXP(-LN(2)/2)*DH85+(1-EXP(-LN(2)/2))/(LN(2)/2)*DB86*DE86*VLOOKUP('Données projet'!$B$13,Paramètres!$A$1:$I$88,3,0)*0.475*44/12</f>
        <v>5.9578824004400419E-8</v>
      </c>
      <c r="DI86" s="22">
        <f t="shared" si="69"/>
        <v>25.277148758398337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projet'!$B$14,Paramètres!$A$1:$I$88,3,0)*VLOOKUP('Données projet'!$B$14,Paramètres!$A$1:$I$88,5,0)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projet'!$B$14,Paramètres!$A$1:$I$88,7,0))</f>
        <v>0</v>
      </c>
      <c r="DY86" s="16">
        <f>IF(ISNA(VLOOKUP(A86,'Données projet'!$A$165:$I$185,6,0)),0%,VLOOKUP(A86,'Données projet'!$A$165:$I$185,6,0)*VLOOKUP('Données projet'!$B$14,Paramètres!$A$1:$I$88,7,0))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projet'!$B$14,Paramètres!$A$1:$I$88,3,0)*0.475*44/12</f>
        <v>#N/A</v>
      </c>
      <c r="EB86" s="21" t="e">
        <f>EXP(-LN(2)/25)*EB85+(1-EXP(-LN(2)/25))/(LN(2)/25)*Calculateur!DW86*Calculateur!DY86*VLOOKUP('Données projet'!$B$14,Paramètres!$A$1:$I$88,3,0)*0.475*44/12</f>
        <v>#N/A</v>
      </c>
      <c r="EC86" s="21" t="e">
        <f>EXP(-LN(2)/2)*EC85+(1-EXP(-LN(2)/2))/(LN(2)/2)*DW86*DZ86*VLOOKUP('Données projet'!$B$14,Paramètres!$A$1:$I$88,3,0)*0.475*44/12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projet'!$B$15,Paramètres!$A$1:$I$88,3,0)*VLOOKUP('Données projet'!$B$15,Paramètres!$A$1:$I$88,5,0)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projet'!$B$15,Paramètres!$A$1:$I$88,7,0))</f>
        <v>0</v>
      </c>
      <c r="ET86" s="16">
        <f>IF(ISNA(VLOOKUP(A86,'Données projet'!$A$191:$I$211,6,0)),0%,VLOOKUP(A86,'Données projet'!$A$191:$I$211,6,0)*VLOOKUP('Données projet'!$B$15,Paramètres!$A$1:$I$88,7,0))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projet'!$B$15,Paramètres!$A$1:$I$88,3,0)*0.475*44/12</f>
        <v>#N/A</v>
      </c>
      <c r="EW86" s="21" t="e">
        <f>EXP(-LN(2)/25)*EW85+(1-EXP(-LN(2)/25))/(LN(2)/25)*Calculateur!ER86*Calculateur!ET86*VLOOKUP('Données projet'!$B$15,Paramètres!$A$1:$I$88,3,0)*0.475*44/12</f>
        <v>#N/A</v>
      </c>
      <c r="EX86" s="21" t="e">
        <f>EXP(-LN(2)/2)*EX85+(1-EXP(-LN(2)/2))/(LN(2)/2)*ER86*EU86*VLOOKUP('Données projet'!$B$15,Paramètres!$A$1:$I$88,3,0)*0.475*44/12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projet'!$B$16,Paramètres!$A$1:$I$88,3,0)*VLOOKUP('Données projet'!$B$16,Paramètres!$A$1:$I$88,5,0)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projet'!$B$16,Paramètres!$A$1:$I$88,7,0))</f>
        <v>0</v>
      </c>
      <c r="FO86" s="16">
        <f>IF(ISNA(VLOOKUP(A86,'Données projet'!$A$217:$I$237,6,0)),0%,VLOOKUP(A86,'Données projet'!$A$217:$I$237,6,0)*VLOOKUP('Données projet'!$B$16,Paramètres!$A$1:$I$88,7,0))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projet'!$B$16,Paramètres!$A$1:$I$88,3,0)*0.475*44/12</f>
        <v>#N/A</v>
      </c>
      <c r="FR86" s="21" t="e">
        <f>EXP(-LN(2)/25)*FR85+(1-EXP(-LN(2)/25))/(LN(2)/25)*Calculateur!FM86*Calculateur!FO86*VLOOKUP('Données projet'!$B$16,Paramètres!$A$1:$I$88,3,0)*0.475*44/12</f>
        <v>#N/A</v>
      </c>
      <c r="FS86" s="21" t="e">
        <f>EXP(-LN(2)/2)*FS85+(1-EXP(-LN(2)/2))/(LN(2)/2)*FM86*FP86*VLOOKUP('Données projet'!$B$16,Paramètres!$A$1:$I$88,3,0)*0.475*44/12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projet'!$B$17,Paramètres!$A$1:$I$88,3,0)*VLOOKUP('Données projet'!$B$17,Paramètres!$A$1:$I$88,5,0)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projet'!$B$17,Paramètres!$A$1:$I$88,7,0))</f>
        <v>0</v>
      </c>
      <c r="GJ86" s="16">
        <f>IF(ISNA(VLOOKUP(A86,'Données projet'!$A$243:$I$263,6,0)),0%,VLOOKUP(A86,'Données projet'!$A$243:$I$263,6,0)*VLOOKUP('Données projet'!$B$17,Paramètres!$A$1:$I$88,7,0))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projet'!$B$17,Paramètres!$A$1:$I$88,3,0)*0.475*44/12</f>
        <v>#N/A</v>
      </c>
      <c r="GM86" s="21" t="e">
        <f>EXP(-LN(2)/25)*GM85+(1-EXP(-LN(2)/25))/(LN(2)/25)*Calculateur!GH86*Calculateur!GJ86*VLOOKUP('Données projet'!$B$17,Paramètres!$A$1:$I$88,3,0)*0.475*44/12</f>
        <v>#N/A</v>
      </c>
      <c r="GN86" s="21" t="e">
        <f>EXP(-LN(2)/2)*GN85+(1-EXP(-LN(2)/2))/(LN(2)/2)*GH86*GK86*VLOOKUP('Données projet'!$B$17,Paramètres!$A$1:$I$88,3,0)*0.475*44/12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projet'!$B$18,Paramètres!$A$1:$I$88,3,0)*VLOOKUP('Données projet'!$B$18,Paramètres!$A$1:$I$88,5,0)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projet'!$B$18,Paramètres!$A$1:$I$88,7,0))</f>
        <v>0</v>
      </c>
      <c r="HE86" s="16">
        <f>IF(ISNA(VLOOKUP(A86,'Données projet'!$A$269:$I$289,6,0)),0%,VLOOKUP(A86,'Données projet'!$A$269:$I$289,6,0)*VLOOKUP('Données projet'!$B$18,Paramètres!$A$1:$I$88,7,0))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projet'!$B$18,Paramètres!$A$1:$I$88,3,0)*0.475*44/12</f>
        <v>#N/A</v>
      </c>
      <c r="HH86" s="21" t="e">
        <f>EXP(-LN(2)/25)*HH85+(1-EXP(-LN(2)/25))/(LN(2)/25)*Calculateur!HC86*Calculateur!HE86*VLOOKUP('Données projet'!$B$18,Paramètres!$A$1:$I$88,3,0)*0.475*44/12</f>
        <v>#N/A</v>
      </c>
      <c r="HI86" s="21" t="e">
        <f>EXP(-LN(2)/2)*HI85+(1-EXP(-LN(2)/2))/(LN(2)/2)*HC86*HF86*VLOOKUP('Données projet'!$B$18,Paramètres!$A$1:$I$88,3,0)*0.475*44/12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projet'!$B$9,Paramètres!$A$1:$I$88,3,0)*VLOOKUP('Données projet'!$B$9,Paramètres!$A$1:$I$88,5,0)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195.73441209602686</v>
      </c>
      <c r="T87" s="59">
        <f t="shared" si="88"/>
        <v>219.19129224309006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projet'!$B$9,Paramètres!$A$1:$I$88,7,0))</f>
        <v>0</v>
      </c>
      <c r="X87" s="16">
        <f>IF(ISNA(VLOOKUP(A87,'Données projet'!$A$35:$I$55,6,0)),0%,VLOOKUP(A87,'Données projet'!$A$35:$I$55,6,0)*VLOOKUP('Données projet'!$B$9,Paramètres!$A$1:$I$88,7,0))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projet'!$B$9,Paramètres!$A$1:$I$88,3,0)*0.475*44/12</f>
        <v>5.2346789058917311</v>
      </c>
      <c r="AA87" s="21">
        <f>EXP(-LN(2)/25)*AA86+(1-EXP(-LN(2)/25))/(LN(2)/25)*Calculateur!V87*Calculateur!X87*VLOOKUP('Données projet'!$B$9,Paramètres!$A$1:$I$88,3,0)*0.475*44/12</f>
        <v>3.1678626826556591</v>
      </c>
      <c r="AB87" s="21">
        <f>EXP(-LN(2)/2)*AB86+(1-EXP(-LN(2)/2))/(LN(2)/2)*V87*Y87*VLOOKUP('Données projet'!$B$9,Paramètres!$A$1:$I$88,3,0)*0.475*44/12</f>
        <v>2.9558210251888964E-10</v>
      </c>
      <c r="AC87" s="22">
        <f t="shared" si="57"/>
        <v>8.402541588842972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-4.5474735088646412E-13</v>
      </c>
      <c r="AJ87" s="13">
        <f>AI87*VLOOKUP('Données projet'!$B$10,Paramètres!$A$1:$I$88,3,0)*VLOOKUP('Données projet'!$B$10,Paramètres!$A$1:$I$88,5,0)</f>
        <v>-2.7193891583010558E-13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246.59447135626942</v>
      </c>
      <c r="AO87" s="59">
        <f t="shared" si="90"/>
        <v>262.00382544285367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projet'!$B$10,Paramètres!$A$1:$I$88,7,0))</f>
        <v>0</v>
      </c>
      <c r="AS87" s="16">
        <f>IF(ISNA(VLOOKUP(A87,'Données projet'!$A$61:$I$81,6,0)),0%,VLOOKUP(A87,'Données projet'!$A$61:$I$81,6,0)*VLOOKUP('Données projet'!$B$10,Paramètres!$A$1:$I$88,7,0))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projet'!$B$10,Paramètres!$A$1:$I$88,3,0)*0.475*44/12</f>
        <v>0</v>
      </c>
      <c r="AV87" s="21">
        <f>EXP(-LN(2)/25)*AV86+(1-EXP(-LN(2)/25))/(LN(2)/25)*Calculateur!AQ87*Calculateur!AS87*VLOOKUP('Données projet'!$B$10,Paramètres!$A$1:$I$88,3,0)*0.475*44/12</f>
        <v>2.8751032554667453</v>
      </c>
      <c r="AW87" s="21">
        <f>EXP(-LN(2)/2)*AW86+(1-EXP(-LN(2)/2))/(LN(2)/2)*AQ87*AT87*VLOOKUP('Données projet'!$B$10,Paramètres!$A$1:$I$88,3,0)*0.475*44/12</f>
        <v>1.7679750825329849E-7</v>
      </c>
      <c r="AX87" s="21">
        <f t="shared" si="60"/>
        <v>2.8751034322642535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-5.6843418860808015E-13</v>
      </c>
      <c r="BE87" s="13">
        <f>BD87*VLOOKUP('Données projet'!$B$11,Paramètres!$A$1:$I$88,3,0)*VLOOKUP('Données projet'!$B$11,Paramètres!$A$1:$I$88,5,0)</f>
        <v>-3.177547114319168E-13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355.96253323046608</v>
      </c>
      <c r="BJ87" s="59">
        <f t="shared" si="92"/>
        <v>366.8380442809696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projet'!$B$11,Paramètres!$A$1:$I$88,7,0))</f>
        <v>0</v>
      </c>
      <c r="BN87" s="16">
        <f>IF(ISNA(VLOOKUP(A87,'Données projet'!$A$87:$I$107,6,0)),0%,VLOOKUP(A87,'Données projet'!$A$87:$I$107,6,0)*VLOOKUP('Données projet'!$B$11,Paramètres!$A$1:$I$88,7,0))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projet'!$B$11,Paramètres!$A$1:$I$88,3,0)*0.475*44/12</f>
        <v>0</v>
      </c>
      <c r="BQ87" s="21">
        <f>EXP(-LN(2)/25)*BQ86+(1-EXP(-LN(2)/25))/(LN(2)/25)*Calculateur!BL87*Calculateur!BN87*VLOOKUP('Données projet'!$B$11,Paramètres!$A$1:$I$88,3,0)*0.475*44/12</f>
        <v>5.0904096326055273</v>
      </c>
      <c r="BR87" s="21">
        <f>EXP(-LN(2)/2)*BR86+(1-EXP(-LN(2)/2))/(LN(2)/2)*BL87*BO87*VLOOKUP('Données projet'!$B$11,Paramètres!$A$1:$I$88,3,0)*0.475*44/12</f>
        <v>2.733577554483389E-7</v>
      </c>
      <c r="BS87" s="22">
        <f t="shared" si="63"/>
        <v>5.0904099059632824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5.6843418860808015E-14</v>
      </c>
      <c r="BZ87" s="13">
        <f>BY87*VLOOKUP('Données projet'!$B$12,Paramètres!$A$1:$I$88,3,0)*VLOOKUP('Données projet'!$B$12,Paramètres!$A$1:$I$88,5,0)</f>
        <v>3.7243808037601412E-14</v>
      </c>
      <c r="CA87" s="13">
        <f t="shared" si="93"/>
        <v>6.2767589361185393E-13</v>
      </c>
      <c r="CB87" s="20">
        <f t="shared" si="64"/>
        <v>1.1580684803728015E-12</v>
      </c>
      <c r="CC87" s="59">
        <f t="shared" si="65"/>
        <v>293.33333333333445</v>
      </c>
      <c r="CD87" s="59">
        <f ca="1">AVERAGE(OFFSET($CC$3,0,0,'Données projet'!$E$12+1,1))-AVERAGE(OFFSET($H$3,0,0,'Données projet'!$E$12+1,1))</f>
        <v>180.90147430936133</v>
      </c>
      <c r="CE87" s="59">
        <f t="shared" si="94"/>
        <v>226.87949199830018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projet'!$B$12,Paramètres!$A$1:$I$88,7,0))</f>
        <v>0</v>
      </c>
      <c r="CI87" s="16">
        <f>IF(ISNA(VLOOKUP(A87,'Données projet'!$A$113:$I$133,6,0)),0%,VLOOKUP(A87,'Données projet'!$A$113:$I$133,6,0)*VLOOKUP('Données projet'!$B$12,Paramètres!$A$1:$I$88,7,0))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projet'!$B$12,Paramètres!$A$1:$I$88,3,0)*0.475*44/12</f>
        <v>0</v>
      </c>
      <c r="CL87" s="21">
        <f>EXP(-LN(2)/25)*CL86+(1-EXP(-LN(2)/25))/(LN(2)/25)*Calculateur!CG87*Calculateur!CI87*VLOOKUP('Données projet'!$B$12,Paramètres!$A$1:$I$88,3,0)*0.475*44/12</f>
        <v>1.537325219150768</v>
      </c>
      <c r="CM87" s="21">
        <f>EXP(-LN(2)/2)*CM86+(1-EXP(-LN(2)/2))/(LN(2)/2)*CG87*CJ87*VLOOKUP('Données projet'!$B$12,Paramètres!$A$1:$I$88,3,0)*0.475*44/12</f>
        <v>6.6030471423567604E-8</v>
      </c>
      <c r="CN87" s="22">
        <f t="shared" si="66"/>
        <v>1.5373252851812393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5.6843418860808015E-14</v>
      </c>
      <c r="CU87" s="17">
        <f>CT87*VLOOKUP('Données projet'!$B$13,Paramètres!$A$1:$I$88,3,0)*VLOOKUP('Données projet'!$B$13,Paramètres!$A$1:$I$88,5,0)</f>
        <v>2.8908289095852525E-14</v>
      </c>
      <c r="CV87" s="13">
        <f t="shared" si="95"/>
        <v>5.0177780569126974E-13</v>
      </c>
      <c r="CW87" s="20">
        <f t="shared" si="67"/>
        <v>9.2427828175423786E-13</v>
      </c>
      <c r="CX87" s="59">
        <f t="shared" si="68"/>
        <v>293.33333333333422</v>
      </c>
      <c r="CY87" s="59">
        <f ca="1">AVERAGE(OFFSET($CX$3,0,0,'Données projet'!$E$13+1,1))-AVERAGE(OFFSET($H$3,0,0,'Données projet'!$E$13+1,1))</f>
        <v>133.08385802816008</v>
      </c>
      <c r="CZ87" s="59">
        <f t="shared" si="96"/>
        <v>316.59112511251385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projet'!$B$13,Paramètres!$A$1:$I$88,7,0))</f>
        <v>0</v>
      </c>
      <c r="DD87" s="16">
        <f>IF(ISNA(VLOOKUP(A87,'Données projet'!$A$139:$I$159,6,0)),0%,VLOOKUP(A87,'Données projet'!$A$139:$I$159,6,0)*VLOOKUP('Données projet'!$B$13,Paramètres!$A$1:$I$88,7,0))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projet'!$B$13,Paramètres!$A$1:$I$88,3,0)*0.475*44/12</f>
        <v>24.781479230374014</v>
      </c>
      <c r="DG87" s="21">
        <f>EXP(-LN(2)/25)*DG86+(1-EXP(-LN(2)/25))/(LN(2)/25)*Calculateur!DB87*Calculateur!DD87*VLOOKUP('Données projet'!$B$13,Paramètres!$A$1:$I$88,3,0)*0.475*44/12</f>
        <v>0</v>
      </c>
      <c r="DH87" s="21">
        <f>EXP(-LN(2)/2)*DH86+(1-EXP(-LN(2)/2))/(LN(2)/2)*DB87*DE87*VLOOKUP('Données projet'!$B$13,Paramètres!$A$1:$I$88,3,0)*0.475*44/12</f>
        <v>4.2128590468631395E-8</v>
      </c>
      <c r="DI87" s="22">
        <f t="shared" si="69"/>
        <v>24.781479272502605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projet'!$B$14,Paramètres!$A$1:$I$88,3,0)*VLOOKUP('Données projet'!$B$14,Paramètres!$A$1:$I$88,5,0)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projet'!$B$14,Paramètres!$A$1:$I$88,7,0))</f>
        <v>0</v>
      </c>
      <c r="DY87" s="16">
        <f>IF(ISNA(VLOOKUP(A87,'Données projet'!$A$165:$I$185,6,0)),0%,VLOOKUP(A87,'Données projet'!$A$165:$I$185,6,0)*VLOOKUP('Données projet'!$B$14,Paramètres!$A$1:$I$88,7,0))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projet'!$B$14,Paramètres!$A$1:$I$88,3,0)*0.475*44/12</f>
        <v>#N/A</v>
      </c>
      <c r="EB87" s="21" t="e">
        <f>EXP(-LN(2)/25)*EB86+(1-EXP(-LN(2)/25))/(LN(2)/25)*Calculateur!DW87*Calculateur!DY87*VLOOKUP('Données projet'!$B$14,Paramètres!$A$1:$I$88,3,0)*0.475*44/12</f>
        <v>#N/A</v>
      </c>
      <c r="EC87" s="21" t="e">
        <f>EXP(-LN(2)/2)*EC86+(1-EXP(-LN(2)/2))/(LN(2)/2)*DW87*DZ87*VLOOKUP('Données projet'!$B$14,Paramètres!$A$1:$I$88,3,0)*0.475*44/12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projet'!$B$15,Paramètres!$A$1:$I$88,3,0)*VLOOKUP('Données projet'!$B$15,Paramètres!$A$1:$I$88,5,0)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projet'!$B$15,Paramètres!$A$1:$I$88,7,0))</f>
        <v>0</v>
      </c>
      <c r="ET87" s="16">
        <f>IF(ISNA(VLOOKUP(A87,'Données projet'!$A$191:$I$211,6,0)),0%,VLOOKUP(A87,'Données projet'!$A$191:$I$211,6,0)*VLOOKUP('Données projet'!$B$15,Paramètres!$A$1:$I$88,7,0))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projet'!$B$15,Paramètres!$A$1:$I$88,3,0)*0.475*44/12</f>
        <v>#N/A</v>
      </c>
      <c r="EW87" s="21" t="e">
        <f>EXP(-LN(2)/25)*EW86+(1-EXP(-LN(2)/25))/(LN(2)/25)*Calculateur!ER87*Calculateur!ET87*VLOOKUP('Données projet'!$B$15,Paramètres!$A$1:$I$88,3,0)*0.475*44/12</f>
        <v>#N/A</v>
      </c>
      <c r="EX87" s="21" t="e">
        <f>EXP(-LN(2)/2)*EX86+(1-EXP(-LN(2)/2))/(LN(2)/2)*ER87*EU87*VLOOKUP('Données projet'!$B$15,Paramètres!$A$1:$I$88,3,0)*0.475*44/12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projet'!$B$16,Paramètres!$A$1:$I$88,3,0)*VLOOKUP('Données projet'!$B$16,Paramètres!$A$1:$I$88,5,0)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projet'!$B$16,Paramètres!$A$1:$I$88,7,0))</f>
        <v>0</v>
      </c>
      <c r="FO87" s="16">
        <f>IF(ISNA(VLOOKUP(A87,'Données projet'!$A$217:$I$237,6,0)),0%,VLOOKUP(A87,'Données projet'!$A$217:$I$237,6,0)*VLOOKUP('Données projet'!$B$16,Paramètres!$A$1:$I$88,7,0))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projet'!$B$16,Paramètres!$A$1:$I$88,3,0)*0.475*44/12</f>
        <v>#N/A</v>
      </c>
      <c r="FR87" s="21" t="e">
        <f>EXP(-LN(2)/25)*FR86+(1-EXP(-LN(2)/25))/(LN(2)/25)*Calculateur!FM87*Calculateur!FO87*VLOOKUP('Données projet'!$B$16,Paramètres!$A$1:$I$88,3,0)*0.475*44/12</f>
        <v>#N/A</v>
      </c>
      <c r="FS87" s="21" t="e">
        <f>EXP(-LN(2)/2)*FS86+(1-EXP(-LN(2)/2))/(LN(2)/2)*FM87*FP87*VLOOKUP('Données projet'!$B$16,Paramètres!$A$1:$I$88,3,0)*0.475*44/12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projet'!$B$17,Paramètres!$A$1:$I$88,3,0)*VLOOKUP('Données projet'!$B$17,Paramètres!$A$1:$I$88,5,0)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projet'!$B$17,Paramètres!$A$1:$I$88,7,0))</f>
        <v>0</v>
      </c>
      <c r="GJ87" s="16">
        <f>IF(ISNA(VLOOKUP(A87,'Données projet'!$A$243:$I$263,6,0)),0%,VLOOKUP(A87,'Données projet'!$A$243:$I$263,6,0)*VLOOKUP('Données projet'!$B$17,Paramètres!$A$1:$I$88,7,0))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projet'!$B$17,Paramètres!$A$1:$I$88,3,0)*0.475*44/12</f>
        <v>#N/A</v>
      </c>
      <c r="GM87" s="21" t="e">
        <f>EXP(-LN(2)/25)*GM86+(1-EXP(-LN(2)/25))/(LN(2)/25)*Calculateur!GH87*Calculateur!GJ87*VLOOKUP('Données projet'!$B$17,Paramètres!$A$1:$I$88,3,0)*0.475*44/12</f>
        <v>#N/A</v>
      </c>
      <c r="GN87" s="21" t="e">
        <f>EXP(-LN(2)/2)*GN86+(1-EXP(-LN(2)/2))/(LN(2)/2)*GH87*GK87*VLOOKUP('Données projet'!$B$17,Paramètres!$A$1:$I$88,3,0)*0.475*44/12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projet'!$B$18,Paramètres!$A$1:$I$88,3,0)*VLOOKUP('Données projet'!$B$18,Paramètres!$A$1:$I$88,5,0)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projet'!$B$18,Paramètres!$A$1:$I$88,7,0))</f>
        <v>0</v>
      </c>
      <c r="HE87" s="16">
        <f>IF(ISNA(VLOOKUP(A87,'Données projet'!$A$269:$I$289,6,0)),0%,VLOOKUP(A87,'Données projet'!$A$269:$I$289,6,0)*VLOOKUP('Données projet'!$B$18,Paramètres!$A$1:$I$88,7,0))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projet'!$B$18,Paramètres!$A$1:$I$88,3,0)*0.475*44/12</f>
        <v>#N/A</v>
      </c>
      <c r="HH87" s="21" t="e">
        <f>EXP(-LN(2)/25)*HH86+(1-EXP(-LN(2)/25))/(LN(2)/25)*Calculateur!HC87*Calculateur!HE87*VLOOKUP('Données projet'!$B$18,Paramètres!$A$1:$I$88,3,0)*0.475*44/12</f>
        <v>#N/A</v>
      </c>
      <c r="HI87" s="21" t="e">
        <f>EXP(-LN(2)/2)*HI86+(1-EXP(-LN(2)/2))/(LN(2)/2)*HC87*HF87*VLOOKUP('Données projet'!$B$18,Paramètres!$A$1:$I$88,3,0)*0.475*44/12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projet'!$B$9,Paramètres!$A$1:$I$88,3,0)*VLOOKUP('Données projet'!$B$9,Paramètres!$A$1:$I$88,5,0)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195.73441209602686</v>
      </c>
      <c r="T88" s="59">
        <f t="shared" si="88"/>
        <v>219.19129224309006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projet'!$B$9,Paramètres!$A$1:$I$88,7,0))</f>
        <v>0</v>
      </c>
      <c r="X88" s="16">
        <f>IF(ISNA(VLOOKUP(A88,'Données projet'!$A$35:$I$55,6,0)),0%,VLOOKUP(A88,'Données projet'!$A$35:$I$55,6,0)*VLOOKUP('Données projet'!$B$9,Paramètres!$A$1:$I$88,7,0))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projet'!$B$9,Paramètres!$A$1:$I$88,3,0)*0.475*44/12</f>
        <v>5.1320300453860606</v>
      </c>
      <c r="AA88" s="21">
        <f>EXP(-LN(2)/25)*AA87+(1-EXP(-LN(2)/25))/(LN(2)/25)*Calculateur!V88*Calculateur!X88*VLOOKUP('Données projet'!$B$9,Paramètres!$A$1:$I$88,3,0)*0.475*44/12</f>
        <v>3.081237311007782</v>
      </c>
      <c r="AB88" s="21">
        <f>EXP(-LN(2)/2)*AB87+(1-EXP(-LN(2)/2))/(LN(2)/2)*V88*Y88*VLOOKUP('Données projet'!$B$9,Paramètres!$A$1:$I$88,3,0)*0.475*44/12</f>
        <v>2.0900810908848415E-10</v>
      </c>
      <c r="AC88" s="22">
        <f t="shared" si="57"/>
        <v>8.2132673566028505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-4.5474735088646412E-13</v>
      </c>
      <c r="AJ88" s="13">
        <f>AI88*VLOOKUP('Données projet'!$B$10,Paramètres!$A$1:$I$88,3,0)*VLOOKUP('Données projet'!$B$10,Paramètres!$A$1:$I$88,5,0)</f>
        <v>-2.7193891583010558E-13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246.59447135626942</v>
      </c>
      <c r="AO88" s="59">
        <f t="shared" si="90"/>
        <v>262.00382544285367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projet'!$B$10,Paramètres!$A$1:$I$88,7,0))</f>
        <v>0</v>
      </c>
      <c r="AS88" s="16">
        <f>IF(ISNA(VLOOKUP(A88,'Données projet'!$A$61:$I$81,6,0)),0%,VLOOKUP(A88,'Données projet'!$A$61:$I$81,6,0)*VLOOKUP('Données projet'!$B$10,Paramètres!$A$1:$I$88,7,0))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projet'!$B$10,Paramètres!$A$1:$I$88,3,0)*0.475*44/12</f>
        <v>0</v>
      </c>
      <c r="AV88" s="21">
        <f>EXP(-LN(2)/25)*AV87+(1-EXP(-LN(2)/25))/(LN(2)/25)*Calculateur!AQ88*Calculateur!AS88*VLOOKUP('Données projet'!$B$10,Paramètres!$A$1:$I$88,3,0)*0.475*44/12</f>
        <v>2.796483405750898</v>
      </c>
      <c r="AW88" s="21">
        <f>EXP(-LN(2)/2)*AW87+(1-EXP(-LN(2)/2))/(LN(2)/2)*AQ88*AT88*VLOOKUP('Données projet'!$B$10,Paramètres!$A$1:$I$88,3,0)*0.475*44/12</f>
        <v>1.2501471698279196E-7</v>
      </c>
      <c r="AX88" s="21">
        <f t="shared" si="60"/>
        <v>2.7964835307656148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-5.6843418860808015E-13</v>
      </c>
      <c r="BE88" s="13">
        <f>BD88*VLOOKUP('Données projet'!$B$11,Paramètres!$A$1:$I$88,3,0)*VLOOKUP('Données projet'!$B$11,Paramètres!$A$1:$I$88,5,0)</f>
        <v>-3.177547114319168E-13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355.96253323046608</v>
      </c>
      <c r="BJ88" s="59">
        <f t="shared" si="92"/>
        <v>366.8380442809696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projet'!$B$11,Paramètres!$A$1:$I$88,7,0))</f>
        <v>0</v>
      </c>
      <c r="BN88" s="16">
        <f>IF(ISNA(VLOOKUP(A88,'Données projet'!$A$87:$I$107,6,0)),0%,VLOOKUP(A88,'Données projet'!$A$87:$I$107,6,0)*VLOOKUP('Données projet'!$B$11,Paramètres!$A$1:$I$88,7,0))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projet'!$B$11,Paramètres!$A$1:$I$88,3,0)*0.475*44/12</f>
        <v>0</v>
      </c>
      <c r="BQ88" s="21">
        <f>EXP(-LN(2)/25)*BQ87+(1-EXP(-LN(2)/25))/(LN(2)/25)*Calculateur!BL88*Calculateur!BN88*VLOOKUP('Données projet'!$B$11,Paramètres!$A$1:$I$88,3,0)*0.475*44/12</f>
        <v>4.9512121135089204</v>
      </c>
      <c r="BR88" s="21">
        <f>EXP(-LN(2)/2)*BR87+(1-EXP(-LN(2)/2))/(LN(2)/2)*BL88*BO88*VLOOKUP('Données projet'!$B$11,Paramètres!$A$1:$I$88,3,0)*0.475*44/12</f>
        <v>1.9329312256745435E-7</v>
      </c>
      <c r="BS88" s="22">
        <f t="shared" si="63"/>
        <v>4.9512123068020433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5.6843418860808015E-14</v>
      </c>
      <c r="BZ88" s="13">
        <f>BY88*VLOOKUP('Données projet'!$B$12,Paramètres!$A$1:$I$88,3,0)*VLOOKUP('Données projet'!$B$12,Paramètres!$A$1:$I$88,5,0)</f>
        <v>3.7243808037601412E-14</v>
      </c>
      <c r="CA88" s="13">
        <f t="shared" si="93"/>
        <v>6.2767589361185393E-13</v>
      </c>
      <c r="CB88" s="20">
        <f t="shared" si="64"/>
        <v>1.1580684803728015E-12</v>
      </c>
      <c r="CC88" s="59">
        <f t="shared" si="65"/>
        <v>293.33333333333445</v>
      </c>
      <c r="CD88" s="59">
        <f ca="1">AVERAGE(OFFSET($CC$3,0,0,'Données projet'!$E$12+1,1))-AVERAGE(OFFSET($H$3,0,0,'Données projet'!$E$12+1,1))</f>
        <v>180.90147430936133</v>
      </c>
      <c r="CE88" s="59">
        <f t="shared" si="94"/>
        <v>226.87949199830018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projet'!$B$12,Paramètres!$A$1:$I$88,7,0))</f>
        <v>0</v>
      </c>
      <c r="CI88" s="16">
        <f>IF(ISNA(VLOOKUP(A88,'Données projet'!$A$113:$I$133,6,0)),0%,VLOOKUP(A88,'Données projet'!$A$113:$I$133,6,0)*VLOOKUP('Données projet'!$B$12,Paramètres!$A$1:$I$88,7,0))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projet'!$B$12,Paramètres!$A$1:$I$88,3,0)*0.475*44/12</f>
        <v>0</v>
      </c>
      <c r="CL88" s="21">
        <f>EXP(-LN(2)/25)*CL87+(1-EXP(-LN(2)/25))/(LN(2)/25)*Calculateur!CG88*Calculateur!CI88*VLOOKUP('Données projet'!$B$12,Paramètres!$A$1:$I$88,3,0)*0.475*44/12</f>
        <v>1.4952869801886706</v>
      </c>
      <c r="CM88" s="21">
        <f>EXP(-LN(2)/2)*CM87+(1-EXP(-LN(2)/2))/(LN(2)/2)*CG88*CJ88*VLOOKUP('Données projet'!$B$12,Paramètres!$A$1:$I$88,3,0)*0.475*44/12</f>
        <v>4.6690594108549198E-8</v>
      </c>
      <c r="CN88" s="22">
        <f t="shared" si="66"/>
        <v>1.4952870268792646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5.6843418860808015E-14</v>
      </c>
      <c r="CU88" s="17">
        <f>CT88*VLOOKUP('Données projet'!$B$13,Paramètres!$A$1:$I$88,3,0)*VLOOKUP('Données projet'!$B$13,Paramètres!$A$1:$I$88,5,0)</f>
        <v>2.8908289095852525E-14</v>
      </c>
      <c r="CV88" s="13">
        <f t="shared" si="95"/>
        <v>5.0177780569126974E-13</v>
      </c>
      <c r="CW88" s="20">
        <f t="shared" si="67"/>
        <v>9.2427828175423786E-13</v>
      </c>
      <c r="CX88" s="59">
        <f t="shared" si="68"/>
        <v>293.33333333333422</v>
      </c>
      <c r="CY88" s="59">
        <f ca="1">AVERAGE(OFFSET($CX$3,0,0,'Données projet'!$E$13+1,1))-AVERAGE(OFFSET($H$3,0,0,'Données projet'!$E$13+1,1))</f>
        <v>133.08385802816008</v>
      </c>
      <c r="CZ88" s="59">
        <f t="shared" si="96"/>
        <v>316.59112511251385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projet'!$B$13,Paramètres!$A$1:$I$88,7,0))</f>
        <v>0</v>
      </c>
      <c r="DD88" s="16">
        <f>IF(ISNA(VLOOKUP(A88,'Données projet'!$A$139:$I$159,6,0)),0%,VLOOKUP(A88,'Données projet'!$A$139:$I$159,6,0)*VLOOKUP('Données projet'!$B$13,Paramètres!$A$1:$I$88,7,0))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projet'!$B$13,Paramètres!$A$1:$I$88,3,0)*0.475*44/12</f>
        <v>24.295529537876206</v>
      </c>
      <c r="DG88" s="21">
        <f>EXP(-LN(2)/25)*DG87+(1-EXP(-LN(2)/25))/(LN(2)/25)*Calculateur!DB88*Calculateur!DD88*VLOOKUP('Données projet'!$B$13,Paramètres!$A$1:$I$88,3,0)*0.475*44/12</f>
        <v>0</v>
      </c>
      <c r="DH88" s="21">
        <f>EXP(-LN(2)/2)*DH87+(1-EXP(-LN(2)/2))/(LN(2)/2)*DB88*DE88*VLOOKUP('Données projet'!$B$13,Paramètres!$A$1:$I$88,3,0)*0.475*44/12</f>
        <v>2.9789412002200213E-8</v>
      </c>
      <c r="DI88" s="22">
        <f t="shared" si="69"/>
        <v>24.295529567665618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projet'!$B$14,Paramètres!$A$1:$I$88,3,0)*VLOOKUP('Données projet'!$B$14,Paramètres!$A$1:$I$88,5,0)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projet'!$B$14,Paramètres!$A$1:$I$88,7,0))</f>
        <v>0</v>
      </c>
      <c r="DY88" s="16">
        <f>IF(ISNA(VLOOKUP(A88,'Données projet'!$A$165:$I$185,6,0)),0%,VLOOKUP(A88,'Données projet'!$A$165:$I$185,6,0)*VLOOKUP('Données projet'!$B$14,Paramètres!$A$1:$I$88,7,0))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projet'!$B$14,Paramètres!$A$1:$I$88,3,0)*0.475*44/12</f>
        <v>#N/A</v>
      </c>
      <c r="EB88" s="21" t="e">
        <f>EXP(-LN(2)/25)*EB87+(1-EXP(-LN(2)/25))/(LN(2)/25)*Calculateur!DW88*Calculateur!DY88*VLOOKUP('Données projet'!$B$14,Paramètres!$A$1:$I$88,3,0)*0.475*44/12</f>
        <v>#N/A</v>
      </c>
      <c r="EC88" s="21" t="e">
        <f>EXP(-LN(2)/2)*EC87+(1-EXP(-LN(2)/2))/(LN(2)/2)*DW88*DZ88*VLOOKUP('Données projet'!$B$14,Paramètres!$A$1:$I$88,3,0)*0.475*44/12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projet'!$B$15,Paramètres!$A$1:$I$88,3,0)*VLOOKUP('Données projet'!$B$15,Paramètres!$A$1:$I$88,5,0)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projet'!$B$15,Paramètres!$A$1:$I$88,7,0))</f>
        <v>0</v>
      </c>
      <c r="ET88" s="16">
        <f>IF(ISNA(VLOOKUP(A88,'Données projet'!$A$191:$I$211,6,0)),0%,VLOOKUP(A88,'Données projet'!$A$191:$I$211,6,0)*VLOOKUP('Données projet'!$B$15,Paramètres!$A$1:$I$88,7,0))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projet'!$B$15,Paramètres!$A$1:$I$88,3,0)*0.475*44/12</f>
        <v>#N/A</v>
      </c>
      <c r="EW88" s="21" t="e">
        <f>EXP(-LN(2)/25)*EW87+(1-EXP(-LN(2)/25))/(LN(2)/25)*Calculateur!ER88*Calculateur!ET88*VLOOKUP('Données projet'!$B$15,Paramètres!$A$1:$I$88,3,0)*0.475*44/12</f>
        <v>#N/A</v>
      </c>
      <c r="EX88" s="21" t="e">
        <f>EXP(-LN(2)/2)*EX87+(1-EXP(-LN(2)/2))/(LN(2)/2)*ER88*EU88*VLOOKUP('Données projet'!$B$15,Paramètres!$A$1:$I$88,3,0)*0.475*44/12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projet'!$B$16,Paramètres!$A$1:$I$88,3,0)*VLOOKUP('Données projet'!$B$16,Paramètres!$A$1:$I$88,5,0)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projet'!$B$16,Paramètres!$A$1:$I$88,7,0))</f>
        <v>0</v>
      </c>
      <c r="FO88" s="16">
        <f>IF(ISNA(VLOOKUP(A88,'Données projet'!$A$217:$I$237,6,0)),0%,VLOOKUP(A88,'Données projet'!$A$217:$I$237,6,0)*VLOOKUP('Données projet'!$B$16,Paramètres!$A$1:$I$88,7,0))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projet'!$B$16,Paramètres!$A$1:$I$88,3,0)*0.475*44/12</f>
        <v>#N/A</v>
      </c>
      <c r="FR88" s="21" t="e">
        <f>EXP(-LN(2)/25)*FR87+(1-EXP(-LN(2)/25))/(LN(2)/25)*Calculateur!FM88*Calculateur!FO88*VLOOKUP('Données projet'!$B$16,Paramètres!$A$1:$I$88,3,0)*0.475*44/12</f>
        <v>#N/A</v>
      </c>
      <c r="FS88" s="21" t="e">
        <f>EXP(-LN(2)/2)*FS87+(1-EXP(-LN(2)/2))/(LN(2)/2)*FM88*FP88*VLOOKUP('Données projet'!$B$16,Paramètres!$A$1:$I$88,3,0)*0.475*44/12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projet'!$B$17,Paramètres!$A$1:$I$88,3,0)*VLOOKUP('Données projet'!$B$17,Paramètres!$A$1:$I$88,5,0)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projet'!$B$17,Paramètres!$A$1:$I$88,7,0))</f>
        <v>0</v>
      </c>
      <c r="GJ88" s="16">
        <f>IF(ISNA(VLOOKUP(A88,'Données projet'!$A$243:$I$263,6,0)),0%,VLOOKUP(A88,'Données projet'!$A$243:$I$263,6,0)*VLOOKUP('Données projet'!$B$17,Paramètres!$A$1:$I$88,7,0))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projet'!$B$17,Paramètres!$A$1:$I$88,3,0)*0.475*44/12</f>
        <v>#N/A</v>
      </c>
      <c r="GM88" s="21" t="e">
        <f>EXP(-LN(2)/25)*GM87+(1-EXP(-LN(2)/25))/(LN(2)/25)*Calculateur!GH88*Calculateur!GJ88*VLOOKUP('Données projet'!$B$17,Paramètres!$A$1:$I$88,3,0)*0.475*44/12</f>
        <v>#N/A</v>
      </c>
      <c r="GN88" s="21" t="e">
        <f>EXP(-LN(2)/2)*GN87+(1-EXP(-LN(2)/2))/(LN(2)/2)*GH88*GK88*VLOOKUP('Données projet'!$B$17,Paramètres!$A$1:$I$88,3,0)*0.475*44/12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projet'!$B$18,Paramètres!$A$1:$I$88,3,0)*VLOOKUP('Données projet'!$B$18,Paramètres!$A$1:$I$88,5,0)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projet'!$B$18,Paramètres!$A$1:$I$88,7,0))</f>
        <v>0</v>
      </c>
      <c r="HE88" s="16">
        <f>IF(ISNA(VLOOKUP(A88,'Données projet'!$A$269:$I$289,6,0)),0%,VLOOKUP(A88,'Données projet'!$A$269:$I$289,6,0)*VLOOKUP('Données projet'!$B$18,Paramètres!$A$1:$I$88,7,0))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projet'!$B$18,Paramètres!$A$1:$I$88,3,0)*0.475*44/12</f>
        <v>#N/A</v>
      </c>
      <c r="HH88" s="21" t="e">
        <f>EXP(-LN(2)/25)*HH87+(1-EXP(-LN(2)/25))/(LN(2)/25)*Calculateur!HC88*Calculateur!HE88*VLOOKUP('Données projet'!$B$18,Paramètres!$A$1:$I$88,3,0)*0.475*44/12</f>
        <v>#N/A</v>
      </c>
      <c r="HI88" s="21" t="e">
        <f>EXP(-LN(2)/2)*HI87+(1-EXP(-LN(2)/2))/(LN(2)/2)*HC88*HF88*VLOOKUP('Données projet'!$B$18,Paramètres!$A$1:$I$88,3,0)*0.475*44/12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projet'!$B$9,Paramètres!$A$1:$I$88,3,0)*VLOOKUP('Données projet'!$B$9,Paramètres!$A$1:$I$88,5,0)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195.73441209602686</v>
      </c>
      <c r="T89" s="59">
        <f t="shared" si="88"/>
        <v>219.19129224309006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projet'!$B$9,Paramètres!$A$1:$I$88,7,0))</f>
        <v>0</v>
      </c>
      <c r="X89" s="16">
        <f>IF(ISNA(VLOOKUP(A89,'Données projet'!$A$35:$I$55,6,0)),0%,VLOOKUP(A89,'Données projet'!$A$35:$I$55,6,0)*VLOOKUP('Données projet'!$B$9,Paramètres!$A$1:$I$88,7,0))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projet'!$B$9,Paramètres!$A$1:$I$88,3,0)*0.475*44/12</f>
        <v>5.0313940664252828</v>
      </c>
      <c r="AA89" s="21">
        <f>EXP(-LN(2)/25)*AA88+(1-EXP(-LN(2)/25))/(LN(2)/25)*Calculateur!V89*Calculateur!X89*VLOOKUP('Données projet'!$B$9,Paramètres!$A$1:$I$88,3,0)*0.475*44/12</f>
        <v>2.9969807147030463</v>
      </c>
      <c r="AB89" s="21">
        <f>EXP(-LN(2)/2)*AB88+(1-EXP(-LN(2)/2))/(LN(2)/2)*V89*Y89*VLOOKUP('Données projet'!$B$9,Paramètres!$A$1:$I$88,3,0)*0.475*44/12</f>
        <v>1.4779105125944482E-10</v>
      </c>
      <c r="AC89" s="22">
        <f t="shared" si="57"/>
        <v>8.0283747812761206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-4.5474735088646412E-13</v>
      </c>
      <c r="AJ89" s="13">
        <f>AI89*VLOOKUP('Données projet'!$B$10,Paramètres!$A$1:$I$88,3,0)*VLOOKUP('Données projet'!$B$10,Paramètres!$A$1:$I$88,5,0)</f>
        <v>-2.7193891583010558E-13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246.59447135626942</v>
      </c>
      <c r="AO89" s="59">
        <f t="shared" si="90"/>
        <v>262.00382544285367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projet'!$B$10,Paramètres!$A$1:$I$88,7,0))</f>
        <v>0</v>
      </c>
      <c r="AS89" s="16">
        <f>IF(ISNA(VLOOKUP(A89,'Données projet'!$A$61:$I$81,6,0)),0%,VLOOKUP(A89,'Données projet'!$A$61:$I$81,6,0)*VLOOKUP('Données projet'!$B$10,Paramètres!$A$1:$I$88,7,0))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projet'!$B$10,Paramètres!$A$1:$I$88,3,0)*0.475*44/12</f>
        <v>0</v>
      </c>
      <c r="AV89" s="21">
        <f>EXP(-LN(2)/25)*AV88+(1-EXP(-LN(2)/25))/(LN(2)/25)*Calculateur!AQ89*Calculateur!AS89*VLOOKUP('Données projet'!$B$10,Paramètres!$A$1:$I$88,3,0)*0.475*44/12</f>
        <v>2.7200134199599688</v>
      </c>
      <c r="AW89" s="21">
        <f>EXP(-LN(2)/2)*AW88+(1-EXP(-LN(2)/2))/(LN(2)/2)*AQ89*AT89*VLOOKUP('Données projet'!$B$10,Paramètres!$A$1:$I$88,3,0)*0.475*44/12</f>
        <v>8.8398754126649244E-8</v>
      </c>
      <c r="AX89" s="21">
        <f t="shared" si="60"/>
        <v>2.7200135083587229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-5.6843418860808015E-13</v>
      </c>
      <c r="BE89" s="13">
        <f>BD89*VLOOKUP('Données projet'!$B$11,Paramètres!$A$1:$I$88,3,0)*VLOOKUP('Données projet'!$B$11,Paramètres!$A$1:$I$88,5,0)</f>
        <v>-3.177547114319168E-13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355.96253323046608</v>
      </c>
      <c r="BJ89" s="59">
        <f t="shared" si="92"/>
        <v>366.8380442809696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projet'!$B$11,Paramètres!$A$1:$I$88,7,0))</f>
        <v>0</v>
      </c>
      <c r="BN89" s="16">
        <f>IF(ISNA(VLOOKUP(A89,'Données projet'!$A$87:$I$107,6,0)),0%,VLOOKUP(A89,'Données projet'!$A$87:$I$107,6,0)*VLOOKUP('Données projet'!$B$11,Paramètres!$A$1:$I$88,7,0))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projet'!$B$11,Paramètres!$A$1:$I$88,3,0)*0.475*44/12</f>
        <v>0</v>
      </c>
      <c r="BQ89" s="21">
        <f>EXP(-LN(2)/25)*BQ88+(1-EXP(-LN(2)/25))/(LN(2)/25)*Calculateur!BL89*Calculateur!BN89*VLOOKUP('Données projet'!$B$11,Paramètres!$A$1:$I$88,3,0)*0.475*44/12</f>
        <v>4.8158209578920905</v>
      </c>
      <c r="BR89" s="21">
        <f>EXP(-LN(2)/2)*BR88+(1-EXP(-LN(2)/2))/(LN(2)/2)*BL89*BO89*VLOOKUP('Données projet'!$B$11,Paramètres!$A$1:$I$88,3,0)*0.475*44/12</f>
        <v>1.3667887772416945E-7</v>
      </c>
      <c r="BS89" s="22">
        <f t="shared" si="63"/>
        <v>4.8158210945709685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5.6843418860808015E-14</v>
      </c>
      <c r="BZ89" s="13">
        <f>BY89*VLOOKUP('Données projet'!$B$12,Paramètres!$A$1:$I$88,3,0)*VLOOKUP('Données projet'!$B$12,Paramètres!$A$1:$I$88,5,0)</f>
        <v>3.7243808037601412E-14</v>
      </c>
      <c r="CA89" s="13">
        <f t="shared" si="93"/>
        <v>6.2767589361185393E-13</v>
      </c>
      <c r="CB89" s="20">
        <f t="shared" si="64"/>
        <v>1.1580684803728015E-12</v>
      </c>
      <c r="CC89" s="59">
        <f t="shared" si="65"/>
        <v>293.33333333333445</v>
      </c>
      <c r="CD89" s="59">
        <f ca="1">AVERAGE(OFFSET($CC$3,0,0,'Données projet'!$E$12+1,1))-AVERAGE(OFFSET($H$3,0,0,'Données projet'!$E$12+1,1))</f>
        <v>180.90147430936133</v>
      </c>
      <c r="CE89" s="59">
        <f t="shared" si="94"/>
        <v>226.87949199830018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projet'!$B$12,Paramètres!$A$1:$I$88,7,0))</f>
        <v>0</v>
      </c>
      <c r="CI89" s="16">
        <f>IF(ISNA(VLOOKUP(A89,'Données projet'!$A$113:$I$133,6,0)),0%,VLOOKUP(A89,'Données projet'!$A$113:$I$133,6,0)*VLOOKUP('Données projet'!$B$12,Paramètres!$A$1:$I$88,7,0))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projet'!$B$12,Paramètres!$A$1:$I$88,3,0)*0.475*44/12</f>
        <v>0</v>
      </c>
      <c r="CL89" s="21">
        <f>EXP(-LN(2)/25)*CL88+(1-EXP(-LN(2)/25))/(LN(2)/25)*Calculateur!CG89*Calculateur!CI89*VLOOKUP('Données projet'!$B$12,Paramètres!$A$1:$I$88,3,0)*0.475*44/12</f>
        <v>1.4543982790816865</v>
      </c>
      <c r="CM89" s="21">
        <f>EXP(-LN(2)/2)*CM88+(1-EXP(-LN(2)/2))/(LN(2)/2)*CG89*CJ89*VLOOKUP('Données projet'!$B$12,Paramètres!$A$1:$I$88,3,0)*0.475*44/12</f>
        <v>3.3015235711783802E-8</v>
      </c>
      <c r="CN89" s="22">
        <f t="shared" si="66"/>
        <v>1.4543983120969222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5.6843418860808015E-14</v>
      </c>
      <c r="CU89" s="17">
        <f>CT89*VLOOKUP('Données projet'!$B$13,Paramètres!$A$1:$I$88,3,0)*VLOOKUP('Données projet'!$B$13,Paramètres!$A$1:$I$88,5,0)</f>
        <v>2.8908289095852525E-14</v>
      </c>
      <c r="CV89" s="13">
        <f t="shared" si="95"/>
        <v>5.0177780569126974E-13</v>
      </c>
      <c r="CW89" s="20">
        <f t="shared" si="67"/>
        <v>9.2427828175423786E-13</v>
      </c>
      <c r="CX89" s="59">
        <f t="shared" si="68"/>
        <v>293.33333333333422</v>
      </c>
      <c r="CY89" s="59">
        <f ca="1">AVERAGE(OFFSET($CX$3,0,0,'Données projet'!$E$13+1,1))-AVERAGE(OFFSET($H$3,0,0,'Données projet'!$E$13+1,1))</f>
        <v>133.08385802816008</v>
      </c>
      <c r="CZ89" s="59">
        <f t="shared" si="96"/>
        <v>316.59112511251385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projet'!$B$13,Paramètres!$A$1:$I$88,7,0))</f>
        <v>0</v>
      </c>
      <c r="DD89" s="16">
        <f>IF(ISNA(VLOOKUP(A89,'Données projet'!$A$139:$I$159,6,0)),0%,VLOOKUP(A89,'Données projet'!$A$139:$I$159,6,0)*VLOOKUP('Données projet'!$B$13,Paramètres!$A$1:$I$88,7,0))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projet'!$B$13,Paramètres!$A$1:$I$88,3,0)*0.475*44/12</f>
        <v>23.819109022448234</v>
      </c>
      <c r="DG89" s="21">
        <f>EXP(-LN(2)/25)*DG88+(1-EXP(-LN(2)/25))/(LN(2)/25)*Calculateur!DB89*Calculateur!DD89*VLOOKUP('Données projet'!$B$13,Paramètres!$A$1:$I$88,3,0)*0.475*44/12</f>
        <v>0</v>
      </c>
      <c r="DH89" s="21">
        <f>EXP(-LN(2)/2)*DH88+(1-EXP(-LN(2)/2))/(LN(2)/2)*DB89*DE89*VLOOKUP('Données projet'!$B$13,Paramètres!$A$1:$I$88,3,0)*0.475*44/12</f>
        <v>2.1064295234315701E-8</v>
      </c>
      <c r="DI89" s="22">
        <f t="shared" si="69"/>
        <v>23.81910904351253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projet'!$B$14,Paramètres!$A$1:$I$88,3,0)*VLOOKUP('Données projet'!$B$14,Paramètres!$A$1:$I$88,5,0)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projet'!$B$14,Paramètres!$A$1:$I$88,7,0))</f>
        <v>0</v>
      </c>
      <c r="DY89" s="16">
        <f>IF(ISNA(VLOOKUP(A89,'Données projet'!$A$165:$I$185,6,0)),0%,VLOOKUP(A89,'Données projet'!$A$165:$I$185,6,0)*VLOOKUP('Données projet'!$B$14,Paramètres!$A$1:$I$88,7,0))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projet'!$B$14,Paramètres!$A$1:$I$88,3,0)*0.475*44/12</f>
        <v>#N/A</v>
      </c>
      <c r="EB89" s="21" t="e">
        <f>EXP(-LN(2)/25)*EB88+(1-EXP(-LN(2)/25))/(LN(2)/25)*Calculateur!DW89*Calculateur!DY89*VLOOKUP('Données projet'!$B$14,Paramètres!$A$1:$I$88,3,0)*0.475*44/12</f>
        <v>#N/A</v>
      </c>
      <c r="EC89" s="21" t="e">
        <f>EXP(-LN(2)/2)*EC88+(1-EXP(-LN(2)/2))/(LN(2)/2)*DW89*DZ89*VLOOKUP('Données projet'!$B$14,Paramètres!$A$1:$I$88,3,0)*0.475*44/12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projet'!$B$15,Paramètres!$A$1:$I$88,3,0)*VLOOKUP('Données projet'!$B$15,Paramètres!$A$1:$I$88,5,0)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projet'!$B$15,Paramètres!$A$1:$I$88,7,0))</f>
        <v>0</v>
      </c>
      <c r="ET89" s="16">
        <f>IF(ISNA(VLOOKUP(A89,'Données projet'!$A$191:$I$211,6,0)),0%,VLOOKUP(A89,'Données projet'!$A$191:$I$211,6,0)*VLOOKUP('Données projet'!$B$15,Paramètres!$A$1:$I$88,7,0))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projet'!$B$15,Paramètres!$A$1:$I$88,3,0)*0.475*44/12</f>
        <v>#N/A</v>
      </c>
      <c r="EW89" s="21" t="e">
        <f>EXP(-LN(2)/25)*EW88+(1-EXP(-LN(2)/25))/(LN(2)/25)*Calculateur!ER89*Calculateur!ET89*VLOOKUP('Données projet'!$B$15,Paramètres!$A$1:$I$88,3,0)*0.475*44/12</f>
        <v>#N/A</v>
      </c>
      <c r="EX89" s="21" t="e">
        <f>EXP(-LN(2)/2)*EX88+(1-EXP(-LN(2)/2))/(LN(2)/2)*ER89*EU89*VLOOKUP('Données projet'!$B$15,Paramètres!$A$1:$I$88,3,0)*0.475*44/12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projet'!$B$16,Paramètres!$A$1:$I$88,3,0)*VLOOKUP('Données projet'!$B$16,Paramètres!$A$1:$I$88,5,0)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projet'!$B$16,Paramètres!$A$1:$I$88,7,0))</f>
        <v>0</v>
      </c>
      <c r="FO89" s="16">
        <f>IF(ISNA(VLOOKUP(A89,'Données projet'!$A$217:$I$237,6,0)),0%,VLOOKUP(A89,'Données projet'!$A$217:$I$237,6,0)*VLOOKUP('Données projet'!$B$16,Paramètres!$A$1:$I$88,7,0))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projet'!$B$16,Paramètres!$A$1:$I$88,3,0)*0.475*44/12</f>
        <v>#N/A</v>
      </c>
      <c r="FR89" s="21" t="e">
        <f>EXP(-LN(2)/25)*FR88+(1-EXP(-LN(2)/25))/(LN(2)/25)*Calculateur!FM89*Calculateur!FO89*VLOOKUP('Données projet'!$B$16,Paramètres!$A$1:$I$88,3,0)*0.475*44/12</f>
        <v>#N/A</v>
      </c>
      <c r="FS89" s="21" t="e">
        <f>EXP(-LN(2)/2)*FS88+(1-EXP(-LN(2)/2))/(LN(2)/2)*FM89*FP89*VLOOKUP('Données projet'!$B$16,Paramètres!$A$1:$I$88,3,0)*0.475*44/12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projet'!$B$17,Paramètres!$A$1:$I$88,3,0)*VLOOKUP('Données projet'!$B$17,Paramètres!$A$1:$I$88,5,0)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projet'!$B$17,Paramètres!$A$1:$I$88,7,0))</f>
        <v>0</v>
      </c>
      <c r="GJ89" s="16">
        <f>IF(ISNA(VLOOKUP(A89,'Données projet'!$A$243:$I$263,6,0)),0%,VLOOKUP(A89,'Données projet'!$A$243:$I$263,6,0)*VLOOKUP('Données projet'!$B$17,Paramètres!$A$1:$I$88,7,0))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projet'!$B$17,Paramètres!$A$1:$I$88,3,0)*0.475*44/12</f>
        <v>#N/A</v>
      </c>
      <c r="GM89" s="21" t="e">
        <f>EXP(-LN(2)/25)*GM88+(1-EXP(-LN(2)/25))/(LN(2)/25)*Calculateur!GH89*Calculateur!GJ89*VLOOKUP('Données projet'!$B$17,Paramètres!$A$1:$I$88,3,0)*0.475*44/12</f>
        <v>#N/A</v>
      </c>
      <c r="GN89" s="21" t="e">
        <f>EXP(-LN(2)/2)*GN88+(1-EXP(-LN(2)/2))/(LN(2)/2)*GH89*GK89*VLOOKUP('Données projet'!$B$17,Paramètres!$A$1:$I$88,3,0)*0.475*44/12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projet'!$B$18,Paramètres!$A$1:$I$88,3,0)*VLOOKUP('Données projet'!$B$18,Paramètres!$A$1:$I$88,5,0)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projet'!$B$18,Paramètres!$A$1:$I$88,7,0))</f>
        <v>0</v>
      </c>
      <c r="HE89" s="16">
        <f>IF(ISNA(VLOOKUP(A89,'Données projet'!$A$269:$I$289,6,0)),0%,VLOOKUP(A89,'Données projet'!$A$269:$I$289,6,0)*VLOOKUP('Données projet'!$B$18,Paramètres!$A$1:$I$88,7,0))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projet'!$B$18,Paramètres!$A$1:$I$88,3,0)*0.475*44/12</f>
        <v>#N/A</v>
      </c>
      <c r="HH89" s="21" t="e">
        <f>EXP(-LN(2)/25)*HH88+(1-EXP(-LN(2)/25))/(LN(2)/25)*Calculateur!HC89*Calculateur!HE89*VLOOKUP('Données projet'!$B$18,Paramètres!$A$1:$I$88,3,0)*0.475*44/12</f>
        <v>#N/A</v>
      </c>
      <c r="HI89" s="21" t="e">
        <f>EXP(-LN(2)/2)*HI88+(1-EXP(-LN(2)/2))/(LN(2)/2)*HC89*HF89*VLOOKUP('Données projet'!$B$18,Paramètres!$A$1:$I$88,3,0)*0.475*44/12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projet'!$B$9,Paramètres!$A$1:$I$88,3,0)*VLOOKUP('Données projet'!$B$9,Paramètres!$A$1:$I$88,5,0)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195.73441209602686</v>
      </c>
      <c r="T90" s="59">
        <f t="shared" si="88"/>
        <v>219.19129224309006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projet'!$B$9,Paramètres!$A$1:$I$88,7,0))</f>
        <v>0</v>
      </c>
      <c r="X90" s="16">
        <f>IF(ISNA(VLOOKUP(A90,'Données projet'!$A$35:$I$55,6,0)),0%,VLOOKUP(A90,'Données projet'!$A$35:$I$55,6,0)*VLOOKUP('Données projet'!$B$9,Paramètres!$A$1:$I$88,7,0))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projet'!$B$9,Paramètres!$A$1:$I$88,3,0)*0.475*44/12</f>
        <v>4.9327314976300398</v>
      </c>
      <c r="AA90" s="21">
        <f>EXP(-LN(2)/25)*AA89+(1-EXP(-LN(2)/25))/(LN(2)/25)*Calculateur!V90*Calculateur!X90*VLOOKUP('Données projet'!$B$9,Paramètres!$A$1:$I$88,3,0)*0.475*44/12</f>
        <v>2.9150281194551253</v>
      </c>
      <c r="AB90" s="21">
        <f>EXP(-LN(2)/2)*AB89+(1-EXP(-LN(2)/2))/(LN(2)/2)*V90*Y90*VLOOKUP('Données projet'!$B$9,Paramètres!$A$1:$I$88,3,0)*0.475*44/12</f>
        <v>1.0450405454424208E-10</v>
      </c>
      <c r="AC90" s="22">
        <f t="shared" si="57"/>
        <v>7.8477596171896691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-4.5474735088646412E-13</v>
      </c>
      <c r="AJ90" s="13">
        <f>AI90*VLOOKUP('Données projet'!$B$10,Paramètres!$A$1:$I$88,3,0)*VLOOKUP('Données projet'!$B$10,Paramètres!$A$1:$I$88,5,0)</f>
        <v>-2.7193891583010558E-13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246.59447135626942</v>
      </c>
      <c r="AO90" s="59">
        <f t="shared" si="90"/>
        <v>262.00382544285367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projet'!$B$10,Paramètres!$A$1:$I$88,7,0))</f>
        <v>0</v>
      </c>
      <c r="AS90" s="16">
        <f>IF(ISNA(VLOOKUP(A90,'Données projet'!$A$61:$I$81,6,0)),0%,VLOOKUP(A90,'Données projet'!$A$61:$I$81,6,0)*VLOOKUP('Données projet'!$B$10,Paramètres!$A$1:$I$88,7,0))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projet'!$B$10,Paramètres!$A$1:$I$88,3,0)*0.475*44/12</f>
        <v>0</v>
      </c>
      <c r="AV90" s="21">
        <f>EXP(-LN(2)/25)*AV89+(1-EXP(-LN(2)/25))/(LN(2)/25)*Calculateur!AQ90*Calculateur!AS90*VLOOKUP('Données projet'!$B$10,Paramètres!$A$1:$I$88,3,0)*0.475*44/12</f>
        <v>2.6456345099518743</v>
      </c>
      <c r="AW90" s="21">
        <f>EXP(-LN(2)/2)*AW89+(1-EXP(-LN(2)/2))/(LN(2)/2)*AQ90*AT90*VLOOKUP('Données projet'!$B$10,Paramètres!$A$1:$I$88,3,0)*0.475*44/12</f>
        <v>6.250735849139598E-8</v>
      </c>
      <c r="AX90" s="21">
        <f t="shared" si="60"/>
        <v>2.6456345724592327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-5.6843418860808015E-13</v>
      </c>
      <c r="BE90" s="13">
        <f>BD90*VLOOKUP('Données projet'!$B$11,Paramètres!$A$1:$I$88,3,0)*VLOOKUP('Données projet'!$B$11,Paramètres!$A$1:$I$88,5,0)</f>
        <v>-3.177547114319168E-13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355.96253323046608</v>
      </c>
      <c r="BJ90" s="59">
        <f t="shared" si="92"/>
        <v>366.8380442809696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projet'!$B$11,Paramètres!$A$1:$I$88,7,0))</f>
        <v>0</v>
      </c>
      <c r="BN90" s="16">
        <f>IF(ISNA(VLOOKUP(A90,'Données projet'!$A$87:$I$107,6,0)),0%,VLOOKUP(A90,'Données projet'!$A$87:$I$107,6,0)*VLOOKUP('Données projet'!$B$11,Paramètres!$A$1:$I$88,7,0))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projet'!$B$11,Paramètres!$A$1:$I$88,3,0)*0.475*44/12</f>
        <v>0</v>
      </c>
      <c r="BQ90" s="21">
        <f>EXP(-LN(2)/25)*BQ89+(1-EXP(-LN(2)/25))/(LN(2)/25)*Calculateur!BL90*Calculateur!BN90*VLOOKUP('Données projet'!$B$11,Paramètres!$A$1:$I$88,3,0)*0.475*44/12</f>
        <v>4.6841320805455142</v>
      </c>
      <c r="BR90" s="21">
        <f>EXP(-LN(2)/2)*BR89+(1-EXP(-LN(2)/2))/(LN(2)/2)*BL90*BO90*VLOOKUP('Données projet'!$B$11,Paramètres!$A$1:$I$88,3,0)*0.475*44/12</f>
        <v>9.6646561283727173E-8</v>
      </c>
      <c r="BS90" s="22">
        <f t="shared" si="63"/>
        <v>4.6841321771920752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5.6843418860808015E-14</v>
      </c>
      <c r="BZ90" s="13">
        <f>BY90*VLOOKUP('Données projet'!$B$12,Paramètres!$A$1:$I$88,3,0)*VLOOKUP('Données projet'!$B$12,Paramètres!$A$1:$I$88,5,0)</f>
        <v>3.7243808037601412E-14</v>
      </c>
      <c r="CA90" s="13">
        <f t="shared" si="93"/>
        <v>6.2767589361185393E-13</v>
      </c>
      <c r="CB90" s="20">
        <f t="shared" si="64"/>
        <v>1.1580684803728015E-12</v>
      </c>
      <c r="CC90" s="59">
        <f t="shared" si="65"/>
        <v>293.33333333333445</v>
      </c>
      <c r="CD90" s="59">
        <f ca="1">AVERAGE(OFFSET($CC$3,0,0,'Données projet'!$E$12+1,1))-AVERAGE(OFFSET($H$3,0,0,'Données projet'!$E$12+1,1))</f>
        <v>180.90147430936133</v>
      </c>
      <c r="CE90" s="59">
        <f t="shared" si="94"/>
        <v>226.87949199830018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projet'!$B$12,Paramètres!$A$1:$I$88,7,0))</f>
        <v>0</v>
      </c>
      <c r="CI90" s="16">
        <f>IF(ISNA(VLOOKUP(A90,'Données projet'!$A$113:$I$133,6,0)),0%,VLOOKUP(A90,'Données projet'!$A$113:$I$133,6,0)*VLOOKUP('Données projet'!$B$12,Paramètres!$A$1:$I$88,7,0))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projet'!$B$12,Paramètres!$A$1:$I$88,3,0)*0.475*44/12</f>
        <v>0</v>
      </c>
      <c r="CL90" s="21">
        <f>EXP(-LN(2)/25)*CL89+(1-EXP(-LN(2)/25))/(LN(2)/25)*Calculateur!CG90*Calculateur!CI90*VLOOKUP('Données projet'!$B$12,Paramètres!$A$1:$I$88,3,0)*0.475*44/12</f>
        <v>1.4146276816567163</v>
      </c>
      <c r="CM90" s="21">
        <f>EXP(-LN(2)/2)*CM89+(1-EXP(-LN(2)/2))/(LN(2)/2)*CG90*CJ90*VLOOKUP('Données projet'!$B$12,Paramètres!$A$1:$I$88,3,0)*0.475*44/12</f>
        <v>2.3345297054274599E-8</v>
      </c>
      <c r="CN90" s="22">
        <f t="shared" si="66"/>
        <v>1.4146277050020133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5.6843418860808015E-14</v>
      </c>
      <c r="CU90" s="17">
        <f>CT90*VLOOKUP('Données projet'!$B$13,Paramètres!$A$1:$I$88,3,0)*VLOOKUP('Données projet'!$B$13,Paramètres!$A$1:$I$88,5,0)</f>
        <v>2.8908289095852525E-14</v>
      </c>
      <c r="CV90" s="13">
        <f t="shared" si="95"/>
        <v>5.0177780569126974E-13</v>
      </c>
      <c r="CW90" s="20">
        <f t="shared" si="67"/>
        <v>9.2427828175423786E-13</v>
      </c>
      <c r="CX90" s="59">
        <f t="shared" si="68"/>
        <v>293.33333333333422</v>
      </c>
      <c r="CY90" s="59">
        <f ca="1">AVERAGE(OFFSET($CX$3,0,0,'Données projet'!$E$13+1,1))-AVERAGE(OFFSET($H$3,0,0,'Données projet'!$E$13+1,1))</f>
        <v>133.08385802816008</v>
      </c>
      <c r="CZ90" s="59">
        <f t="shared" si="96"/>
        <v>316.59112511251385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projet'!$B$13,Paramètres!$A$1:$I$88,7,0))</f>
        <v>0</v>
      </c>
      <c r="DD90" s="16">
        <f>IF(ISNA(VLOOKUP(A90,'Données projet'!$A$139:$I$159,6,0)),0%,VLOOKUP(A90,'Données projet'!$A$139:$I$159,6,0)*VLOOKUP('Données projet'!$B$13,Paramètres!$A$1:$I$88,7,0))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projet'!$B$13,Paramètres!$A$1:$I$88,3,0)*0.475*44/12</f>
        <v>23.352030822739984</v>
      </c>
      <c r="DG90" s="21">
        <f>EXP(-LN(2)/25)*DG89+(1-EXP(-LN(2)/25))/(LN(2)/25)*Calculateur!DB90*Calculateur!DD90*VLOOKUP('Données projet'!$B$13,Paramètres!$A$1:$I$88,3,0)*0.475*44/12</f>
        <v>0</v>
      </c>
      <c r="DH90" s="21">
        <f>EXP(-LN(2)/2)*DH89+(1-EXP(-LN(2)/2))/(LN(2)/2)*DB90*DE90*VLOOKUP('Données projet'!$B$13,Paramètres!$A$1:$I$88,3,0)*0.475*44/12</f>
        <v>1.489470600110011E-8</v>
      </c>
      <c r="DI90" s="22">
        <f t="shared" si="69"/>
        <v>23.35203083763469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projet'!$B$14,Paramètres!$A$1:$I$88,3,0)*VLOOKUP('Données projet'!$B$14,Paramètres!$A$1:$I$88,5,0)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projet'!$B$14,Paramètres!$A$1:$I$88,7,0))</f>
        <v>0</v>
      </c>
      <c r="DY90" s="16">
        <f>IF(ISNA(VLOOKUP(A90,'Données projet'!$A$165:$I$185,6,0)),0%,VLOOKUP(A90,'Données projet'!$A$165:$I$185,6,0)*VLOOKUP('Données projet'!$B$14,Paramètres!$A$1:$I$88,7,0))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projet'!$B$14,Paramètres!$A$1:$I$88,3,0)*0.475*44/12</f>
        <v>#N/A</v>
      </c>
      <c r="EB90" s="21" t="e">
        <f>EXP(-LN(2)/25)*EB89+(1-EXP(-LN(2)/25))/(LN(2)/25)*Calculateur!DW90*Calculateur!DY90*VLOOKUP('Données projet'!$B$14,Paramètres!$A$1:$I$88,3,0)*0.475*44/12</f>
        <v>#N/A</v>
      </c>
      <c r="EC90" s="21" t="e">
        <f>EXP(-LN(2)/2)*EC89+(1-EXP(-LN(2)/2))/(LN(2)/2)*DW90*DZ90*VLOOKUP('Données projet'!$B$14,Paramètres!$A$1:$I$88,3,0)*0.475*44/12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projet'!$B$15,Paramètres!$A$1:$I$88,3,0)*VLOOKUP('Données projet'!$B$15,Paramètres!$A$1:$I$88,5,0)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projet'!$B$15,Paramètres!$A$1:$I$88,7,0))</f>
        <v>0</v>
      </c>
      <c r="ET90" s="16">
        <f>IF(ISNA(VLOOKUP(A90,'Données projet'!$A$191:$I$211,6,0)),0%,VLOOKUP(A90,'Données projet'!$A$191:$I$211,6,0)*VLOOKUP('Données projet'!$B$15,Paramètres!$A$1:$I$88,7,0))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projet'!$B$15,Paramètres!$A$1:$I$88,3,0)*0.475*44/12</f>
        <v>#N/A</v>
      </c>
      <c r="EW90" s="21" t="e">
        <f>EXP(-LN(2)/25)*EW89+(1-EXP(-LN(2)/25))/(LN(2)/25)*Calculateur!ER90*Calculateur!ET90*VLOOKUP('Données projet'!$B$15,Paramètres!$A$1:$I$88,3,0)*0.475*44/12</f>
        <v>#N/A</v>
      </c>
      <c r="EX90" s="21" t="e">
        <f>EXP(-LN(2)/2)*EX89+(1-EXP(-LN(2)/2))/(LN(2)/2)*ER90*EU90*VLOOKUP('Données projet'!$B$15,Paramètres!$A$1:$I$88,3,0)*0.475*44/12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projet'!$B$16,Paramètres!$A$1:$I$88,3,0)*VLOOKUP('Données projet'!$B$16,Paramètres!$A$1:$I$88,5,0)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projet'!$B$16,Paramètres!$A$1:$I$88,7,0))</f>
        <v>0</v>
      </c>
      <c r="FO90" s="16">
        <f>IF(ISNA(VLOOKUP(A90,'Données projet'!$A$217:$I$237,6,0)),0%,VLOOKUP(A90,'Données projet'!$A$217:$I$237,6,0)*VLOOKUP('Données projet'!$B$16,Paramètres!$A$1:$I$88,7,0))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projet'!$B$16,Paramètres!$A$1:$I$88,3,0)*0.475*44/12</f>
        <v>#N/A</v>
      </c>
      <c r="FR90" s="21" t="e">
        <f>EXP(-LN(2)/25)*FR89+(1-EXP(-LN(2)/25))/(LN(2)/25)*Calculateur!FM90*Calculateur!FO90*VLOOKUP('Données projet'!$B$16,Paramètres!$A$1:$I$88,3,0)*0.475*44/12</f>
        <v>#N/A</v>
      </c>
      <c r="FS90" s="21" t="e">
        <f>EXP(-LN(2)/2)*FS89+(1-EXP(-LN(2)/2))/(LN(2)/2)*FM90*FP90*VLOOKUP('Données projet'!$B$16,Paramètres!$A$1:$I$88,3,0)*0.475*44/12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projet'!$B$17,Paramètres!$A$1:$I$88,3,0)*VLOOKUP('Données projet'!$B$17,Paramètres!$A$1:$I$88,5,0)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projet'!$B$17,Paramètres!$A$1:$I$88,7,0))</f>
        <v>0</v>
      </c>
      <c r="GJ90" s="16">
        <f>IF(ISNA(VLOOKUP(A90,'Données projet'!$A$243:$I$263,6,0)),0%,VLOOKUP(A90,'Données projet'!$A$243:$I$263,6,0)*VLOOKUP('Données projet'!$B$17,Paramètres!$A$1:$I$88,7,0))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projet'!$B$17,Paramètres!$A$1:$I$88,3,0)*0.475*44/12</f>
        <v>#N/A</v>
      </c>
      <c r="GM90" s="21" t="e">
        <f>EXP(-LN(2)/25)*GM89+(1-EXP(-LN(2)/25))/(LN(2)/25)*Calculateur!GH90*Calculateur!GJ90*VLOOKUP('Données projet'!$B$17,Paramètres!$A$1:$I$88,3,0)*0.475*44/12</f>
        <v>#N/A</v>
      </c>
      <c r="GN90" s="21" t="e">
        <f>EXP(-LN(2)/2)*GN89+(1-EXP(-LN(2)/2))/(LN(2)/2)*GH90*GK90*VLOOKUP('Données projet'!$B$17,Paramètres!$A$1:$I$88,3,0)*0.475*44/12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projet'!$B$18,Paramètres!$A$1:$I$88,3,0)*VLOOKUP('Données projet'!$B$18,Paramètres!$A$1:$I$88,5,0)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projet'!$B$18,Paramètres!$A$1:$I$88,7,0))</f>
        <v>0</v>
      </c>
      <c r="HE90" s="16">
        <f>IF(ISNA(VLOOKUP(A90,'Données projet'!$A$269:$I$289,6,0)),0%,VLOOKUP(A90,'Données projet'!$A$269:$I$289,6,0)*VLOOKUP('Données projet'!$B$18,Paramètres!$A$1:$I$88,7,0))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projet'!$B$18,Paramètres!$A$1:$I$88,3,0)*0.475*44/12</f>
        <v>#N/A</v>
      </c>
      <c r="HH90" s="21" t="e">
        <f>EXP(-LN(2)/25)*HH89+(1-EXP(-LN(2)/25))/(LN(2)/25)*Calculateur!HC90*Calculateur!HE90*VLOOKUP('Données projet'!$B$18,Paramètres!$A$1:$I$88,3,0)*0.475*44/12</f>
        <v>#N/A</v>
      </c>
      <c r="HI90" s="21" t="e">
        <f>EXP(-LN(2)/2)*HI89+(1-EXP(-LN(2)/2))/(LN(2)/2)*HC90*HF90*VLOOKUP('Données projet'!$B$18,Paramètres!$A$1:$I$88,3,0)*0.475*44/12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projet'!$B$9,Paramètres!$A$1:$I$88,3,0)*VLOOKUP('Données projet'!$B$9,Paramètres!$A$1:$I$88,5,0)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195.73441209602686</v>
      </c>
      <c r="T91" s="59">
        <f t="shared" si="88"/>
        <v>219.19129224309006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projet'!$B$9,Paramètres!$A$1:$I$88,7,0))</f>
        <v>0</v>
      </c>
      <c r="X91" s="16">
        <f>IF(ISNA(VLOOKUP(A91,'Données projet'!$A$35:$I$55,6,0)),0%,VLOOKUP(A91,'Données projet'!$A$35:$I$55,6,0)*VLOOKUP('Données projet'!$B$9,Paramètres!$A$1:$I$88,7,0))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projet'!$B$9,Paramètres!$A$1:$I$88,3,0)*0.475*44/12</f>
        <v>4.8360036416306471</v>
      </c>
      <c r="AA91" s="21">
        <f>EXP(-LN(2)/25)*AA90+(1-EXP(-LN(2)/25))/(LN(2)/25)*Calculateur!V91*Calculateur!X91*VLOOKUP('Données projet'!$B$9,Paramètres!$A$1:$I$88,3,0)*0.475*44/12</f>
        <v>2.8353165222339585</v>
      </c>
      <c r="AB91" s="21">
        <f>EXP(-LN(2)/2)*AB90+(1-EXP(-LN(2)/2))/(LN(2)/2)*V91*Y91*VLOOKUP('Données projet'!$B$9,Paramètres!$A$1:$I$88,3,0)*0.475*44/12</f>
        <v>7.3895525629722409E-11</v>
      </c>
      <c r="AC91" s="22">
        <f t="shared" si="57"/>
        <v>7.6713201639385007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-4.5474735088646412E-13</v>
      </c>
      <c r="AJ91" s="13">
        <f>AI91*VLOOKUP('Données projet'!$B$10,Paramètres!$A$1:$I$88,3,0)*VLOOKUP('Données projet'!$B$10,Paramètres!$A$1:$I$88,5,0)</f>
        <v>-2.7193891583010558E-13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246.59447135626942</v>
      </c>
      <c r="AO91" s="59">
        <f t="shared" si="90"/>
        <v>262.00382544285367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projet'!$B$10,Paramètres!$A$1:$I$88,7,0))</f>
        <v>0</v>
      </c>
      <c r="AS91" s="16">
        <f>IF(ISNA(VLOOKUP(A91,'Données projet'!$A$61:$I$81,6,0)),0%,VLOOKUP(A91,'Données projet'!$A$61:$I$81,6,0)*VLOOKUP('Données projet'!$B$10,Paramètres!$A$1:$I$88,7,0))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projet'!$B$10,Paramètres!$A$1:$I$88,3,0)*0.475*44/12</f>
        <v>0</v>
      </c>
      <c r="AV91" s="21">
        <f>EXP(-LN(2)/25)*AV90+(1-EXP(-LN(2)/25))/(LN(2)/25)*Calculateur!AQ91*Calculateur!AS91*VLOOKUP('Données projet'!$B$10,Paramètres!$A$1:$I$88,3,0)*0.475*44/12</f>
        <v>2.5732894951493681</v>
      </c>
      <c r="AW91" s="21">
        <f>EXP(-LN(2)/2)*AW90+(1-EXP(-LN(2)/2))/(LN(2)/2)*AQ91*AT91*VLOOKUP('Données projet'!$B$10,Paramètres!$A$1:$I$88,3,0)*0.475*44/12</f>
        <v>4.4199377063324622E-8</v>
      </c>
      <c r="AX91" s="21">
        <f t="shared" si="60"/>
        <v>2.5732895393487452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-5.6843418860808015E-13</v>
      </c>
      <c r="BE91" s="13">
        <f>BD91*VLOOKUP('Données projet'!$B$11,Paramètres!$A$1:$I$88,3,0)*VLOOKUP('Données projet'!$B$11,Paramètres!$A$1:$I$88,5,0)</f>
        <v>-3.177547114319168E-13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355.96253323046608</v>
      </c>
      <c r="BJ91" s="59">
        <f t="shared" si="92"/>
        <v>366.8380442809696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projet'!$B$11,Paramètres!$A$1:$I$88,7,0))</f>
        <v>0</v>
      </c>
      <c r="BN91" s="16">
        <f>IF(ISNA(VLOOKUP(A91,'Données projet'!$A$87:$I$107,6,0)),0%,VLOOKUP(A91,'Données projet'!$A$87:$I$107,6,0)*VLOOKUP('Données projet'!$B$11,Paramètres!$A$1:$I$88,7,0))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projet'!$B$11,Paramètres!$A$1:$I$88,3,0)*0.475*44/12</f>
        <v>0</v>
      </c>
      <c r="BQ91" s="21">
        <f>EXP(-LN(2)/25)*BQ90+(1-EXP(-LN(2)/25))/(LN(2)/25)*Calculateur!BL91*Calculateur!BN91*VLOOKUP('Données projet'!$B$11,Paramètres!$A$1:$I$88,3,0)*0.475*44/12</f>
        <v>4.5560442424751963</v>
      </c>
      <c r="BR91" s="21">
        <f>EXP(-LN(2)/2)*BR90+(1-EXP(-LN(2)/2))/(LN(2)/2)*BL91*BO91*VLOOKUP('Données projet'!$B$11,Paramètres!$A$1:$I$88,3,0)*0.475*44/12</f>
        <v>6.8339438862084724E-8</v>
      </c>
      <c r="BS91" s="22">
        <f t="shared" si="63"/>
        <v>4.5560443108146353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5.6843418860808015E-14</v>
      </c>
      <c r="BZ91" s="13">
        <f>BY91*VLOOKUP('Données projet'!$B$12,Paramètres!$A$1:$I$88,3,0)*VLOOKUP('Données projet'!$B$12,Paramètres!$A$1:$I$88,5,0)</f>
        <v>3.7243808037601412E-14</v>
      </c>
      <c r="CA91" s="13">
        <f t="shared" si="93"/>
        <v>6.2767589361185393E-13</v>
      </c>
      <c r="CB91" s="20">
        <f t="shared" si="64"/>
        <v>1.1580684803728015E-12</v>
      </c>
      <c r="CC91" s="59">
        <f t="shared" si="65"/>
        <v>293.33333333333445</v>
      </c>
      <c r="CD91" s="59">
        <f ca="1">AVERAGE(OFFSET($CC$3,0,0,'Données projet'!$E$12+1,1))-AVERAGE(OFFSET($H$3,0,0,'Données projet'!$E$12+1,1))</f>
        <v>180.90147430936133</v>
      </c>
      <c r="CE91" s="59">
        <f t="shared" si="94"/>
        <v>226.87949199830018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projet'!$B$12,Paramètres!$A$1:$I$88,7,0))</f>
        <v>0</v>
      </c>
      <c r="CI91" s="16">
        <f>IF(ISNA(VLOOKUP(A91,'Données projet'!$A$113:$I$133,6,0)),0%,VLOOKUP(A91,'Données projet'!$A$113:$I$133,6,0)*VLOOKUP('Données projet'!$B$12,Paramètres!$A$1:$I$88,7,0))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projet'!$B$12,Paramètres!$A$1:$I$88,3,0)*0.475*44/12</f>
        <v>0</v>
      </c>
      <c r="CL91" s="21">
        <f>EXP(-LN(2)/25)*CL90+(1-EXP(-LN(2)/25))/(LN(2)/25)*Calculateur!CG91*Calculateur!CI91*VLOOKUP('Données projet'!$B$12,Paramètres!$A$1:$I$88,3,0)*0.475*44/12</f>
        <v>1.3759446133097768</v>
      </c>
      <c r="CM91" s="21">
        <f>EXP(-LN(2)/2)*CM90+(1-EXP(-LN(2)/2))/(LN(2)/2)*CG91*CJ91*VLOOKUP('Données projet'!$B$12,Paramètres!$A$1:$I$88,3,0)*0.475*44/12</f>
        <v>1.6507617855891901E-8</v>
      </c>
      <c r="CN91" s="22">
        <f t="shared" si="66"/>
        <v>1.3759446298173947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5.6843418860808015E-14</v>
      </c>
      <c r="CU91" s="17">
        <f>CT91*VLOOKUP('Données projet'!$B$13,Paramètres!$A$1:$I$88,3,0)*VLOOKUP('Données projet'!$B$13,Paramètres!$A$1:$I$88,5,0)</f>
        <v>2.8908289095852525E-14</v>
      </c>
      <c r="CV91" s="13">
        <f t="shared" si="95"/>
        <v>5.0177780569126974E-13</v>
      </c>
      <c r="CW91" s="20">
        <f t="shared" si="67"/>
        <v>9.2427828175423786E-13</v>
      </c>
      <c r="CX91" s="59">
        <f t="shared" si="68"/>
        <v>293.33333333333422</v>
      </c>
      <c r="CY91" s="59">
        <f ca="1">AVERAGE(OFFSET($CX$3,0,0,'Données projet'!$E$13+1,1))-AVERAGE(OFFSET($H$3,0,0,'Données projet'!$E$13+1,1))</f>
        <v>133.08385802816008</v>
      </c>
      <c r="CZ91" s="59">
        <f t="shared" si="96"/>
        <v>316.59112511251385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projet'!$B$13,Paramètres!$A$1:$I$88,7,0))</f>
        <v>0</v>
      </c>
      <c r="DD91" s="16">
        <f>IF(ISNA(VLOOKUP(A91,'Données projet'!$A$139:$I$159,6,0)),0%,VLOOKUP(A91,'Données projet'!$A$139:$I$159,6,0)*VLOOKUP('Données projet'!$B$13,Paramètres!$A$1:$I$88,7,0))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projet'!$B$13,Paramètres!$A$1:$I$88,3,0)*0.475*44/12</f>
        <v>22.894111741638444</v>
      </c>
      <c r="DG91" s="21">
        <f>EXP(-LN(2)/25)*DG90+(1-EXP(-LN(2)/25))/(LN(2)/25)*Calculateur!DB91*Calculateur!DD91*VLOOKUP('Données projet'!$B$13,Paramètres!$A$1:$I$88,3,0)*0.475*44/12</f>
        <v>0</v>
      </c>
      <c r="DH91" s="21">
        <f>EXP(-LN(2)/2)*DH90+(1-EXP(-LN(2)/2))/(LN(2)/2)*DB91*DE91*VLOOKUP('Données projet'!$B$13,Paramètres!$A$1:$I$88,3,0)*0.475*44/12</f>
        <v>1.0532147617157852E-8</v>
      </c>
      <c r="DI91" s="22">
        <f t="shared" si="69"/>
        <v>22.894111752170591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projet'!$B$14,Paramètres!$A$1:$I$88,3,0)*VLOOKUP('Données projet'!$B$14,Paramètres!$A$1:$I$88,5,0)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projet'!$B$14,Paramètres!$A$1:$I$88,7,0))</f>
        <v>0</v>
      </c>
      <c r="DY91" s="16">
        <f>IF(ISNA(VLOOKUP(A91,'Données projet'!$A$165:$I$185,6,0)),0%,VLOOKUP(A91,'Données projet'!$A$165:$I$185,6,0)*VLOOKUP('Données projet'!$B$14,Paramètres!$A$1:$I$88,7,0))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projet'!$B$14,Paramètres!$A$1:$I$88,3,0)*0.475*44/12</f>
        <v>#N/A</v>
      </c>
      <c r="EB91" s="21" t="e">
        <f>EXP(-LN(2)/25)*EB90+(1-EXP(-LN(2)/25))/(LN(2)/25)*Calculateur!DW91*Calculateur!DY91*VLOOKUP('Données projet'!$B$14,Paramètres!$A$1:$I$88,3,0)*0.475*44/12</f>
        <v>#N/A</v>
      </c>
      <c r="EC91" s="21" t="e">
        <f>EXP(-LN(2)/2)*EC90+(1-EXP(-LN(2)/2))/(LN(2)/2)*DW91*DZ91*VLOOKUP('Données projet'!$B$14,Paramètres!$A$1:$I$88,3,0)*0.475*44/12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projet'!$B$15,Paramètres!$A$1:$I$88,3,0)*VLOOKUP('Données projet'!$B$15,Paramètres!$A$1:$I$88,5,0)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projet'!$B$15,Paramètres!$A$1:$I$88,7,0))</f>
        <v>0</v>
      </c>
      <c r="ET91" s="16">
        <f>IF(ISNA(VLOOKUP(A91,'Données projet'!$A$191:$I$211,6,0)),0%,VLOOKUP(A91,'Données projet'!$A$191:$I$211,6,0)*VLOOKUP('Données projet'!$B$15,Paramètres!$A$1:$I$88,7,0))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projet'!$B$15,Paramètres!$A$1:$I$88,3,0)*0.475*44/12</f>
        <v>#N/A</v>
      </c>
      <c r="EW91" s="21" t="e">
        <f>EXP(-LN(2)/25)*EW90+(1-EXP(-LN(2)/25))/(LN(2)/25)*Calculateur!ER91*Calculateur!ET91*VLOOKUP('Données projet'!$B$15,Paramètres!$A$1:$I$88,3,0)*0.475*44/12</f>
        <v>#N/A</v>
      </c>
      <c r="EX91" s="21" t="e">
        <f>EXP(-LN(2)/2)*EX90+(1-EXP(-LN(2)/2))/(LN(2)/2)*ER91*EU91*VLOOKUP('Données projet'!$B$15,Paramètres!$A$1:$I$88,3,0)*0.475*44/12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projet'!$B$16,Paramètres!$A$1:$I$88,3,0)*VLOOKUP('Données projet'!$B$16,Paramètres!$A$1:$I$88,5,0)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projet'!$B$16,Paramètres!$A$1:$I$88,7,0))</f>
        <v>0</v>
      </c>
      <c r="FO91" s="16">
        <f>IF(ISNA(VLOOKUP(A91,'Données projet'!$A$217:$I$237,6,0)),0%,VLOOKUP(A91,'Données projet'!$A$217:$I$237,6,0)*VLOOKUP('Données projet'!$B$16,Paramètres!$A$1:$I$88,7,0))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projet'!$B$16,Paramètres!$A$1:$I$88,3,0)*0.475*44/12</f>
        <v>#N/A</v>
      </c>
      <c r="FR91" s="21" t="e">
        <f>EXP(-LN(2)/25)*FR90+(1-EXP(-LN(2)/25))/(LN(2)/25)*Calculateur!FM91*Calculateur!FO91*VLOOKUP('Données projet'!$B$16,Paramètres!$A$1:$I$88,3,0)*0.475*44/12</f>
        <v>#N/A</v>
      </c>
      <c r="FS91" s="21" t="e">
        <f>EXP(-LN(2)/2)*FS90+(1-EXP(-LN(2)/2))/(LN(2)/2)*FM91*FP91*VLOOKUP('Données projet'!$B$16,Paramètres!$A$1:$I$88,3,0)*0.475*44/12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projet'!$B$17,Paramètres!$A$1:$I$88,3,0)*VLOOKUP('Données projet'!$B$17,Paramètres!$A$1:$I$88,5,0)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projet'!$B$17,Paramètres!$A$1:$I$88,7,0))</f>
        <v>0</v>
      </c>
      <c r="GJ91" s="16">
        <f>IF(ISNA(VLOOKUP(A91,'Données projet'!$A$243:$I$263,6,0)),0%,VLOOKUP(A91,'Données projet'!$A$243:$I$263,6,0)*VLOOKUP('Données projet'!$B$17,Paramètres!$A$1:$I$88,7,0))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projet'!$B$17,Paramètres!$A$1:$I$88,3,0)*0.475*44/12</f>
        <v>#N/A</v>
      </c>
      <c r="GM91" s="21" t="e">
        <f>EXP(-LN(2)/25)*GM90+(1-EXP(-LN(2)/25))/(LN(2)/25)*Calculateur!GH91*Calculateur!GJ91*VLOOKUP('Données projet'!$B$17,Paramètres!$A$1:$I$88,3,0)*0.475*44/12</f>
        <v>#N/A</v>
      </c>
      <c r="GN91" s="21" t="e">
        <f>EXP(-LN(2)/2)*GN90+(1-EXP(-LN(2)/2))/(LN(2)/2)*GH91*GK91*VLOOKUP('Données projet'!$B$17,Paramètres!$A$1:$I$88,3,0)*0.475*44/12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projet'!$B$18,Paramètres!$A$1:$I$88,3,0)*VLOOKUP('Données projet'!$B$18,Paramètres!$A$1:$I$88,5,0)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projet'!$B$18,Paramètres!$A$1:$I$88,7,0))</f>
        <v>0</v>
      </c>
      <c r="HE91" s="16">
        <f>IF(ISNA(VLOOKUP(A91,'Données projet'!$A$269:$I$289,6,0)),0%,VLOOKUP(A91,'Données projet'!$A$269:$I$289,6,0)*VLOOKUP('Données projet'!$B$18,Paramètres!$A$1:$I$88,7,0))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projet'!$B$18,Paramètres!$A$1:$I$88,3,0)*0.475*44/12</f>
        <v>#N/A</v>
      </c>
      <c r="HH91" s="21" t="e">
        <f>EXP(-LN(2)/25)*HH90+(1-EXP(-LN(2)/25))/(LN(2)/25)*Calculateur!HC91*Calculateur!HE91*VLOOKUP('Données projet'!$B$18,Paramètres!$A$1:$I$88,3,0)*0.475*44/12</f>
        <v>#N/A</v>
      </c>
      <c r="HI91" s="21" t="e">
        <f>EXP(-LN(2)/2)*HI90+(1-EXP(-LN(2)/2))/(LN(2)/2)*HC91*HF91*VLOOKUP('Données projet'!$B$18,Paramètres!$A$1:$I$88,3,0)*0.475*44/12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projet'!$B$9,Paramètres!$A$1:$I$88,3,0)*VLOOKUP('Données projet'!$B$9,Paramètres!$A$1:$I$88,5,0)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195.73441209602686</v>
      </c>
      <c r="T92" s="59">
        <f t="shared" si="88"/>
        <v>219.19129224309006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projet'!$B$9,Paramètres!$A$1:$I$88,7,0))</f>
        <v>0</v>
      </c>
      <c r="X92" s="16">
        <f>IF(ISNA(VLOOKUP(A92,'Données projet'!$A$35:$I$55,6,0)),0%,VLOOKUP(A92,'Données projet'!$A$35:$I$55,6,0)*VLOOKUP('Données projet'!$B$9,Paramètres!$A$1:$I$88,7,0))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projet'!$B$9,Paramètres!$A$1:$I$88,3,0)*0.475*44/12</f>
        <v>4.741172559889236</v>
      </c>
      <c r="AA92" s="21">
        <f>EXP(-LN(2)/25)*AA91+(1-EXP(-LN(2)/25))/(LN(2)/25)*Calculateur!V92*Calculateur!X92*VLOOKUP('Données projet'!$B$9,Paramètres!$A$1:$I$88,3,0)*0.475*44/12</f>
        <v>2.7577846428306554</v>
      </c>
      <c r="AB92" s="21">
        <f>EXP(-LN(2)/2)*AB91+(1-EXP(-LN(2)/2))/(LN(2)/2)*V92*Y92*VLOOKUP('Données projet'!$B$9,Paramètres!$A$1:$I$88,3,0)*0.475*44/12</f>
        <v>5.2252027272121039E-11</v>
      </c>
      <c r="AC92" s="22">
        <f t="shared" si="57"/>
        <v>7.4989572027721438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-4.5474735088646412E-13</v>
      </c>
      <c r="AJ92" s="13">
        <f>AI92*VLOOKUP('Données projet'!$B$10,Paramètres!$A$1:$I$88,3,0)*VLOOKUP('Données projet'!$B$10,Paramètres!$A$1:$I$88,5,0)</f>
        <v>-2.7193891583010558E-13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246.59447135626942</v>
      </c>
      <c r="AO92" s="59">
        <f t="shared" si="90"/>
        <v>262.00382544285367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projet'!$B$10,Paramètres!$A$1:$I$88,7,0))</f>
        <v>0</v>
      </c>
      <c r="AS92" s="16">
        <f>IF(ISNA(VLOOKUP(A92,'Données projet'!$A$61:$I$81,6,0)),0%,VLOOKUP(A92,'Données projet'!$A$61:$I$81,6,0)*VLOOKUP('Données projet'!$B$10,Paramètres!$A$1:$I$88,7,0))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projet'!$B$10,Paramètres!$A$1:$I$88,3,0)*0.475*44/12</f>
        <v>0</v>
      </c>
      <c r="AV92" s="21">
        <f>EXP(-LN(2)/25)*AV91+(1-EXP(-LN(2)/25))/(LN(2)/25)*Calculateur!AQ92*Calculateur!AS92*VLOOKUP('Données projet'!$B$10,Paramètres!$A$1:$I$88,3,0)*0.475*44/12</f>
        <v>2.5029227585810956</v>
      </c>
      <c r="AW92" s="21">
        <f>EXP(-LN(2)/2)*AW91+(1-EXP(-LN(2)/2))/(LN(2)/2)*AQ92*AT92*VLOOKUP('Données projet'!$B$10,Paramètres!$A$1:$I$88,3,0)*0.475*44/12</f>
        <v>3.125367924569799E-8</v>
      </c>
      <c r="AX92" s="21">
        <f t="shared" si="60"/>
        <v>2.5029227898347748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-5.6843418860808015E-13</v>
      </c>
      <c r="BE92" s="13">
        <f>BD92*VLOOKUP('Données projet'!$B$11,Paramètres!$A$1:$I$88,3,0)*VLOOKUP('Données projet'!$B$11,Paramètres!$A$1:$I$88,5,0)</f>
        <v>-3.177547114319168E-13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355.96253323046608</v>
      </c>
      <c r="BJ92" s="59">
        <f t="shared" si="92"/>
        <v>366.8380442809696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projet'!$B$11,Paramètres!$A$1:$I$88,7,0))</f>
        <v>0</v>
      </c>
      <c r="BN92" s="16">
        <f>IF(ISNA(VLOOKUP(A92,'Données projet'!$A$87:$I$107,6,0)),0%,VLOOKUP(A92,'Données projet'!$A$87:$I$107,6,0)*VLOOKUP('Données projet'!$B$11,Paramètres!$A$1:$I$88,7,0))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projet'!$B$11,Paramètres!$A$1:$I$88,3,0)*0.475*44/12</f>
        <v>0</v>
      </c>
      <c r="BQ92" s="21">
        <f>EXP(-LN(2)/25)*BQ91+(1-EXP(-LN(2)/25))/(LN(2)/25)*Calculateur!BL92*Calculateur!BN92*VLOOKUP('Données projet'!$B$11,Paramètres!$A$1:$I$88,3,0)*0.475*44/12</f>
        <v>4.4314589730727585</v>
      </c>
      <c r="BR92" s="21">
        <f>EXP(-LN(2)/2)*BR91+(1-EXP(-LN(2)/2))/(LN(2)/2)*BL92*BO92*VLOOKUP('Données projet'!$B$11,Paramètres!$A$1:$I$88,3,0)*0.475*44/12</f>
        <v>4.8323280641863586E-8</v>
      </c>
      <c r="BS92" s="22">
        <f t="shared" si="63"/>
        <v>4.431459021396039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5.6843418860808015E-14</v>
      </c>
      <c r="BZ92" s="13">
        <f>BY92*VLOOKUP('Données projet'!$B$12,Paramètres!$A$1:$I$88,3,0)*VLOOKUP('Données projet'!$B$12,Paramètres!$A$1:$I$88,5,0)</f>
        <v>3.7243808037601412E-14</v>
      </c>
      <c r="CA92" s="13">
        <f t="shared" si="93"/>
        <v>6.2767589361185393E-13</v>
      </c>
      <c r="CB92" s="20">
        <f t="shared" si="64"/>
        <v>1.1580684803728015E-12</v>
      </c>
      <c r="CC92" s="59">
        <f t="shared" si="65"/>
        <v>293.33333333333445</v>
      </c>
      <c r="CD92" s="59">
        <f ca="1">AVERAGE(OFFSET($CC$3,0,0,'Données projet'!$E$12+1,1))-AVERAGE(OFFSET($H$3,0,0,'Données projet'!$E$12+1,1))</f>
        <v>180.90147430936133</v>
      </c>
      <c r="CE92" s="59">
        <f t="shared" si="94"/>
        <v>226.87949199830018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projet'!$B$12,Paramètres!$A$1:$I$88,7,0))</f>
        <v>0</v>
      </c>
      <c r="CI92" s="16">
        <f>IF(ISNA(VLOOKUP(A92,'Données projet'!$A$113:$I$133,6,0)),0%,VLOOKUP(A92,'Données projet'!$A$113:$I$133,6,0)*VLOOKUP('Données projet'!$B$12,Paramètres!$A$1:$I$88,7,0))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projet'!$B$12,Paramètres!$A$1:$I$88,3,0)*0.475*44/12</f>
        <v>0</v>
      </c>
      <c r="CL92" s="21">
        <f>EXP(-LN(2)/25)*CL91+(1-EXP(-LN(2)/25))/(LN(2)/25)*Calculateur!CG92*Calculateur!CI92*VLOOKUP('Données projet'!$B$12,Paramètres!$A$1:$I$88,3,0)*0.475*44/12</f>
        <v>1.3383193355010385</v>
      </c>
      <c r="CM92" s="21">
        <f>EXP(-LN(2)/2)*CM91+(1-EXP(-LN(2)/2))/(LN(2)/2)*CG92*CJ92*VLOOKUP('Données projet'!$B$12,Paramètres!$A$1:$I$88,3,0)*0.475*44/12</f>
        <v>1.16726485271373E-8</v>
      </c>
      <c r="CN92" s="22">
        <f t="shared" si="66"/>
        <v>1.3383193471736872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5.6843418860808015E-14</v>
      </c>
      <c r="CU92" s="17">
        <f>CT92*VLOOKUP('Données projet'!$B$13,Paramètres!$A$1:$I$88,3,0)*VLOOKUP('Données projet'!$B$13,Paramètres!$A$1:$I$88,5,0)</f>
        <v>2.8908289095852525E-14</v>
      </c>
      <c r="CV92" s="13">
        <f t="shared" si="95"/>
        <v>5.0177780569126974E-13</v>
      </c>
      <c r="CW92" s="20">
        <f t="shared" si="67"/>
        <v>9.2427828175423786E-13</v>
      </c>
      <c r="CX92" s="59">
        <f t="shared" si="68"/>
        <v>293.33333333333422</v>
      </c>
      <c r="CY92" s="59">
        <f ca="1">AVERAGE(OFFSET($CX$3,0,0,'Données projet'!$E$13+1,1))-AVERAGE(OFFSET($H$3,0,0,'Données projet'!$E$13+1,1))</f>
        <v>133.08385802816008</v>
      </c>
      <c r="CZ92" s="59">
        <f t="shared" si="96"/>
        <v>316.59112511251385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projet'!$B$13,Paramètres!$A$1:$I$88,7,0))</f>
        <v>0</v>
      </c>
      <c r="DD92" s="16">
        <f>IF(ISNA(VLOOKUP(A92,'Données projet'!$A$139:$I$159,6,0)),0%,VLOOKUP(A92,'Données projet'!$A$139:$I$159,6,0)*VLOOKUP('Données projet'!$B$13,Paramètres!$A$1:$I$88,7,0))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projet'!$B$13,Paramètres!$A$1:$I$88,3,0)*0.475*44/12</f>
        <v>22.445172174414243</v>
      </c>
      <c r="DG92" s="21">
        <f>EXP(-LN(2)/25)*DG91+(1-EXP(-LN(2)/25))/(LN(2)/25)*Calculateur!DB92*Calculateur!DD92*VLOOKUP('Données projet'!$B$13,Paramètres!$A$1:$I$88,3,0)*0.475*44/12</f>
        <v>0</v>
      </c>
      <c r="DH92" s="21">
        <f>EXP(-LN(2)/2)*DH91+(1-EXP(-LN(2)/2))/(LN(2)/2)*DB92*DE92*VLOOKUP('Données projet'!$B$13,Paramètres!$A$1:$I$88,3,0)*0.475*44/12</f>
        <v>7.4473530005500557E-9</v>
      </c>
      <c r="DI92" s="22">
        <f t="shared" si="69"/>
        <v>22.445172181861597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projet'!$B$14,Paramètres!$A$1:$I$88,3,0)*VLOOKUP('Données projet'!$B$14,Paramètres!$A$1:$I$88,5,0)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projet'!$B$14,Paramètres!$A$1:$I$88,7,0))</f>
        <v>0</v>
      </c>
      <c r="DY92" s="16">
        <f>IF(ISNA(VLOOKUP(A92,'Données projet'!$A$165:$I$185,6,0)),0%,VLOOKUP(A92,'Données projet'!$A$165:$I$185,6,0)*VLOOKUP('Données projet'!$B$14,Paramètres!$A$1:$I$88,7,0))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projet'!$B$14,Paramètres!$A$1:$I$88,3,0)*0.475*44/12</f>
        <v>#N/A</v>
      </c>
      <c r="EB92" s="21" t="e">
        <f>EXP(-LN(2)/25)*EB91+(1-EXP(-LN(2)/25))/(LN(2)/25)*Calculateur!DW92*Calculateur!DY92*VLOOKUP('Données projet'!$B$14,Paramètres!$A$1:$I$88,3,0)*0.475*44/12</f>
        <v>#N/A</v>
      </c>
      <c r="EC92" s="21" t="e">
        <f>EXP(-LN(2)/2)*EC91+(1-EXP(-LN(2)/2))/(LN(2)/2)*DW92*DZ92*VLOOKUP('Données projet'!$B$14,Paramètres!$A$1:$I$88,3,0)*0.475*44/12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projet'!$B$15,Paramètres!$A$1:$I$88,3,0)*VLOOKUP('Données projet'!$B$15,Paramètres!$A$1:$I$88,5,0)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projet'!$B$15,Paramètres!$A$1:$I$88,7,0))</f>
        <v>0</v>
      </c>
      <c r="ET92" s="16">
        <f>IF(ISNA(VLOOKUP(A92,'Données projet'!$A$191:$I$211,6,0)),0%,VLOOKUP(A92,'Données projet'!$A$191:$I$211,6,0)*VLOOKUP('Données projet'!$B$15,Paramètres!$A$1:$I$88,7,0))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projet'!$B$15,Paramètres!$A$1:$I$88,3,0)*0.475*44/12</f>
        <v>#N/A</v>
      </c>
      <c r="EW92" s="21" t="e">
        <f>EXP(-LN(2)/25)*EW91+(1-EXP(-LN(2)/25))/(LN(2)/25)*Calculateur!ER92*Calculateur!ET92*VLOOKUP('Données projet'!$B$15,Paramètres!$A$1:$I$88,3,0)*0.475*44/12</f>
        <v>#N/A</v>
      </c>
      <c r="EX92" s="21" t="e">
        <f>EXP(-LN(2)/2)*EX91+(1-EXP(-LN(2)/2))/(LN(2)/2)*ER92*EU92*VLOOKUP('Données projet'!$B$15,Paramètres!$A$1:$I$88,3,0)*0.475*44/12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projet'!$B$16,Paramètres!$A$1:$I$88,3,0)*VLOOKUP('Données projet'!$B$16,Paramètres!$A$1:$I$88,5,0)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projet'!$B$16,Paramètres!$A$1:$I$88,7,0))</f>
        <v>0</v>
      </c>
      <c r="FO92" s="16">
        <f>IF(ISNA(VLOOKUP(A92,'Données projet'!$A$217:$I$237,6,0)),0%,VLOOKUP(A92,'Données projet'!$A$217:$I$237,6,0)*VLOOKUP('Données projet'!$B$16,Paramètres!$A$1:$I$88,7,0))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projet'!$B$16,Paramètres!$A$1:$I$88,3,0)*0.475*44/12</f>
        <v>#N/A</v>
      </c>
      <c r="FR92" s="21" t="e">
        <f>EXP(-LN(2)/25)*FR91+(1-EXP(-LN(2)/25))/(LN(2)/25)*Calculateur!FM92*Calculateur!FO92*VLOOKUP('Données projet'!$B$16,Paramètres!$A$1:$I$88,3,0)*0.475*44/12</f>
        <v>#N/A</v>
      </c>
      <c r="FS92" s="21" t="e">
        <f>EXP(-LN(2)/2)*FS91+(1-EXP(-LN(2)/2))/(LN(2)/2)*FM92*FP92*VLOOKUP('Données projet'!$B$16,Paramètres!$A$1:$I$88,3,0)*0.475*44/12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projet'!$B$17,Paramètres!$A$1:$I$88,3,0)*VLOOKUP('Données projet'!$B$17,Paramètres!$A$1:$I$88,5,0)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projet'!$B$17,Paramètres!$A$1:$I$88,7,0))</f>
        <v>0</v>
      </c>
      <c r="GJ92" s="16">
        <f>IF(ISNA(VLOOKUP(A92,'Données projet'!$A$243:$I$263,6,0)),0%,VLOOKUP(A92,'Données projet'!$A$243:$I$263,6,0)*VLOOKUP('Données projet'!$B$17,Paramètres!$A$1:$I$88,7,0))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projet'!$B$17,Paramètres!$A$1:$I$88,3,0)*0.475*44/12</f>
        <v>#N/A</v>
      </c>
      <c r="GM92" s="21" t="e">
        <f>EXP(-LN(2)/25)*GM91+(1-EXP(-LN(2)/25))/(LN(2)/25)*Calculateur!GH92*Calculateur!GJ92*VLOOKUP('Données projet'!$B$17,Paramètres!$A$1:$I$88,3,0)*0.475*44/12</f>
        <v>#N/A</v>
      </c>
      <c r="GN92" s="21" t="e">
        <f>EXP(-LN(2)/2)*GN91+(1-EXP(-LN(2)/2))/(LN(2)/2)*GH92*GK92*VLOOKUP('Données projet'!$B$17,Paramètres!$A$1:$I$88,3,0)*0.475*44/12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projet'!$B$18,Paramètres!$A$1:$I$88,3,0)*VLOOKUP('Données projet'!$B$18,Paramètres!$A$1:$I$88,5,0)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projet'!$B$18,Paramètres!$A$1:$I$88,7,0))</f>
        <v>0</v>
      </c>
      <c r="HE92" s="16">
        <f>IF(ISNA(VLOOKUP(A92,'Données projet'!$A$269:$I$289,6,0)),0%,VLOOKUP(A92,'Données projet'!$A$269:$I$289,6,0)*VLOOKUP('Données projet'!$B$18,Paramètres!$A$1:$I$88,7,0))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projet'!$B$18,Paramètres!$A$1:$I$88,3,0)*0.475*44/12</f>
        <v>#N/A</v>
      </c>
      <c r="HH92" s="21" t="e">
        <f>EXP(-LN(2)/25)*HH91+(1-EXP(-LN(2)/25))/(LN(2)/25)*Calculateur!HC92*Calculateur!HE92*VLOOKUP('Données projet'!$B$18,Paramètres!$A$1:$I$88,3,0)*0.475*44/12</f>
        <v>#N/A</v>
      </c>
      <c r="HI92" s="21" t="e">
        <f>EXP(-LN(2)/2)*HI91+(1-EXP(-LN(2)/2))/(LN(2)/2)*HC92*HF92*VLOOKUP('Données projet'!$B$18,Paramètres!$A$1:$I$88,3,0)*0.475*44/12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projet'!$B$9,Paramètres!$A$1:$I$88,3,0)*VLOOKUP('Données projet'!$B$9,Paramètres!$A$1:$I$88,5,0)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195.73441209602686</v>
      </c>
      <c r="T93" s="59">
        <f t="shared" si="88"/>
        <v>219.19129224309006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projet'!$B$9,Paramètres!$A$1:$I$88,7,0))</f>
        <v>0</v>
      </c>
      <c r="X93" s="16">
        <f>IF(ISNA(VLOOKUP(A93,'Données projet'!$A$35:$I$55,6,0)),0%,VLOOKUP(A93,'Données projet'!$A$35:$I$55,6,0)*VLOOKUP('Données projet'!$B$9,Paramètres!$A$1:$I$88,7,0))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projet'!$B$9,Paramètres!$A$1:$I$88,3,0)*0.475*44/12</f>
        <v>4.6482010578195254</v>
      </c>
      <c r="AA93" s="21">
        <f>EXP(-LN(2)/25)*AA92+(1-EXP(-LN(2)/25))/(LN(2)/25)*Calculateur!V93*Calculateur!X93*VLOOKUP('Données projet'!$B$9,Paramètres!$A$1:$I$88,3,0)*0.475*44/12</f>
        <v>2.6823728767468595</v>
      </c>
      <c r="AB93" s="21">
        <f>EXP(-LN(2)/2)*AB92+(1-EXP(-LN(2)/2))/(LN(2)/2)*V93*Y93*VLOOKUP('Données projet'!$B$9,Paramètres!$A$1:$I$88,3,0)*0.475*44/12</f>
        <v>3.6947762814861205E-11</v>
      </c>
      <c r="AC93" s="22">
        <f t="shared" si="57"/>
        <v>7.3305739346033318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-4.5474735088646412E-13</v>
      </c>
      <c r="AJ93" s="13">
        <f>AI93*VLOOKUP('Données projet'!$B$10,Paramètres!$A$1:$I$88,3,0)*VLOOKUP('Données projet'!$B$10,Paramètres!$A$1:$I$88,5,0)</f>
        <v>-2.7193891583010558E-13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246.59447135626942</v>
      </c>
      <c r="AO93" s="59">
        <f t="shared" si="90"/>
        <v>262.00382544285367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projet'!$B$10,Paramètres!$A$1:$I$88,7,0))</f>
        <v>0</v>
      </c>
      <c r="AS93" s="16">
        <f>IF(ISNA(VLOOKUP(A93,'Données projet'!$A$61:$I$81,6,0)),0%,VLOOKUP(A93,'Données projet'!$A$61:$I$81,6,0)*VLOOKUP('Données projet'!$B$10,Paramètres!$A$1:$I$88,7,0))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projet'!$B$10,Paramètres!$A$1:$I$88,3,0)*0.475*44/12</f>
        <v>0</v>
      </c>
      <c r="AV93" s="21">
        <f>EXP(-LN(2)/25)*AV92+(1-EXP(-LN(2)/25))/(LN(2)/25)*Calculateur!AQ93*Calculateur!AS93*VLOOKUP('Données projet'!$B$10,Paramètres!$A$1:$I$88,3,0)*0.475*44/12</f>
        <v>2.434480204124708</v>
      </c>
      <c r="AW93" s="21">
        <f>EXP(-LN(2)/2)*AW92+(1-EXP(-LN(2)/2))/(LN(2)/2)*AQ93*AT93*VLOOKUP('Données projet'!$B$10,Paramètres!$A$1:$I$88,3,0)*0.475*44/12</f>
        <v>2.2099688531662311E-8</v>
      </c>
      <c r="AX93" s="21">
        <f t="shared" si="60"/>
        <v>2.4344802262243967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-5.6843418860808015E-13</v>
      </c>
      <c r="BE93" s="13">
        <f>BD93*VLOOKUP('Données projet'!$B$11,Paramètres!$A$1:$I$88,3,0)*VLOOKUP('Données projet'!$B$11,Paramètres!$A$1:$I$88,5,0)</f>
        <v>-3.177547114319168E-13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355.96253323046608</v>
      </c>
      <c r="BJ93" s="59">
        <f t="shared" si="92"/>
        <v>366.8380442809696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projet'!$B$11,Paramètres!$A$1:$I$88,7,0))</f>
        <v>0</v>
      </c>
      <c r="BN93" s="16">
        <f>IF(ISNA(VLOOKUP(A93,'Données projet'!$A$87:$I$107,6,0)),0%,VLOOKUP(A93,'Données projet'!$A$87:$I$107,6,0)*VLOOKUP('Données projet'!$B$11,Paramètres!$A$1:$I$88,7,0))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projet'!$B$11,Paramètres!$A$1:$I$88,3,0)*0.475*44/12</f>
        <v>0</v>
      </c>
      <c r="BQ93" s="21">
        <f>EXP(-LN(2)/25)*BQ92+(1-EXP(-LN(2)/25))/(LN(2)/25)*Calculateur!BL93*Calculateur!BN93*VLOOKUP('Données projet'!$B$11,Paramètres!$A$1:$I$88,3,0)*0.475*44/12</f>
        <v>4.3102804944137851</v>
      </c>
      <c r="BR93" s="21">
        <f>EXP(-LN(2)/2)*BR92+(1-EXP(-LN(2)/2))/(LN(2)/2)*BL93*BO93*VLOOKUP('Données projet'!$B$11,Paramètres!$A$1:$I$88,3,0)*0.475*44/12</f>
        <v>3.4169719431042362E-8</v>
      </c>
      <c r="BS93" s="22">
        <f t="shared" si="63"/>
        <v>4.3102805285835046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5.6843418860808015E-14</v>
      </c>
      <c r="BZ93" s="13">
        <f>BY93*VLOOKUP('Données projet'!$B$12,Paramètres!$A$1:$I$88,3,0)*VLOOKUP('Données projet'!$B$12,Paramètres!$A$1:$I$88,5,0)</f>
        <v>3.7243808037601412E-14</v>
      </c>
      <c r="CA93" s="13">
        <f t="shared" si="93"/>
        <v>6.2767589361185393E-13</v>
      </c>
      <c r="CB93" s="20">
        <f t="shared" si="64"/>
        <v>1.1580684803728015E-12</v>
      </c>
      <c r="CC93" s="59">
        <f t="shared" si="65"/>
        <v>293.33333333333445</v>
      </c>
      <c r="CD93" s="59">
        <f ca="1">AVERAGE(OFFSET($CC$3,0,0,'Données projet'!$E$12+1,1))-AVERAGE(OFFSET($H$3,0,0,'Données projet'!$E$12+1,1))</f>
        <v>180.90147430936133</v>
      </c>
      <c r="CE93" s="59">
        <f t="shared" si="94"/>
        <v>226.87949199830018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projet'!$B$12,Paramètres!$A$1:$I$88,7,0))</f>
        <v>0</v>
      </c>
      <c r="CI93" s="16">
        <f>IF(ISNA(VLOOKUP(A93,'Données projet'!$A$113:$I$133,6,0)),0%,VLOOKUP(A93,'Données projet'!$A$113:$I$133,6,0)*VLOOKUP('Données projet'!$B$12,Paramètres!$A$1:$I$88,7,0))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projet'!$B$12,Paramètres!$A$1:$I$88,3,0)*0.475*44/12</f>
        <v>0</v>
      </c>
      <c r="CL93" s="21">
        <f>EXP(-LN(2)/25)*CL92+(1-EXP(-LN(2)/25))/(LN(2)/25)*Calculateur!CG93*Calculateur!CI93*VLOOKUP('Données projet'!$B$12,Paramètres!$A$1:$I$88,3,0)*0.475*44/12</f>
        <v>1.3017229228926075</v>
      </c>
      <c r="CM93" s="21">
        <f>EXP(-LN(2)/2)*CM92+(1-EXP(-LN(2)/2))/(LN(2)/2)*CG93*CJ93*VLOOKUP('Données projet'!$B$12,Paramètres!$A$1:$I$88,3,0)*0.475*44/12</f>
        <v>8.2538089279459505E-9</v>
      </c>
      <c r="CN93" s="22">
        <f t="shared" si="66"/>
        <v>1.3017229311464165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5.6843418860808015E-14</v>
      </c>
      <c r="CU93" s="17">
        <f>CT93*VLOOKUP('Données projet'!$B$13,Paramètres!$A$1:$I$88,3,0)*VLOOKUP('Données projet'!$B$13,Paramètres!$A$1:$I$88,5,0)</f>
        <v>2.8908289095852525E-14</v>
      </c>
      <c r="CV93" s="13">
        <f t="shared" si="95"/>
        <v>5.0177780569126974E-13</v>
      </c>
      <c r="CW93" s="20">
        <f t="shared" si="67"/>
        <v>9.2427828175423786E-13</v>
      </c>
      <c r="CX93" s="59">
        <f t="shared" si="68"/>
        <v>293.33333333333422</v>
      </c>
      <c r="CY93" s="59">
        <f ca="1">AVERAGE(OFFSET($CX$3,0,0,'Données projet'!$E$13+1,1))-AVERAGE(OFFSET($H$3,0,0,'Données projet'!$E$13+1,1))</f>
        <v>133.08385802816008</v>
      </c>
      <c r="CZ93" s="59">
        <f t="shared" si="96"/>
        <v>316.59112511251385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projet'!$B$13,Paramètres!$A$1:$I$88,7,0))</f>
        <v>0</v>
      </c>
      <c r="DD93" s="16">
        <f>IF(ISNA(VLOOKUP(A93,'Données projet'!$A$139:$I$159,6,0)),0%,VLOOKUP(A93,'Données projet'!$A$139:$I$159,6,0)*VLOOKUP('Données projet'!$B$13,Paramètres!$A$1:$I$88,7,0))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projet'!$B$13,Paramètres!$A$1:$I$88,3,0)*0.475*44/12</f>
        <v>22.005036038277211</v>
      </c>
      <c r="DG93" s="21">
        <f>EXP(-LN(2)/25)*DG92+(1-EXP(-LN(2)/25))/(LN(2)/25)*Calculateur!DB93*Calculateur!DD93*VLOOKUP('Données projet'!$B$13,Paramètres!$A$1:$I$88,3,0)*0.475*44/12</f>
        <v>0</v>
      </c>
      <c r="DH93" s="21">
        <f>EXP(-LN(2)/2)*DH92+(1-EXP(-LN(2)/2))/(LN(2)/2)*DB93*DE93*VLOOKUP('Données projet'!$B$13,Paramètres!$A$1:$I$88,3,0)*0.475*44/12</f>
        <v>5.2660738085789269E-9</v>
      </c>
      <c r="DI93" s="22">
        <f t="shared" si="69"/>
        <v>22.005036043543285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projet'!$B$14,Paramètres!$A$1:$I$88,3,0)*VLOOKUP('Données projet'!$B$14,Paramètres!$A$1:$I$88,5,0)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projet'!$B$14,Paramètres!$A$1:$I$88,7,0))</f>
        <v>0</v>
      </c>
      <c r="DY93" s="16">
        <f>IF(ISNA(VLOOKUP(A93,'Données projet'!$A$165:$I$185,6,0)),0%,VLOOKUP(A93,'Données projet'!$A$165:$I$185,6,0)*VLOOKUP('Données projet'!$B$14,Paramètres!$A$1:$I$88,7,0))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projet'!$B$14,Paramètres!$A$1:$I$88,3,0)*0.475*44/12</f>
        <v>#N/A</v>
      </c>
      <c r="EB93" s="21" t="e">
        <f>EXP(-LN(2)/25)*EB92+(1-EXP(-LN(2)/25))/(LN(2)/25)*Calculateur!DW93*Calculateur!DY93*VLOOKUP('Données projet'!$B$14,Paramètres!$A$1:$I$88,3,0)*0.475*44/12</f>
        <v>#N/A</v>
      </c>
      <c r="EC93" s="21" t="e">
        <f>EXP(-LN(2)/2)*EC92+(1-EXP(-LN(2)/2))/(LN(2)/2)*DW93*DZ93*VLOOKUP('Données projet'!$B$14,Paramètres!$A$1:$I$88,3,0)*0.475*44/12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projet'!$B$15,Paramètres!$A$1:$I$88,3,0)*VLOOKUP('Données projet'!$B$15,Paramètres!$A$1:$I$88,5,0)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projet'!$B$15,Paramètres!$A$1:$I$88,7,0))</f>
        <v>0</v>
      </c>
      <c r="ET93" s="16">
        <f>IF(ISNA(VLOOKUP(A93,'Données projet'!$A$191:$I$211,6,0)),0%,VLOOKUP(A93,'Données projet'!$A$191:$I$211,6,0)*VLOOKUP('Données projet'!$B$15,Paramètres!$A$1:$I$88,7,0))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projet'!$B$15,Paramètres!$A$1:$I$88,3,0)*0.475*44/12</f>
        <v>#N/A</v>
      </c>
      <c r="EW93" s="21" t="e">
        <f>EXP(-LN(2)/25)*EW92+(1-EXP(-LN(2)/25))/(LN(2)/25)*Calculateur!ER93*Calculateur!ET93*VLOOKUP('Données projet'!$B$15,Paramètres!$A$1:$I$88,3,0)*0.475*44/12</f>
        <v>#N/A</v>
      </c>
      <c r="EX93" s="21" t="e">
        <f>EXP(-LN(2)/2)*EX92+(1-EXP(-LN(2)/2))/(LN(2)/2)*ER93*EU93*VLOOKUP('Données projet'!$B$15,Paramètres!$A$1:$I$88,3,0)*0.475*44/12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projet'!$B$16,Paramètres!$A$1:$I$88,3,0)*VLOOKUP('Données projet'!$B$16,Paramètres!$A$1:$I$88,5,0)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projet'!$B$16,Paramètres!$A$1:$I$88,7,0))</f>
        <v>0</v>
      </c>
      <c r="FO93" s="16">
        <f>IF(ISNA(VLOOKUP(A93,'Données projet'!$A$217:$I$237,6,0)),0%,VLOOKUP(A93,'Données projet'!$A$217:$I$237,6,0)*VLOOKUP('Données projet'!$B$16,Paramètres!$A$1:$I$88,7,0))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projet'!$B$16,Paramètres!$A$1:$I$88,3,0)*0.475*44/12</f>
        <v>#N/A</v>
      </c>
      <c r="FR93" s="21" t="e">
        <f>EXP(-LN(2)/25)*FR92+(1-EXP(-LN(2)/25))/(LN(2)/25)*Calculateur!FM93*Calculateur!FO93*VLOOKUP('Données projet'!$B$16,Paramètres!$A$1:$I$88,3,0)*0.475*44/12</f>
        <v>#N/A</v>
      </c>
      <c r="FS93" s="21" t="e">
        <f>EXP(-LN(2)/2)*FS92+(1-EXP(-LN(2)/2))/(LN(2)/2)*FM93*FP93*VLOOKUP('Données projet'!$B$16,Paramètres!$A$1:$I$88,3,0)*0.475*44/12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projet'!$B$17,Paramètres!$A$1:$I$88,3,0)*VLOOKUP('Données projet'!$B$17,Paramètres!$A$1:$I$88,5,0)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projet'!$B$17,Paramètres!$A$1:$I$88,7,0))</f>
        <v>0</v>
      </c>
      <c r="GJ93" s="16">
        <f>IF(ISNA(VLOOKUP(A93,'Données projet'!$A$243:$I$263,6,0)),0%,VLOOKUP(A93,'Données projet'!$A$243:$I$263,6,0)*VLOOKUP('Données projet'!$B$17,Paramètres!$A$1:$I$88,7,0))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projet'!$B$17,Paramètres!$A$1:$I$88,3,0)*0.475*44/12</f>
        <v>#N/A</v>
      </c>
      <c r="GM93" s="21" t="e">
        <f>EXP(-LN(2)/25)*GM92+(1-EXP(-LN(2)/25))/(LN(2)/25)*Calculateur!GH93*Calculateur!GJ93*VLOOKUP('Données projet'!$B$17,Paramètres!$A$1:$I$88,3,0)*0.475*44/12</f>
        <v>#N/A</v>
      </c>
      <c r="GN93" s="21" t="e">
        <f>EXP(-LN(2)/2)*GN92+(1-EXP(-LN(2)/2))/(LN(2)/2)*GH93*GK93*VLOOKUP('Données projet'!$B$17,Paramètres!$A$1:$I$88,3,0)*0.475*44/12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projet'!$B$18,Paramètres!$A$1:$I$88,3,0)*VLOOKUP('Données projet'!$B$18,Paramètres!$A$1:$I$88,5,0)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projet'!$B$18,Paramètres!$A$1:$I$88,7,0))</f>
        <v>0</v>
      </c>
      <c r="HE93" s="16">
        <f>IF(ISNA(VLOOKUP(A93,'Données projet'!$A$269:$I$289,6,0)),0%,VLOOKUP(A93,'Données projet'!$A$269:$I$289,6,0)*VLOOKUP('Données projet'!$B$18,Paramètres!$A$1:$I$88,7,0))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projet'!$B$18,Paramètres!$A$1:$I$88,3,0)*0.475*44/12</f>
        <v>#N/A</v>
      </c>
      <c r="HH93" s="21" t="e">
        <f>EXP(-LN(2)/25)*HH92+(1-EXP(-LN(2)/25))/(LN(2)/25)*Calculateur!HC93*Calculateur!HE93*VLOOKUP('Données projet'!$B$18,Paramètres!$A$1:$I$88,3,0)*0.475*44/12</f>
        <v>#N/A</v>
      </c>
      <c r="HI93" s="21" t="e">
        <f>EXP(-LN(2)/2)*HI92+(1-EXP(-LN(2)/2))/(LN(2)/2)*HC93*HF93*VLOOKUP('Données projet'!$B$18,Paramètres!$A$1:$I$88,3,0)*0.475*44/12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projet'!$B$9,Paramètres!$A$1:$I$88,3,0)*VLOOKUP('Données projet'!$B$9,Paramètres!$A$1:$I$88,5,0)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195.73441209602686</v>
      </c>
      <c r="T94" s="59">
        <f t="shared" si="88"/>
        <v>219.19129224309006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projet'!$B$9,Paramètres!$A$1:$I$88,7,0))</f>
        <v>0</v>
      </c>
      <c r="X94" s="16">
        <f>IF(ISNA(VLOOKUP(A94,'Données projet'!$A$35:$I$55,6,0)),0%,VLOOKUP(A94,'Données projet'!$A$35:$I$55,6,0)*VLOOKUP('Données projet'!$B$9,Paramètres!$A$1:$I$88,7,0))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projet'!$B$9,Paramètres!$A$1:$I$88,3,0)*0.475*44/12</f>
        <v>4.5570526701983844</v>
      </c>
      <c r="AA94" s="21">
        <f>EXP(-LN(2)/25)*AA93+(1-EXP(-LN(2)/25))/(LN(2)/25)*Calculateur!V94*Calculateur!X94*VLOOKUP('Données projet'!$B$9,Paramètres!$A$1:$I$88,3,0)*0.475*44/12</f>
        <v>2.6090232493723575</v>
      </c>
      <c r="AB94" s="21">
        <f>EXP(-LN(2)/2)*AB93+(1-EXP(-LN(2)/2))/(LN(2)/2)*V94*Y94*VLOOKUP('Données projet'!$B$9,Paramètres!$A$1:$I$88,3,0)*0.475*44/12</f>
        <v>2.6126013636060519E-11</v>
      </c>
      <c r="AC94" s="22">
        <f t="shared" si="57"/>
        <v>7.1660759195968682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-4.5474735088646412E-13</v>
      </c>
      <c r="AJ94" s="13">
        <f>AI94*VLOOKUP('Données projet'!$B$10,Paramètres!$A$1:$I$88,3,0)*VLOOKUP('Données projet'!$B$10,Paramètres!$A$1:$I$88,5,0)</f>
        <v>-2.7193891583010558E-13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246.59447135626942</v>
      </c>
      <c r="AO94" s="59">
        <f t="shared" si="90"/>
        <v>262.00382544285367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projet'!$B$10,Paramètres!$A$1:$I$88,7,0))</f>
        <v>0</v>
      </c>
      <c r="AS94" s="16">
        <f>IF(ISNA(VLOOKUP(A94,'Données projet'!$A$61:$I$81,6,0)),0%,VLOOKUP(A94,'Données projet'!$A$61:$I$81,6,0)*VLOOKUP('Données projet'!$B$10,Paramètres!$A$1:$I$88,7,0))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projet'!$B$10,Paramètres!$A$1:$I$88,3,0)*0.475*44/12</f>
        <v>0</v>
      </c>
      <c r="AV94" s="21">
        <f>EXP(-LN(2)/25)*AV93+(1-EXP(-LN(2)/25))/(LN(2)/25)*Calculateur!AQ94*Calculateur!AS94*VLOOKUP('Données projet'!$B$10,Paramètres!$A$1:$I$88,3,0)*0.475*44/12</f>
        <v>2.3679092149191678</v>
      </c>
      <c r="AW94" s="21">
        <f>EXP(-LN(2)/2)*AW93+(1-EXP(-LN(2)/2))/(LN(2)/2)*AQ94*AT94*VLOOKUP('Données projet'!$B$10,Paramètres!$A$1:$I$88,3,0)*0.475*44/12</f>
        <v>1.5626839622848995E-8</v>
      </c>
      <c r="AX94" s="21">
        <f t="shared" si="60"/>
        <v>2.3679092305460077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-5.6843418860808015E-13</v>
      </c>
      <c r="BE94" s="13">
        <f>BD94*VLOOKUP('Données projet'!$B$11,Paramètres!$A$1:$I$88,3,0)*VLOOKUP('Données projet'!$B$11,Paramètres!$A$1:$I$88,5,0)</f>
        <v>-3.177547114319168E-13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355.96253323046608</v>
      </c>
      <c r="BJ94" s="59">
        <f t="shared" si="92"/>
        <v>366.8380442809696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projet'!$B$11,Paramètres!$A$1:$I$88,7,0))</f>
        <v>0</v>
      </c>
      <c r="BN94" s="16">
        <f>IF(ISNA(VLOOKUP(A94,'Données projet'!$A$87:$I$107,6,0)),0%,VLOOKUP(A94,'Données projet'!$A$87:$I$107,6,0)*VLOOKUP('Données projet'!$B$11,Paramètres!$A$1:$I$88,7,0))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projet'!$B$11,Paramètres!$A$1:$I$88,3,0)*0.475*44/12</f>
        <v>0</v>
      </c>
      <c r="BQ94" s="21">
        <f>EXP(-LN(2)/25)*BQ93+(1-EXP(-LN(2)/25))/(LN(2)/25)*Calculateur!BL94*Calculateur!BN94*VLOOKUP('Données projet'!$B$11,Paramètres!$A$1:$I$88,3,0)*0.475*44/12</f>
        <v>4.1924156476262402</v>
      </c>
      <c r="BR94" s="21">
        <f>EXP(-LN(2)/2)*BR93+(1-EXP(-LN(2)/2))/(LN(2)/2)*BL94*BO94*VLOOKUP('Données projet'!$B$11,Paramètres!$A$1:$I$88,3,0)*0.475*44/12</f>
        <v>2.4161640320931793E-8</v>
      </c>
      <c r="BS94" s="22">
        <f t="shared" si="63"/>
        <v>4.1924156717878809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5.6843418860808015E-14</v>
      </c>
      <c r="BZ94" s="13">
        <f>BY94*VLOOKUP('Données projet'!$B$12,Paramètres!$A$1:$I$88,3,0)*VLOOKUP('Données projet'!$B$12,Paramètres!$A$1:$I$88,5,0)</f>
        <v>3.7243808037601412E-14</v>
      </c>
      <c r="CA94" s="13">
        <f t="shared" si="93"/>
        <v>6.2767589361185393E-13</v>
      </c>
      <c r="CB94" s="20">
        <f t="shared" si="64"/>
        <v>1.1580684803728015E-12</v>
      </c>
      <c r="CC94" s="59">
        <f t="shared" si="65"/>
        <v>293.33333333333445</v>
      </c>
      <c r="CD94" s="59">
        <f ca="1">AVERAGE(OFFSET($CC$3,0,0,'Données projet'!$E$12+1,1))-AVERAGE(OFFSET($H$3,0,0,'Données projet'!$E$12+1,1))</f>
        <v>180.90147430936133</v>
      </c>
      <c r="CE94" s="59">
        <f t="shared" si="94"/>
        <v>226.87949199830018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projet'!$B$12,Paramètres!$A$1:$I$88,7,0))</f>
        <v>0</v>
      </c>
      <c r="CI94" s="16">
        <f>IF(ISNA(VLOOKUP(A94,'Données projet'!$A$113:$I$133,6,0)),0%,VLOOKUP(A94,'Données projet'!$A$113:$I$133,6,0)*VLOOKUP('Données projet'!$B$12,Paramètres!$A$1:$I$88,7,0))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projet'!$B$12,Paramètres!$A$1:$I$88,3,0)*0.475*44/12</f>
        <v>0</v>
      </c>
      <c r="CL94" s="21">
        <f>EXP(-LN(2)/25)*CL93+(1-EXP(-LN(2)/25))/(LN(2)/25)*Calculateur!CG94*Calculateur!CI94*VLOOKUP('Données projet'!$B$12,Paramètres!$A$1:$I$88,3,0)*0.475*44/12</f>
        <v>1.2661272411114757</v>
      </c>
      <c r="CM94" s="21">
        <f>EXP(-LN(2)/2)*CM93+(1-EXP(-LN(2)/2))/(LN(2)/2)*CG94*CJ94*VLOOKUP('Données projet'!$B$12,Paramètres!$A$1:$I$88,3,0)*0.475*44/12</f>
        <v>5.8363242635686498E-9</v>
      </c>
      <c r="CN94" s="22">
        <f t="shared" si="66"/>
        <v>1.2661272469478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5.6843418860808015E-14</v>
      </c>
      <c r="CU94" s="17">
        <f>CT94*VLOOKUP('Données projet'!$B$13,Paramètres!$A$1:$I$88,3,0)*VLOOKUP('Données projet'!$B$13,Paramètres!$A$1:$I$88,5,0)</f>
        <v>2.8908289095852525E-14</v>
      </c>
      <c r="CV94" s="13">
        <f t="shared" si="95"/>
        <v>5.0177780569126974E-13</v>
      </c>
      <c r="CW94" s="20">
        <f t="shared" si="67"/>
        <v>9.2427828175423786E-13</v>
      </c>
      <c r="CX94" s="59">
        <f t="shared" si="68"/>
        <v>293.33333333333422</v>
      </c>
      <c r="CY94" s="59">
        <f ca="1">AVERAGE(OFFSET($CX$3,0,0,'Données projet'!$E$13+1,1))-AVERAGE(OFFSET($H$3,0,0,'Données projet'!$E$13+1,1))</f>
        <v>133.08385802816008</v>
      </c>
      <c r="CZ94" s="59">
        <f t="shared" si="96"/>
        <v>316.59112511251385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projet'!$B$13,Paramètres!$A$1:$I$88,7,0))</f>
        <v>0</v>
      </c>
      <c r="DD94" s="16">
        <f>IF(ISNA(VLOOKUP(A94,'Données projet'!$A$139:$I$159,6,0)),0%,VLOOKUP(A94,'Données projet'!$A$139:$I$159,6,0)*VLOOKUP('Données projet'!$B$13,Paramètres!$A$1:$I$88,7,0))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projet'!$B$13,Paramètres!$A$1:$I$88,3,0)*0.475*44/12</f>
        <v>21.573530703313292</v>
      </c>
      <c r="DG94" s="21">
        <f>EXP(-LN(2)/25)*DG93+(1-EXP(-LN(2)/25))/(LN(2)/25)*Calculateur!DB94*Calculateur!DD94*VLOOKUP('Données projet'!$B$13,Paramètres!$A$1:$I$88,3,0)*0.475*44/12</f>
        <v>0</v>
      </c>
      <c r="DH94" s="21">
        <f>EXP(-LN(2)/2)*DH93+(1-EXP(-LN(2)/2))/(LN(2)/2)*DB94*DE94*VLOOKUP('Données projet'!$B$13,Paramètres!$A$1:$I$88,3,0)*0.475*44/12</f>
        <v>3.7236765002750283E-9</v>
      </c>
      <c r="DI94" s="22">
        <f t="shared" si="69"/>
        <v>21.573530707036969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projet'!$B$14,Paramètres!$A$1:$I$88,3,0)*VLOOKUP('Données projet'!$B$14,Paramètres!$A$1:$I$88,5,0)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projet'!$B$14,Paramètres!$A$1:$I$88,7,0))</f>
        <v>0</v>
      </c>
      <c r="DY94" s="16">
        <f>IF(ISNA(VLOOKUP(A94,'Données projet'!$A$165:$I$185,6,0)),0%,VLOOKUP(A94,'Données projet'!$A$165:$I$185,6,0)*VLOOKUP('Données projet'!$B$14,Paramètres!$A$1:$I$88,7,0))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projet'!$B$14,Paramètres!$A$1:$I$88,3,0)*0.475*44/12</f>
        <v>#N/A</v>
      </c>
      <c r="EB94" s="21" t="e">
        <f>EXP(-LN(2)/25)*EB93+(1-EXP(-LN(2)/25))/(LN(2)/25)*Calculateur!DW94*Calculateur!DY94*VLOOKUP('Données projet'!$B$14,Paramètres!$A$1:$I$88,3,0)*0.475*44/12</f>
        <v>#N/A</v>
      </c>
      <c r="EC94" s="21" t="e">
        <f>EXP(-LN(2)/2)*EC93+(1-EXP(-LN(2)/2))/(LN(2)/2)*DW94*DZ94*VLOOKUP('Données projet'!$B$14,Paramètres!$A$1:$I$88,3,0)*0.475*44/12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projet'!$B$15,Paramètres!$A$1:$I$88,3,0)*VLOOKUP('Données projet'!$B$15,Paramètres!$A$1:$I$88,5,0)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projet'!$B$15,Paramètres!$A$1:$I$88,7,0))</f>
        <v>0</v>
      </c>
      <c r="ET94" s="16">
        <f>IF(ISNA(VLOOKUP(A94,'Données projet'!$A$191:$I$211,6,0)),0%,VLOOKUP(A94,'Données projet'!$A$191:$I$211,6,0)*VLOOKUP('Données projet'!$B$15,Paramètres!$A$1:$I$88,7,0))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projet'!$B$15,Paramètres!$A$1:$I$88,3,0)*0.475*44/12</f>
        <v>#N/A</v>
      </c>
      <c r="EW94" s="21" t="e">
        <f>EXP(-LN(2)/25)*EW93+(1-EXP(-LN(2)/25))/(LN(2)/25)*Calculateur!ER94*Calculateur!ET94*VLOOKUP('Données projet'!$B$15,Paramètres!$A$1:$I$88,3,0)*0.475*44/12</f>
        <v>#N/A</v>
      </c>
      <c r="EX94" s="21" t="e">
        <f>EXP(-LN(2)/2)*EX93+(1-EXP(-LN(2)/2))/(LN(2)/2)*ER94*EU94*VLOOKUP('Données projet'!$B$15,Paramètres!$A$1:$I$88,3,0)*0.475*44/12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projet'!$B$16,Paramètres!$A$1:$I$88,3,0)*VLOOKUP('Données projet'!$B$16,Paramètres!$A$1:$I$88,5,0)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projet'!$B$16,Paramètres!$A$1:$I$88,7,0))</f>
        <v>0</v>
      </c>
      <c r="FO94" s="16">
        <f>IF(ISNA(VLOOKUP(A94,'Données projet'!$A$217:$I$237,6,0)),0%,VLOOKUP(A94,'Données projet'!$A$217:$I$237,6,0)*VLOOKUP('Données projet'!$B$16,Paramètres!$A$1:$I$88,7,0))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projet'!$B$16,Paramètres!$A$1:$I$88,3,0)*0.475*44/12</f>
        <v>#N/A</v>
      </c>
      <c r="FR94" s="21" t="e">
        <f>EXP(-LN(2)/25)*FR93+(1-EXP(-LN(2)/25))/(LN(2)/25)*Calculateur!FM94*Calculateur!FO94*VLOOKUP('Données projet'!$B$16,Paramètres!$A$1:$I$88,3,0)*0.475*44/12</f>
        <v>#N/A</v>
      </c>
      <c r="FS94" s="21" t="e">
        <f>EXP(-LN(2)/2)*FS93+(1-EXP(-LN(2)/2))/(LN(2)/2)*FM94*FP94*VLOOKUP('Données projet'!$B$16,Paramètres!$A$1:$I$88,3,0)*0.475*44/12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projet'!$B$17,Paramètres!$A$1:$I$88,3,0)*VLOOKUP('Données projet'!$B$17,Paramètres!$A$1:$I$88,5,0)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projet'!$B$17,Paramètres!$A$1:$I$88,7,0))</f>
        <v>0</v>
      </c>
      <c r="GJ94" s="16">
        <f>IF(ISNA(VLOOKUP(A94,'Données projet'!$A$243:$I$263,6,0)),0%,VLOOKUP(A94,'Données projet'!$A$243:$I$263,6,0)*VLOOKUP('Données projet'!$B$17,Paramètres!$A$1:$I$88,7,0))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projet'!$B$17,Paramètres!$A$1:$I$88,3,0)*0.475*44/12</f>
        <v>#N/A</v>
      </c>
      <c r="GM94" s="21" t="e">
        <f>EXP(-LN(2)/25)*GM93+(1-EXP(-LN(2)/25))/(LN(2)/25)*Calculateur!GH94*Calculateur!GJ94*VLOOKUP('Données projet'!$B$17,Paramètres!$A$1:$I$88,3,0)*0.475*44/12</f>
        <v>#N/A</v>
      </c>
      <c r="GN94" s="21" t="e">
        <f>EXP(-LN(2)/2)*GN93+(1-EXP(-LN(2)/2))/(LN(2)/2)*GH94*GK94*VLOOKUP('Données projet'!$B$17,Paramètres!$A$1:$I$88,3,0)*0.475*44/12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projet'!$B$18,Paramètres!$A$1:$I$88,3,0)*VLOOKUP('Données projet'!$B$18,Paramètres!$A$1:$I$88,5,0)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projet'!$B$18,Paramètres!$A$1:$I$88,7,0))</f>
        <v>0</v>
      </c>
      <c r="HE94" s="16">
        <f>IF(ISNA(VLOOKUP(A94,'Données projet'!$A$269:$I$289,6,0)),0%,VLOOKUP(A94,'Données projet'!$A$269:$I$289,6,0)*VLOOKUP('Données projet'!$B$18,Paramètres!$A$1:$I$88,7,0))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projet'!$B$18,Paramètres!$A$1:$I$88,3,0)*0.475*44/12</f>
        <v>#N/A</v>
      </c>
      <c r="HH94" s="21" t="e">
        <f>EXP(-LN(2)/25)*HH93+(1-EXP(-LN(2)/25))/(LN(2)/25)*Calculateur!HC94*Calculateur!HE94*VLOOKUP('Données projet'!$B$18,Paramètres!$A$1:$I$88,3,0)*0.475*44/12</f>
        <v>#N/A</v>
      </c>
      <c r="HI94" s="21" t="e">
        <f>EXP(-LN(2)/2)*HI93+(1-EXP(-LN(2)/2))/(LN(2)/2)*HC94*HF94*VLOOKUP('Données projet'!$B$18,Paramètres!$A$1:$I$88,3,0)*0.475*44/12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projet'!$B$9,Paramètres!$A$1:$I$88,3,0)*VLOOKUP('Données projet'!$B$9,Paramètres!$A$1:$I$88,5,0)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195.73441209602686</v>
      </c>
      <c r="T95" s="59">
        <f t="shared" si="88"/>
        <v>219.19129224309006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projet'!$B$9,Paramètres!$A$1:$I$88,7,0))</f>
        <v>0</v>
      </c>
      <c r="X95" s="16">
        <f>IF(ISNA(VLOOKUP(A95,'Données projet'!$A$35:$I$55,6,0)),0%,VLOOKUP(A95,'Données projet'!$A$35:$I$55,6,0)*VLOOKUP('Données projet'!$B$9,Paramètres!$A$1:$I$88,7,0))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projet'!$B$9,Paramètres!$A$1:$I$88,3,0)*0.475*44/12</f>
        <v>4.4676916468634671</v>
      </c>
      <c r="AA95" s="21">
        <f>EXP(-LN(2)/25)*AA94+(1-EXP(-LN(2)/25))/(LN(2)/25)*Calculateur!V95*Calculateur!X95*VLOOKUP('Données projet'!$B$9,Paramètres!$A$1:$I$88,3,0)*0.475*44/12</f>
        <v>2.5376793714157007</v>
      </c>
      <c r="AB95" s="21">
        <f>EXP(-LN(2)/2)*AB94+(1-EXP(-LN(2)/2))/(LN(2)/2)*V95*Y95*VLOOKUP('Données projet'!$B$9,Paramètres!$A$1:$I$88,3,0)*0.475*44/12</f>
        <v>1.8473881407430602E-11</v>
      </c>
      <c r="AC95" s="22">
        <f t="shared" si="57"/>
        <v>7.0053710182976419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-4.5474735088646412E-13</v>
      </c>
      <c r="AJ95" s="13">
        <f>AI95*VLOOKUP('Données projet'!$B$10,Paramètres!$A$1:$I$88,3,0)*VLOOKUP('Données projet'!$B$10,Paramètres!$A$1:$I$88,5,0)</f>
        <v>-2.7193891583010558E-13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246.59447135626942</v>
      </c>
      <c r="AO95" s="59">
        <f t="shared" si="90"/>
        <v>262.00382544285367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projet'!$B$10,Paramètres!$A$1:$I$88,7,0))</f>
        <v>0</v>
      </c>
      <c r="AS95" s="16">
        <f>IF(ISNA(VLOOKUP(A95,'Données projet'!$A$61:$I$81,6,0)),0%,VLOOKUP(A95,'Données projet'!$A$61:$I$81,6,0)*VLOOKUP('Données projet'!$B$10,Paramètres!$A$1:$I$88,7,0))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projet'!$B$10,Paramètres!$A$1:$I$88,3,0)*0.475*44/12</f>
        <v>0</v>
      </c>
      <c r="AV95" s="21">
        <f>EXP(-LN(2)/25)*AV94+(1-EXP(-LN(2)/25))/(LN(2)/25)*Calculateur!AQ95*Calculateur!AS95*VLOOKUP('Données projet'!$B$10,Paramètres!$A$1:$I$88,3,0)*0.475*44/12</f>
        <v>2.3031586129142694</v>
      </c>
      <c r="AW95" s="21">
        <f>EXP(-LN(2)/2)*AW94+(1-EXP(-LN(2)/2))/(LN(2)/2)*AQ95*AT95*VLOOKUP('Données projet'!$B$10,Paramètres!$A$1:$I$88,3,0)*0.475*44/12</f>
        <v>1.1049844265831155E-8</v>
      </c>
      <c r="AX95" s="21">
        <f t="shared" si="60"/>
        <v>2.3031586239641135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-5.6843418860808015E-13</v>
      </c>
      <c r="BE95" s="13">
        <f>BD95*VLOOKUP('Données projet'!$B$11,Paramètres!$A$1:$I$88,3,0)*VLOOKUP('Données projet'!$B$11,Paramètres!$A$1:$I$88,5,0)</f>
        <v>-3.177547114319168E-13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355.96253323046608</v>
      </c>
      <c r="BJ95" s="59">
        <f t="shared" si="92"/>
        <v>366.8380442809696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projet'!$B$11,Paramètres!$A$1:$I$88,7,0))</f>
        <v>0</v>
      </c>
      <c r="BN95" s="16">
        <f>IF(ISNA(VLOOKUP(A95,'Données projet'!$A$87:$I$107,6,0)),0%,VLOOKUP(A95,'Données projet'!$A$87:$I$107,6,0)*VLOOKUP('Données projet'!$B$11,Paramètres!$A$1:$I$88,7,0))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projet'!$B$11,Paramètres!$A$1:$I$88,3,0)*0.475*44/12</f>
        <v>0</v>
      </c>
      <c r="BQ95" s="21">
        <f>EXP(-LN(2)/25)*BQ94+(1-EXP(-LN(2)/25))/(LN(2)/25)*Calculateur!BL95*Calculateur!BN95*VLOOKUP('Données projet'!$B$11,Paramètres!$A$1:$I$88,3,0)*0.475*44/12</f>
        <v>4.077773821272344</v>
      </c>
      <c r="BR95" s="21">
        <f>EXP(-LN(2)/2)*BR94+(1-EXP(-LN(2)/2))/(LN(2)/2)*BL95*BO95*VLOOKUP('Données projet'!$B$11,Paramètres!$A$1:$I$88,3,0)*0.475*44/12</f>
        <v>1.7084859715521181E-8</v>
      </c>
      <c r="BS95" s="22">
        <f t="shared" si="63"/>
        <v>4.0777738383572038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5.6843418860808015E-14</v>
      </c>
      <c r="BZ95" s="13">
        <f>BY95*VLOOKUP('Données projet'!$B$12,Paramètres!$A$1:$I$88,3,0)*VLOOKUP('Données projet'!$B$12,Paramètres!$A$1:$I$88,5,0)</f>
        <v>3.7243808037601412E-14</v>
      </c>
      <c r="CA95" s="13">
        <f t="shared" si="93"/>
        <v>6.2767589361185393E-13</v>
      </c>
      <c r="CB95" s="20">
        <f t="shared" si="64"/>
        <v>1.1580684803728015E-12</v>
      </c>
      <c r="CC95" s="59">
        <f t="shared" si="65"/>
        <v>293.33333333333445</v>
      </c>
      <c r="CD95" s="59">
        <f ca="1">AVERAGE(OFFSET($CC$3,0,0,'Données projet'!$E$12+1,1))-AVERAGE(OFFSET($H$3,0,0,'Données projet'!$E$12+1,1))</f>
        <v>180.90147430936133</v>
      </c>
      <c r="CE95" s="59">
        <f t="shared" si="94"/>
        <v>226.87949199830018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projet'!$B$12,Paramètres!$A$1:$I$88,7,0))</f>
        <v>0</v>
      </c>
      <c r="CI95" s="16">
        <f>IF(ISNA(VLOOKUP(A95,'Données projet'!$A$113:$I$133,6,0)),0%,VLOOKUP(A95,'Données projet'!$A$113:$I$133,6,0)*VLOOKUP('Données projet'!$B$12,Paramètres!$A$1:$I$88,7,0))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projet'!$B$12,Paramètres!$A$1:$I$88,3,0)*0.475*44/12</f>
        <v>0</v>
      </c>
      <c r="CL95" s="21">
        <f>EXP(-LN(2)/25)*CL94+(1-EXP(-LN(2)/25))/(LN(2)/25)*Calculateur!CG95*Calculateur!CI95*VLOOKUP('Données projet'!$B$12,Paramètres!$A$1:$I$88,3,0)*0.475*44/12</f>
        <v>1.2315049251205445</v>
      </c>
      <c r="CM95" s="21">
        <f>EXP(-LN(2)/2)*CM94+(1-EXP(-LN(2)/2))/(LN(2)/2)*CG95*CJ95*VLOOKUP('Données projet'!$B$12,Paramètres!$A$1:$I$88,3,0)*0.475*44/12</f>
        <v>4.1269044639729753E-9</v>
      </c>
      <c r="CN95" s="22">
        <f t="shared" si="66"/>
        <v>1.2315049292474489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5.6843418860808015E-14</v>
      </c>
      <c r="CU95" s="17">
        <f>CT95*VLOOKUP('Données projet'!$B$13,Paramètres!$A$1:$I$88,3,0)*VLOOKUP('Données projet'!$B$13,Paramètres!$A$1:$I$88,5,0)</f>
        <v>2.8908289095852525E-14</v>
      </c>
      <c r="CV95" s="13">
        <f t="shared" si="95"/>
        <v>5.0177780569126974E-13</v>
      </c>
      <c r="CW95" s="20">
        <f t="shared" si="67"/>
        <v>9.2427828175423786E-13</v>
      </c>
      <c r="CX95" s="59">
        <f t="shared" si="68"/>
        <v>293.33333333333422</v>
      </c>
      <c r="CY95" s="59">
        <f ca="1">AVERAGE(OFFSET($CX$3,0,0,'Données projet'!$E$13+1,1))-AVERAGE(OFFSET($H$3,0,0,'Données projet'!$E$13+1,1))</f>
        <v>133.08385802816008</v>
      </c>
      <c r="CZ95" s="59">
        <f t="shared" si="96"/>
        <v>316.59112511251385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projet'!$B$13,Paramètres!$A$1:$I$88,7,0))</f>
        <v>0</v>
      </c>
      <c r="DD95" s="16">
        <f>IF(ISNA(VLOOKUP(A95,'Données projet'!$A$139:$I$159,6,0)),0%,VLOOKUP(A95,'Données projet'!$A$139:$I$159,6,0)*VLOOKUP('Données projet'!$B$13,Paramètres!$A$1:$I$88,7,0))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projet'!$B$13,Paramètres!$A$1:$I$88,3,0)*0.475*44/12</f>
        <v>21.150486924775748</v>
      </c>
      <c r="DG95" s="21">
        <f>EXP(-LN(2)/25)*DG94+(1-EXP(-LN(2)/25))/(LN(2)/25)*Calculateur!DB95*Calculateur!DD95*VLOOKUP('Données projet'!$B$13,Paramètres!$A$1:$I$88,3,0)*0.475*44/12</f>
        <v>0</v>
      </c>
      <c r="DH95" s="21">
        <f>EXP(-LN(2)/2)*DH94+(1-EXP(-LN(2)/2))/(LN(2)/2)*DB95*DE95*VLOOKUP('Données projet'!$B$13,Paramètres!$A$1:$I$88,3,0)*0.475*44/12</f>
        <v>2.6330369042894639E-9</v>
      </c>
      <c r="DI95" s="22">
        <f t="shared" si="69"/>
        <v>21.150486927408785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projet'!$B$14,Paramètres!$A$1:$I$88,3,0)*VLOOKUP('Données projet'!$B$14,Paramètres!$A$1:$I$88,5,0)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projet'!$B$14,Paramètres!$A$1:$I$88,7,0))</f>
        <v>0</v>
      </c>
      <c r="DY95" s="16">
        <f>IF(ISNA(VLOOKUP(A95,'Données projet'!$A$165:$I$185,6,0)),0%,VLOOKUP(A95,'Données projet'!$A$165:$I$185,6,0)*VLOOKUP('Données projet'!$B$14,Paramètres!$A$1:$I$88,7,0))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projet'!$B$14,Paramètres!$A$1:$I$88,3,0)*0.475*44/12</f>
        <v>#N/A</v>
      </c>
      <c r="EB95" s="21" t="e">
        <f>EXP(-LN(2)/25)*EB94+(1-EXP(-LN(2)/25))/(LN(2)/25)*Calculateur!DW95*Calculateur!DY95*VLOOKUP('Données projet'!$B$14,Paramètres!$A$1:$I$88,3,0)*0.475*44/12</f>
        <v>#N/A</v>
      </c>
      <c r="EC95" s="21" t="e">
        <f>EXP(-LN(2)/2)*EC94+(1-EXP(-LN(2)/2))/(LN(2)/2)*DW95*DZ95*VLOOKUP('Données projet'!$B$14,Paramètres!$A$1:$I$88,3,0)*0.475*44/12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projet'!$B$15,Paramètres!$A$1:$I$88,3,0)*VLOOKUP('Données projet'!$B$15,Paramètres!$A$1:$I$88,5,0)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projet'!$B$15,Paramètres!$A$1:$I$88,7,0))</f>
        <v>0</v>
      </c>
      <c r="ET95" s="16">
        <f>IF(ISNA(VLOOKUP(A95,'Données projet'!$A$191:$I$211,6,0)),0%,VLOOKUP(A95,'Données projet'!$A$191:$I$211,6,0)*VLOOKUP('Données projet'!$B$15,Paramètres!$A$1:$I$88,7,0))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projet'!$B$15,Paramètres!$A$1:$I$88,3,0)*0.475*44/12</f>
        <v>#N/A</v>
      </c>
      <c r="EW95" s="21" t="e">
        <f>EXP(-LN(2)/25)*EW94+(1-EXP(-LN(2)/25))/(LN(2)/25)*Calculateur!ER95*Calculateur!ET95*VLOOKUP('Données projet'!$B$15,Paramètres!$A$1:$I$88,3,0)*0.475*44/12</f>
        <v>#N/A</v>
      </c>
      <c r="EX95" s="21" t="e">
        <f>EXP(-LN(2)/2)*EX94+(1-EXP(-LN(2)/2))/(LN(2)/2)*ER95*EU95*VLOOKUP('Données projet'!$B$15,Paramètres!$A$1:$I$88,3,0)*0.475*44/12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projet'!$B$16,Paramètres!$A$1:$I$88,3,0)*VLOOKUP('Données projet'!$B$16,Paramètres!$A$1:$I$88,5,0)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projet'!$B$16,Paramètres!$A$1:$I$88,7,0))</f>
        <v>0</v>
      </c>
      <c r="FO95" s="16">
        <f>IF(ISNA(VLOOKUP(A95,'Données projet'!$A$217:$I$237,6,0)),0%,VLOOKUP(A95,'Données projet'!$A$217:$I$237,6,0)*VLOOKUP('Données projet'!$B$16,Paramètres!$A$1:$I$88,7,0))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projet'!$B$16,Paramètres!$A$1:$I$88,3,0)*0.475*44/12</f>
        <v>#N/A</v>
      </c>
      <c r="FR95" s="21" t="e">
        <f>EXP(-LN(2)/25)*FR94+(1-EXP(-LN(2)/25))/(LN(2)/25)*Calculateur!FM95*Calculateur!FO95*VLOOKUP('Données projet'!$B$16,Paramètres!$A$1:$I$88,3,0)*0.475*44/12</f>
        <v>#N/A</v>
      </c>
      <c r="FS95" s="21" t="e">
        <f>EXP(-LN(2)/2)*FS94+(1-EXP(-LN(2)/2))/(LN(2)/2)*FM95*FP95*VLOOKUP('Données projet'!$B$16,Paramètres!$A$1:$I$88,3,0)*0.475*44/12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projet'!$B$17,Paramètres!$A$1:$I$88,3,0)*VLOOKUP('Données projet'!$B$17,Paramètres!$A$1:$I$88,5,0)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projet'!$B$17,Paramètres!$A$1:$I$88,7,0))</f>
        <v>0</v>
      </c>
      <c r="GJ95" s="16">
        <f>IF(ISNA(VLOOKUP(A95,'Données projet'!$A$243:$I$263,6,0)),0%,VLOOKUP(A95,'Données projet'!$A$243:$I$263,6,0)*VLOOKUP('Données projet'!$B$17,Paramètres!$A$1:$I$88,7,0))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projet'!$B$17,Paramètres!$A$1:$I$88,3,0)*0.475*44/12</f>
        <v>#N/A</v>
      </c>
      <c r="GM95" s="21" t="e">
        <f>EXP(-LN(2)/25)*GM94+(1-EXP(-LN(2)/25))/(LN(2)/25)*Calculateur!GH95*Calculateur!GJ95*VLOOKUP('Données projet'!$B$17,Paramètres!$A$1:$I$88,3,0)*0.475*44/12</f>
        <v>#N/A</v>
      </c>
      <c r="GN95" s="21" t="e">
        <f>EXP(-LN(2)/2)*GN94+(1-EXP(-LN(2)/2))/(LN(2)/2)*GH95*GK95*VLOOKUP('Données projet'!$B$17,Paramètres!$A$1:$I$88,3,0)*0.475*44/12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projet'!$B$18,Paramètres!$A$1:$I$88,3,0)*VLOOKUP('Données projet'!$B$18,Paramètres!$A$1:$I$88,5,0)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projet'!$B$18,Paramètres!$A$1:$I$88,7,0))</f>
        <v>0</v>
      </c>
      <c r="HE95" s="16">
        <f>IF(ISNA(VLOOKUP(A95,'Données projet'!$A$269:$I$289,6,0)),0%,VLOOKUP(A95,'Données projet'!$A$269:$I$289,6,0)*VLOOKUP('Données projet'!$B$18,Paramètres!$A$1:$I$88,7,0))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projet'!$B$18,Paramètres!$A$1:$I$88,3,0)*0.475*44/12</f>
        <v>#N/A</v>
      </c>
      <c r="HH95" s="21" t="e">
        <f>EXP(-LN(2)/25)*HH94+(1-EXP(-LN(2)/25))/(LN(2)/25)*Calculateur!HC95*Calculateur!HE95*VLOOKUP('Données projet'!$B$18,Paramètres!$A$1:$I$88,3,0)*0.475*44/12</f>
        <v>#N/A</v>
      </c>
      <c r="HI95" s="21" t="e">
        <f>EXP(-LN(2)/2)*HI94+(1-EXP(-LN(2)/2))/(LN(2)/2)*HC95*HF95*VLOOKUP('Données projet'!$B$18,Paramètres!$A$1:$I$88,3,0)*0.475*44/12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projet'!$B$9,Paramètres!$A$1:$I$88,3,0)*VLOOKUP('Données projet'!$B$9,Paramètres!$A$1:$I$88,5,0)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195.73441209602686</v>
      </c>
      <c r="T96" s="59">
        <f t="shared" si="88"/>
        <v>219.19129224309006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projet'!$B$9,Paramètres!$A$1:$I$88,7,0))</f>
        <v>0</v>
      </c>
      <c r="X96" s="16">
        <f>IF(ISNA(VLOOKUP(A96,'Données projet'!$A$35:$I$55,6,0)),0%,VLOOKUP(A96,'Données projet'!$A$35:$I$55,6,0)*VLOOKUP('Données projet'!$B$9,Paramètres!$A$1:$I$88,7,0))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projet'!$B$9,Paramètres!$A$1:$I$88,3,0)*0.475*44/12</f>
        <v>4.3800829386913058</v>
      </c>
      <c r="AA96" s="21">
        <f>EXP(-LN(2)/25)*AA95+(1-EXP(-LN(2)/25))/(LN(2)/25)*Calculateur!V96*Calculateur!X96*VLOOKUP('Données projet'!$B$9,Paramètres!$A$1:$I$88,3,0)*0.475*44/12</f>
        <v>2.4682863955535801</v>
      </c>
      <c r="AB96" s="21">
        <f>EXP(-LN(2)/2)*AB95+(1-EXP(-LN(2)/2))/(LN(2)/2)*V96*Y96*VLOOKUP('Données projet'!$B$9,Paramètres!$A$1:$I$88,3,0)*0.475*44/12</f>
        <v>1.306300681803026E-11</v>
      </c>
      <c r="AC96" s="22">
        <f t="shared" si="57"/>
        <v>6.8483693342579492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-4.5474735088646412E-13</v>
      </c>
      <c r="AJ96" s="13">
        <f>AI96*VLOOKUP('Données projet'!$B$10,Paramètres!$A$1:$I$88,3,0)*VLOOKUP('Données projet'!$B$10,Paramètres!$A$1:$I$88,5,0)</f>
        <v>-2.7193891583010558E-13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246.59447135626942</v>
      </c>
      <c r="AO96" s="59">
        <f t="shared" si="90"/>
        <v>262.00382544285367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projet'!$B$10,Paramètres!$A$1:$I$88,7,0))</f>
        <v>0</v>
      </c>
      <c r="AS96" s="16">
        <f>IF(ISNA(VLOOKUP(A96,'Données projet'!$A$61:$I$81,6,0)),0%,VLOOKUP(A96,'Données projet'!$A$61:$I$81,6,0)*VLOOKUP('Données projet'!$B$10,Paramètres!$A$1:$I$88,7,0))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projet'!$B$10,Paramètres!$A$1:$I$88,3,0)*0.475*44/12</f>
        <v>0</v>
      </c>
      <c r="AV96" s="21">
        <f>EXP(-LN(2)/25)*AV95+(1-EXP(-LN(2)/25))/(LN(2)/25)*Calculateur!AQ96*Calculateur!AS96*VLOOKUP('Données projet'!$B$10,Paramètres!$A$1:$I$88,3,0)*0.475*44/12</f>
        <v>2.2401786195262812</v>
      </c>
      <c r="AW96" s="21">
        <f>EXP(-LN(2)/2)*AW95+(1-EXP(-LN(2)/2))/(LN(2)/2)*AQ96*AT96*VLOOKUP('Données projet'!$B$10,Paramètres!$A$1:$I$88,3,0)*0.475*44/12</f>
        <v>7.8134198114244975E-9</v>
      </c>
      <c r="AX96" s="21">
        <f t="shared" si="60"/>
        <v>2.2401786273397009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-5.6843418860808015E-13</v>
      </c>
      <c r="BE96" s="13">
        <f>BD96*VLOOKUP('Données projet'!$B$11,Paramètres!$A$1:$I$88,3,0)*VLOOKUP('Données projet'!$B$11,Paramètres!$A$1:$I$88,5,0)</f>
        <v>-3.177547114319168E-13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355.96253323046608</v>
      </c>
      <c r="BJ96" s="59">
        <f t="shared" si="92"/>
        <v>366.8380442809696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projet'!$B$11,Paramètres!$A$1:$I$88,7,0))</f>
        <v>0</v>
      </c>
      <c r="BN96" s="16">
        <f>IF(ISNA(VLOOKUP(A96,'Données projet'!$A$87:$I$107,6,0)),0%,VLOOKUP(A96,'Données projet'!$A$87:$I$107,6,0)*VLOOKUP('Données projet'!$B$11,Paramètres!$A$1:$I$88,7,0))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projet'!$B$11,Paramètres!$A$1:$I$88,3,0)*0.475*44/12</f>
        <v>0</v>
      </c>
      <c r="BQ96" s="21">
        <f>EXP(-LN(2)/25)*BQ95+(1-EXP(-LN(2)/25))/(LN(2)/25)*Calculateur!BL96*Calculateur!BN96*VLOOKUP('Données projet'!$B$11,Paramètres!$A$1:$I$88,3,0)*0.475*44/12</f>
        <v>3.9662668816888464</v>
      </c>
      <c r="BR96" s="21">
        <f>EXP(-LN(2)/2)*BR95+(1-EXP(-LN(2)/2))/(LN(2)/2)*BL96*BO96*VLOOKUP('Données projet'!$B$11,Paramètres!$A$1:$I$88,3,0)*0.475*44/12</f>
        <v>1.2080820160465897E-8</v>
      </c>
      <c r="BS96" s="22">
        <f t="shared" si="63"/>
        <v>3.9662668937696668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5.6843418860808015E-14</v>
      </c>
      <c r="BZ96" s="13">
        <f>BY96*VLOOKUP('Données projet'!$B$12,Paramètres!$A$1:$I$88,3,0)*VLOOKUP('Données projet'!$B$12,Paramètres!$A$1:$I$88,5,0)</f>
        <v>3.7243808037601412E-14</v>
      </c>
      <c r="CA96" s="13">
        <f t="shared" si="93"/>
        <v>6.2767589361185393E-13</v>
      </c>
      <c r="CB96" s="20">
        <f t="shared" si="64"/>
        <v>1.1580684803728015E-12</v>
      </c>
      <c r="CC96" s="59">
        <f t="shared" si="65"/>
        <v>293.33333333333445</v>
      </c>
      <c r="CD96" s="59">
        <f ca="1">AVERAGE(OFFSET($CC$3,0,0,'Données projet'!$E$12+1,1))-AVERAGE(OFFSET($H$3,0,0,'Données projet'!$E$12+1,1))</f>
        <v>180.90147430936133</v>
      </c>
      <c r="CE96" s="59">
        <f t="shared" si="94"/>
        <v>226.87949199830018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projet'!$B$12,Paramètres!$A$1:$I$88,7,0))</f>
        <v>0</v>
      </c>
      <c r="CI96" s="16">
        <f>IF(ISNA(VLOOKUP(A96,'Données projet'!$A$113:$I$133,6,0)),0%,VLOOKUP(A96,'Données projet'!$A$113:$I$133,6,0)*VLOOKUP('Données projet'!$B$12,Paramètres!$A$1:$I$88,7,0))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projet'!$B$12,Paramètres!$A$1:$I$88,3,0)*0.475*44/12</f>
        <v>0</v>
      </c>
      <c r="CL96" s="21">
        <f>EXP(-LN(2)/25)*CL95+(1-EXP(-LN(2)/25))/(LN(2)/25)*Calculateur!CG96*Calculateur!CI96*VLOOKUP('Données projet'!$B$12,Paramètres!$A$1:$I$88,3,0)*0.475*44/12</f>
        <v>1.1978293581810939</v>
      </c>
      <c r="CM96" s="21">
        <f>EXP(-LN(2)/2)*CM95+(1-EXP(-LN(2)/2))/(LN(2)/2)*CG96*CJ96*VLOOKUP('Données projet'!$B$12,Paramètres!$A$1:$I$88,3,0)*0.475*44/12</f>
        <v>2.9181621317843249E-9</v>
      </c>
      <c r="CN96" s="22">
        <f t="shared" si="66"/>
        <v>1.1978293610992561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5.6843418860808015E-14</v>
      </c>
      <c r="CU96" s="17">
        <f>CT96*VLOOKUP('Données projet'!$B$13,Paramètres!$A$1:$I$88,3,0)*VLOOKUP('Données projet'!$B$13,Paramètres!$A$1:$I$88,5,0)</f>
        <v>2.8908289095852525E-14</v>
      </c>
      <c r="CV96" s="13">
        <f t="shared" si="95"/>
        <v>5.0177780569126974E-13</v>
      </c>
      <c r="CW96" s="20">
        <f t="shared" si="67"/>
        <v>9.2427828175423786E-13</v>
      </c>
      <c r="CX96" s="59">
        <f t="shared" si="68"/>
        <v>293.33333333333422</v>
      </c>
      <c r="CY96" s="59">
        <f ca="1">AVERAGE(OFFSET($CX$3,0,0,'Données projet'!$E$13+1,1))-AVERAGE(OFFSET($H$3,0,0,'Données projet'!$E$13+1,1))</f>
        <v>133.08385802816008</v>
      </c>
      <c r="CZ96" s="59">
        <f t="shared" si="96"/>
        <v>316.59112511251385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projet'!$B$13,Paramètres!$A$1:$I$88,7,0))</f>
        <v>0</v>
      </c>
      <c r="DD96" s="16">
        <f>IF(ISNA(VLOOKUP(A96,'Données projet'!$A$139:$I$159,6,0)),0%,VLOOKUP(A96,'Données projet'!$A$139:$I$159,6,0)*VLOOKUP('Données projet'!$B$13,Paramètres!$A$1:$I$88,7,0))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projet'!$B$13,Paramètres!$A$1:$I$88,3,0)*0.475*44/12</f>
        <v>20.7357387767041</v>
      </c>
      <c r="DG96" s="21">
        <f>EXP(-LN(2)/25)*DG95+(1-EXP(-LN(2)/25))/(LN(2)/25)*Calculateur!DB96*Calculateur!DD96*VLOOKUP('Données projet'!$B$13,Paramètres!$A$1:$I$88,3,0)*0.475*44/12</f>
        <v>0</v>
      </c>
      <c r="DH96" s="21">
        <f>EXP(-LN(2)/2)*DH95+(1-EXP(-LN(2)/2))/(LN(2)/2)*DB96*DE96*VLOOKUP('Données projet'!$B$13,Paramètres!$A$1:$I$88,3,0)*0.475*44/12</f>
        <v>1.8618382501375146E-9</v>
      </c>
      <c r="DI96" s="22">
        <f t="shared" si="69"/>
        <v>20.735738778565938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projet'!$B$14,Paramètres!$A$1:$I$88,3,0)*VLOOKUP('Données projet'!$B$14,Paramètres!$A$1:$I$88,5,0)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projet'!$B$14,Paramètres!$A$1:$I$88,7,0))</f>
        <v>0</v>
      </c>
      <c r="DY96" s="16">
        <f>IF(ISNA(VLOOKUP(A96,'Données projet'!$A$165:$I$185,6,0)),0%,VLOOKUP(A96,'Données projet'!$A$165:$I$185,6,0)*VLOOKUP('Données projet'!$B$14,Paramètres!$A$1:$I$88,7,0))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projet'!$B$14,Paramètres!$A$1:$I$88,3,0)*0.475*44/12</f>
        <v>#N/A</v>
      </c>
      <c r="EB96" s="21" t="e">
        <f>EXP(-LN(2)/25)*EB95+(1-EXP(-LN(2)/25))/(LN(2)/25)*Calculateur!DW96*Calculateur!DY96*VLOOKUP('Données projet'!$B$14,Paramètres!$A$1:$I$88,3,0)*0.475*44/12</f>
        <v>#N/A</v>
      </c>
      <c r="EC96" s="21" t="e">
        <f>EXP(-LN(2)/2)*EC95+(1-EXP(-LN(2)/2))/(LN(2)/2)*DW96*DZ96*VLOOKUP('Données projet'!$B$14,Paramètres!$A$1:$I$88,3,0)*0.475*44/12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projet'!$B$15,Paramètres!$A$1:$I$88,3,0)*VLOOKUP('Données projet'!$B$15,Paramètres!$A$1:$I$88,5,0)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projet'!$B$15,Paramètres!$A$1:$I$88,7,0))</f>
        <v>0</v>
      </c>
      <c r="ET96" s="16">
        <f>IF(ISNA(VLOOKUP(A96,'Données projet'!$A$191:$I$211,6,0)),0%,VLOOKUP(A96,'Données projet'!$A$191:$I$211,6,0)*VLOOKUP('Données projet'!$B$15,Paramètres!$A$1:$I$88,7,0))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projet'!$B$15,Paramètres!$A$1:$I$88,3,0)*0.475*44/12</f>
        <v>#N/A</v>
      </c>
      <c r="EW96" s="21" t="e">
        <f>EXP(-LN(2)/25)*EW95+(1-EXP(-LN(2)/25))/(LN(2)/25)*Calculateur!ER96*Calculateur!ET96*VLOOKUP('Données projet'!$B$15,Paramètres!$A$1:$I$88,3,0)*0.475*44/12</f>
        <v>#N/A</v>
      </c>
      <c r="EX96" s="21" t="e">
        <f>EXP(-LN(2)/2)*EX95+(1-EXP(-LN(2)/2))/(LN(2)/2)*ER96*EU96*VLOOKUP('Données projet'!$B$15,Paramètres!$A$1:$I$88,3,0)*0.475*44/12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projet'!$B$16,Paramètres!$A$1:$I$88,3,0)*VLOOKUP('Données projet'!$B$16,Paramètres!$A$1:$I$88,5,0)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projet'!$B$16,Paramètres!$A$1:$I$88,7,0))</f>
        <v>0</v>
      </c>
      <c r="FO96" s="16">
        <f>IF(ISNA(VLOOKUP(A96,'Données projet'!$A$217:$I$237,6,0)),0%,VLOOKUP(A96,'Données projet'!$A$217:$I$237,6,0)*VLOOKUP('Données projet'!$B$16,Paramètres!$A$1:$I$88,7,0))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projet'!$B$16,Paramètres!$A$1:$I$88,3,0)*0.475*44/12</f>
        <v>#N/A</v>
      </c>
      <c r="FR96" s="21" t="e">
        <f>EXP(-LN(2)/25)*FR95+(1-EXP(-LN(2)/25))/(LN(2)/25)*Calculateur!FM96*Calculateur!FO96*VLOOKUP('Données projet'!$B$16,Paramètres!$A$1:$I$88,3,0)*0.475*44/12</f>
        <v>#N/A</v>
      </c>
      <c r="FS96" s="21" t="e">
        <f>EXP(-LN(2)/2)*FS95+(1-EXP(-LN(2)/2))/(LN(2)/2)*FM96*FP96*VLOOKUP('Données projet'!$B$16,Paramètres!$A$1:$I$88,3,0)*0.475*44/12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projet'!$B$17,Paramètres!$A$1:$I$88,3,0)*VLOOKUP('Données projet'!$B$17,Paramètres!$A$1:$I$88,5,0)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projet'!$B$17,Paramètres!$A$1:$I$88,7,0))</f>
        <v>0</v>
      </c>
      <c r="GJ96" s="16">
        <f>IF(ISNA(VLOOKUP(A96,'Données projet'!$A$243:$I$263,6,0)),0%,VLOOKUP(A96,'Données projet'!$A$243:$I$263,6,0)*VLOOKUP('Données projet'!$B$17,Paramètres!$A$1:$I$88,7,0))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projet'!$B$17,Paramètres!$A$1:$I$88,3,0)*0.475*44/12</f>
        <v>#N/A</v>
      </c>
      <c r="GM96" s="21" t="e">
        <f>EXP(-LN(2)/25)*GM95+(1-EXP(-LN(2)/25))/(LN(2)/25)*Calculateur!GH96*Calculateur!GJ96*VLOOKUP('Données projet'!$B$17,Paramètres!$A$1:$I$88,3,0)*0.475*44/12</f>
        <v>#N/A</v>
      </c>
      <c r="GN96" s="21" t="e">
        <f>EXP(-LN(2)/2)*GN95+(1-EXP(-LN(2)/2))/(LN(2)/2)*GH96*GK96*VLOOKUP('Données projet'!$B$17,Paramètres!$A$1:$I$88,3,0)*0.475*44/12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projet'!$B$18,Paramètres!$A$1:$I$88,3,0)*VLOOKUP('Données projet'!$B$18,Paramètres!$A$1:$I$88,5,0)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projet'!$B$18,Paramètres!$A$1:$I$88,7,0))</f>
        <v>0</v>
      </c>
      <c r="HE96" s="16">
        <f>IF(ISNA(VLOOKUP(A96,'Données projet'!$A$269:$I$289,6,0)),0%,VLOOKUP(A96,'Données projet'!$A$269:$I$289,6,0)*VLOOKUP('Données projet'!$B$18,Paramètres!$A$1:$I$88,7,0))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projet'!$B$18,Paramètres!$A$1:$I$88,3,0)*0.475*44/12</f>
        <v>#N/A</v>
      </c>
      <c r="HH96" s="21" t="e">
        <f>EXP(-LN(2)/25)*HH95+(1-EXP(-LN(2)/25))/(LN(2)/25)*Calculateur!HC96*Calculateur!HE96*VLOOKUP('Données projet'!$B$18,Paramètres!$A$1:$I$88,3,0)*0.475*44/12</f>
        <v>#N/A</v>
      </c>
      <c r="HI96" s="21" t="e">
        <f>EXP(-LN(2)/2)*HI95+(1-EXP(-LN(2)/2))/(LN(2)/2)*HC96*HF96*VLOOKUP('Données projet'!$B$18,Paramètres!$A$1:$I$88,3,0)*0.475*44/12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projet'!$B$9,Paramètres!$A$1:$I$88,3,0)*VLOOKUP('Données projet'!$B$9,Paramètres!$A$1:$I$88,5,0)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195.73441209602686</v>
      </c>
      <c r="T97" s="59">
        <f t="shared" si="88"/>
        <v>219.19129224309006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projet'!$B$9,Paramètres!$A$1:$I$88,7,0))</f>
        <v>0</v>
      </c>
      <c r="X97" s="16">
        <f>IF(ISNA(VLOOKUP(A97,'Données projet'!$A$35:$I$55,6,0)),0%,VLOOKUP(A97,'Données projet'!$A$35:$I$55,6,0)*VLOOKUP('Données projet'!$B$9,Paramètres!$A$1:$I$88,7,0))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projet'!$B$9,Paramètres!$A$1:$I$88,3,0)*0.475*44/12</f>
        <v>4.2941921838503649</v>
      </c>
      <c r="AA97" s="21">
        <f>EXP(-LN(2)/25)*AA96+(1-EXP(-LN(2)/25))/(LN(2)/25)*Calculateur!V97*Calculateur!X97*VLOOKUP('Données projet'!$B$9,Paramètres!$A$1:$I$88,3,0)*0.475*44/12</f>
        <v>2.400790974265627</v>
      </c>
      <c r="AB97" s="21">
        <f>EXP(-LN(2)/2)*AB96+(1-EXP(-LN(2)/2))/(LN(2)/2)*V97*Y97*VLOOKUP('Données projet'!$B$9,Paramètres!$A$1:$I$88,3,0)*0.475*44/12</f>
        <v>9.2369407037153011E-12</v>
      </c>
      <c r="AC97" s="22">
        <f t="shared" si="57"/>
        <v>6.694983158125229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-4.5474735088646412E-13</v>
      </c>
      <c r="AJ97" s="13">
        <f>AI97*VLOOKUP('Données projet'!$B$10,Paramètres!$A$1:$I$88,3,0)*VLOOKUP('Données projet'!$B$10,Paramètres!$A$1:$I$88,5,0)</f>
        <v>-2.7193891583010558E-13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246.59447135626942</v>
      </c>
      <c r="AO97" s="59">
        <f t="shared" si="90"/>
        <v>262.00382544285367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projet'!$B$10,Paramètres!$A$1:$I$88,7,0))</f>
        <v>0</v>
      </c>
      <c r="AS97" s="16">
        <f>IF(ISNA(VLOOKUP(A97,'Données projet'!$A$61:$I$81,6,0)),0%,VLOOKUP(A97,'Données projet'!$A$61:$I$81,6,0)*VLOOKUP('Données projet'!$B$10,Paramètres!$A$1:$I$88,7,0))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projet'!$B$10,Paramètres!$A$1:$I$88,3,0)*0.475*44/12</f>
        <v>0</v>
      </c>
      <c r="AV97" s="21">
        <f>EXP(-LN(2)/25)*AV96+(1-EXP(-LN(2)/25))/(LN(2)/25)*Calculateur!AQ97*Calculateur!AS97*VLOOKUP('Données projet'!$B$10,Paramètres!$A$1:$I$88,3,0)*0.475*44/12</f>
        <v>2.1789208173694612</v>
      </c>
      <c r="AW97" s="21">
        <f>EXP(-LN(2)/2)*AW96+(1-EXP(-LN(2)/2))/(LN(2)/2)*AQ97*AT97*VLOOKUP('Données projet'!$B$10,Paramètres!$A$1:$I$88,3,0)*0.475*44/12</f>
        <v>5.5249221329155777E-9</v>
      </c>
      <c r="AX97" s="21">
        <f t="shared" si="60"/>
        <v>2.1789208228943835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-5.6843418860808015E-13</v>
      </c>
      <c r="BE97" s="13">
        <f>BD97*VLOOKUP('Données projet'!$B$11,Paramètres!$A$1:$I$88,3,0)*VLOOKUP('Données projet'!$B$11,Paramètres!$A$1:$I$88,5,0)</f>
        <v>-3.177547114319168E-13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355.96253323046608</v>
      </c>
      <c r="BJ97" s="59">
        <f t="shared" si="92"/>
        <v>366.8380442809696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projet'!$B$11,Paramètres!$A$1:$I$88,7,0))</f>
        <v>0</v>
      </c>
      <c r="BN97" s="16">
        <f>IF(ISNA(VLOOKUP(A97,'Données projet'!$A$87:$I$107,6,0)),0%,VLOOKUP(A97,'Données projet'!$A$87:$I$107,6,0)*VLOOKUP('Données projet'!$B$11,Paramètres!$A$1:$I$88,7,0))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projet'!$B$11,Paramètres!$A$1:$I$88,3,0)*0.475*44/12</f>
        <v>0</v>
      </c>
      <c r="BQ97" s="21">
        <f>EXP(-LN(2)/25)*BQ96+(1-EXP(-LN(2)/25))/(LN(2)/25)*Calculateur!BL97*Calculateur!BN97*VLOOKUP('Données projet'!$B$11,Paramètres!$A$1:$I$88,3,0)*0.475*44/12</f>
        <v>3.8578091052321546</v>
      </c>
      <c r="BR97" s="21">
        <f>EXP(-LN(2)/2)*BR96+(1-EXP(-LN(2)/2))/(LN(2)/2)*BL97*BO97*VLOOKUP('Données projet'!$B$11,Paramètres!$A$1:$I$88,3,0)*0.475*44/12</f>
        <v>8.5424298577605905E-9</v>
      </c>
      <c r="BS97" s="22">
        <f t="shared" si="63"/>
        <v>3.8578091137745845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5.6843418860808015E-14</v>
      </c>
      <c r="BZ97" s="13">
        <f>BY97*VLOOKUP('Données projet'!$B$12,Paramètres!$A$1:$I$88,3,0)*VLOOKUP('Données projet'!$B$12,Paramètres!$A$1:$I$88,5,0)</f>
        <v>3.7243808037601412E-14</v>
      </c>
      <c r="CA97" s="13">
        <f t="shared" si="93"/>
        <v>6.2767589361185393E-13</v>
      </c>
      <c r="CB97" s="20">
        <f t="shared" si="64"/>
        <v>1.1580684803728015E-12</v>
      </c>
      <c r="CC97" s="59">
        <f t="shared" si="65"/>
        <v>293.33333333333445</v>
      </c>
      <c r="CD97" s="59">
        <f ca="1">AVERAGE(OFFSET($CC$3,0,0,'Données projet'!$E$12+1,1))-AVERAGE(OFFSET($H$3,0,0,'Données projet'!$E$12+1,1))</f>
        <v>180.90147430936133</v>
      </c>
      <c r="CE97" s="59">
        <f t="shared" si="94"/>
        <v>226.87949199830018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projet'!$B$12,Paramètres!$A$1:$I$88,7,0))</f>
        <v>0</v>
      </c>
      <c r="CI97" s="16">
        <f>IF(ISNA(VLOOKUP(A97,'Données projet'!$A$113:$I$133,6,0)),0%,VLOOKUP(A97,'Données projet'!$A$113:$I$133,6,0)*VLOOKUP('Données projet'!$B$12,Paramètres!$A$1:$I$88,7,0))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projet'!$B$12,Paramètres!$A$1:$I$88,3,0)*0.475*44/12</f>
        <v>0</v>
      </c>
      <c r="CL97" s="21">
        <f>EXP(-LN(2)/25)*CL96+(1-EXP(-LN(2)/25))/(LN(2)/25)*Calculateur!CG97*Calculateur!CI97*VLOOKUP('Données projet'!$B$12,Paramètres!$A$1:$I$88,3,0)*0.475*44/12</f>
        <v>1.1650746513905237</v>
      </c>
      <c r="CM97" s="21">
        <f>EXP(-LN(2)/2)*CM96+(1-EXP(-LN(2)/2))/(LN(2)/2)*CG97*CJ97*VLOOKUP('Données projet'!$B$12,Paramètres!$A$1:$I$88,3,0)*0.475*44/12</f>
        <v>2.0634522319864876E-9</v>
      </c>
      <c r="CN97" s="22">
        <f t="shared" si="66"/>
        <v>1.165074653453976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5.6843418860808015E-14</v>
      </c>
      <c r="CU97" s="17">
        <f>CT97*VLOOKUP('Données projet'!$B$13,Paramètres!$A$1:$I$88,3,0)*VLOOKUP('Données projet'!$B$13,Paramètres!$A$1:$I$88,5,0)</f>
        <v>2.8908289095852525E-14</v>
      </c>
      <c r="CV97" s="13">
        <f t="shared" si="95"/>
        <v>5.0177780569126974E-13</v>
      </c>
      <c r="CW97" s="20">
        <f t="shared" si="67"/>
        <v>9.2427828175423786E-13</v>
      </c>
      <c r="CX97" s="59">
        <f t="shared" si="68"/>
        <v>293.33333333333422</v>
      </c>
      <c r="CY97" s="59">
        <f ca="1">AVERAGE(OFFSET($CX$3,0,0,'Données projet'!$E$13+1,1))-AVERAGE(OFFSET($H$3,0,0,'Données projet'!$E$13+1,1))</f>
        <v>133.08385802816008</v>
      </c>
      <c r="CZ97" s="59">
        <f t="shared" si="96"/>
        <v>316.59112511251385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projet'!$B$13,Paramètres!$A$1:$I$88,7,0))</f>
        <v>0</v>
      </c>
      <c r="DD97" s="16">
        <f>IF(ISNA(VLOOKUP(A97,'Données projet'!$A$139:$I$159,6,0)),0%,VLOOKUP(A97,'Données projet'!$A$139:$I$159,6,0)*VLOOKUP('Données projet'!$B$13,Paramètres!$A$1:$I$88,7,0))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projet'!$B$13,Paramètres!$A$1:$I$88,3,0)*0.475*44/12</f>
        <v>20.329123586844744</v>
      </c>
      <c r="DG97" s="21">
        <f>EXP(-LN(2)/25)*DG96+(1-EXP(-LN(2)/25))/(LN(2)/25)*Calculateur!DB97*Calculateur!DD97*VLOOKUP('Données projet'!$B$13,Paramètres!$A$1:$I$88,3,0)*0.475*44/12</f>
        <v>0</v>
      </c>
      <c r="DH97" s="21">
        <f>EXP(-LN(2)/2)*DH96+(1-EXP(-LN(2)/2))/(LN(2)/2)*DB97*DE97*VLOOKUP('Données projet'!$B$13,Paramètres!$A$1:$I$88,3,0)*0.475*44/12</f>
        <v>1.3165184521447321E-9</v>
      </c>
      <c r="DI97" s="22">
        <f t="shared" si="69"/>
        <v>20.329123588161263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projet'!$B$14,Paramètres!$A$1:$I$88,3,0)*VLOOKUP('Données projet'!$B$14,Paramètres!$A$1:$I$88,5,0)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projet'!$B$14,Paramètres!$A$1:$I$88,7,0))</f>
        <v>0</v>
      </c>
      <c r="DY97" s="16">
        <f>IF(ISNA(VLOOKUP(A97,'Données projet'!$A$165:$I$185,6,0)),0%,VLOOKUP(A97,'Données projet'!$A$165:$I$185,6,0)*VLOOKUP('Données projet'!$B$14,Paramètres!$A$1:$I$88,7,0))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projet'!$B$14,Paramètres!$A$1:$I$88,3,0)*0.475*44/12</f>
        <v>#N/A</v>
      </c>
      <c r="EB97" s="21" t="e">
        <f>EXP(-LN(2)/25)*EB96+(1-EXP(-LN(2)/25))/(LN(2)/25)*Calculateur!DW97*Calculateur!DY97*VLOOKUP('Données projet'!$B$14,Paramètres!$A$1:$I$88,3,0)*0.475*44/12</f>
        <v>#N/A</v>
      </c>
      <c r="EC97" s="21" t="e">
        <f>EXP(-LN(2)/2)*EC96+(1-EXP(-LN(2)/2))/(LN(2)/2)*DW97*DZ97*VLOOKUP('Données projet'!$B$14,Paramètres!$A$1:$I$88,3,0)*0.475*44/12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projet'!$B$15,Paramètres!$A$1:$I$88,3,0)*VLOOKUP('Données projet'!$B$15,Paramètres!$A$1:$I$88,5,0)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projet'!$B$15,Paramètres!$A$1:$I$88,7,0))</f>
        <v>0</v>
      </c>
      <c r="ET97" s="16">
        <f>IF(ISNA(VLOOKUP(A97,'Données projet'!$A$191:$I$211,6,0)),0%,VLOOKUP(A97,'Données projet'!$A$191:$I$211,6,0)*VLOOKUP('Données projet'!$B$15,Paramètres!$A$1:$I$88,7,0))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projet'!$B$15,Paramètres!$A$1:$I$88,3,0)*0.475*44/12</f>
        <v>#N/A</v>
      </c>
      <c r="EW97" s="21" t="e">
        <f>EXP(-LN(2)/25)*EW96+(1-EXP(-LN(2)/25))/(LN(2)/25)*Calculateur!ER97*Calculateur!ET97*VLOOKUP('Données projet'!$B$15,Paramètres!$A$1:$I$88,3,0)*0.475*44/12</f>
        <v>#N/A</v>
      </c>
      <c r="EX97" s="21" t="e">
        <f>EXP(-LN(2)/2)*EX96+(1-EXP(-LN(2)/2))/(LN(2)/2)*ER97*EU97*VLOOKUP('Données projet'!$B$15,Paramètres!$A$1:$I$88,3,0)*0.475*44/12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projet'!$B$16,Paramètres!$A$1:$I$88,3,0)*VLOOKUP('Données projet'!$B$16,Paramètres!$A$1:$I$88,5,0)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projet'!$B$16,Paramètres!$A$1:$I$88,7,0))</f>
        <v>0</v>
      </c>
      <c r="FO97" s="16">
        <f>IF(ISNA(VLOOKUP(A97,'Données projet'!$A$217:$I$237,6,0)),0%,VLOOKUP(A97,'Données projet'!$A$217:$I$237,6,0)*VLOOKUP('Données projet'!$B$16,Paramètres!$A$1:$I$88,7,0))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projet'!$B$16,Paramètres!$A$1:$I$88,3,0)*0.475*44/12</f>
        <v>#N/A</v>
      </c>
      <c r="FR97" s="21" t="e">
        <f>EXP(-LN(2)/25)*FR96+(1-EXP(-LN(2)/25))/(LN(2)/25)*Calculateur!FM97*Calculateur!FO97*VLOOKUP('Données projet'!$B$16,Paramètres!$A$1:$I$88,3,0)*0.475*44/12</f>
        <v>#N/A</v>
      </c>
      <c r="FS97" s="21" t="e">
        <f>EXP(-LN(2)/2)*FS96+(1-EXP(-LN(2)/2))/(LN(2)/2)*FM97*FP97*VLOOKUP('Données projet'!$B$16,Paramètres!$A$1:$I$88,3,0)*0.475*44/12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projet'!$B$17,Paramètres!$A$1:$I$88,3,0)*VLOOKUP('Données projet'!$B$17,Paramètres!$A$1:$I$88,5,0)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projet'!$B$17,Paramètres!$A$1:$I$88,7,0))</f>
        <v>0</v>
      </c>
      <c r="GJ97" s="16">
        <f>IF(ISNA(VLOOKUP(A97,'Données projet'!$A$243:$I$263,6,0)),0%,VLOOKUP(A97,'Données projet'!$A$243:$I$263,6,0)*VLOOKUP('Données projet'!$B$17,Paramètres!$A$1:$I$88,7,0))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projet'!$B$17,Paramètres!$A$1:$I$88,3,0)*0.475*44/12</f>
        <v>#N/A</v>
      </c>
      <c r="GM97" s="21" t="e">
        <f>EXP(-LN(2)/25)*GM96+(1-EXP(-LN(2)/25))/(LN(2)/25)*Calculateur!GH97*Calculateur!GJ97*VLOOKUP('Données projet'!$B$17,Paramètres!$A$1:$I$88,3,0)*0.475*44/12</f>
        <v>#N/A</v>
      </c>
      <c r="GN97" s="21" t="e">
        <f>EXP(-LN(2)/2)*GN96+(1-EXP(-LN(2)/2))/(LN(2)/2)*GH97*GK97*VLOOKUP('Données projet'!$B$17,Paramètres!$A$1:$I$88,3,0)*0.475*44/12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projet'!$B$18,Paramètres!$A$1:$I$88,3,0)*VLOOKUP('Données projet'!$B$18,Paramètres!$A$1:$I$88,5,0)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projet'!$B$18,Paramètres!$A$1:$I$88,7,0))</f>
        <v>0</v>
      </c>
      <c r="HE97" s="16">
        <f>IF(ISNA(VLOOKUP(A97,'Données projet'!$A$269:$I$289,6,0)),0%,VLOOKUP(A97,'Données projet'!$A$269:$I$289,6,0)*VLOOKUP('Données projet'!$B$18,Paramètres!$A$1:$I$88,7,0))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projet'!$B$18,Paramètres!$A$1:$I$88,3,0)*0.475*44/12</f>
        <v>#N/A</v>
      </c>
      <c r="HH97" s="21" t="e">
        <f>EXP(-LN(2)/25)*HH96+(1-EXP(-LN(2)/25))/(LN(2)/25)*Calculateur!HC97*Calculateur!HE97*VLOOKUP('Données projet'!$B$18,Paramètres!$A$1:$I$88,3,0)*0.475*44/12</f>
        <v>#N/A</v>
      </c>
      <c r="HI97" s="21" t="e">
        <f>EXP(-LN(2)/2)*HI96+(1-EXP(-LN(2)/2))/(LN(2)/2)*HC97*HF97*VLOOKUP('Données projet'!$B$18,Paramètres!$A$1:$I$88,3,0)*0.475*44/12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projet'!$B$9,Paramètres!$A$1:$I$88,3,0)*VLOOKUP('Données projet'!$B$9,Paramètres!$A$1:$I$88,5,0)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195.73441209602686</v>
      </c>
      <c r="T98" s="59">
        <f t="shared" si="88"/>
        <v>219.19129224309006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projet'!$B$9,Paramètres!$A$1:$I$88,7,0))</f>
        <v>0</v>
      </c>
      <c r="X98" s="16">
        <f>IF(ISNA(VLOOKUP(A98,'Données projet'!$A$35:$I$55,6,0)),0%,VLOOKUP(A98,'Données projet'!$A$35:$I$55,6,0)*VLOOKUP('Données projet'!$B$9,Paramètres!$A$1:$I$88,7,0))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projet'!$B$9,Paramètres!$A$1:$I$88,3,0)*0.475*44/12</f>
        <v>4.2099856943236666</v>
      </c>
      <c r="AA98" s="21">
        <f>EXP(-LN(2)/25)*AA97+(1-EXP(-LN(2)/25))/(LN(2)/25)*Calculateur!V98*Calculateur!X98*VLOOKUP('Données projet'!$B$9,Paramètres!$A$1:$I$88,3,0)*0.475*44/12</f>
        <v>2.3351412188222231</v>
      </c>
      <c r="AB98" s="21">
        <f>EXP(-LN(2)/2)*AB97+(1-EXP(-LN(2)/2))/(LN(2)/2)*V98*Y98*VLOOKUP('Données projet'!$B$9,Paramètres!$A$1:$I$88,3,0)*0.475*44/12</f>
        <v>6.5315034090151298E-12</v>
      </c>
      <c r="AC98" s="22">
        <f t="shared" si="57"/>
        <v>6.545126913152421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-4.5474735088646412E-13</v>
      </c>
      <c r="AJ98" s="13">
        <f>AI98*VLOOKUP('Données projet'!$B$10,Paramètres!$A$1:$I$88,3,0)*VLOOKUP('Données projet'!$B$10,Paramètres!$A$1:$I$88,5,0)</f>
        <v>-2.7193891583010558E-13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246.59447135626942</v>
      </c>
      <c r="AO98" s="59">
        <f t="shared" si="90"/>
        <v>262.00382544285367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projet'!$B$10,Paramètres!$A$1:$I$88,7,0))</f>
        <v>0</v>
      </c>
      <c r="AS98" s="16">
        <f>IF(ISNA(VLOOKUP(A98,'Données projet'!$A$61:$I$81,6,0)),0%,VLOOKUP(A98,'Données projet'!$A$61:$I$81,6,0)*VLOOKUP('Données projet'!$B$10,Paramètres!$A$1:$I$88,7,0))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projet'!$B$10,Paramètres!$A$1:$I$88,3,0)*0.475*44/12</f>
        <v>0</v>
      </c>
      <c r="AV98" s="21">
        <f>EXP(-LN(2)/25)*AV97+(1-EXP(-LN(2)/25))/(LN(2)/25)*Calculateur!AQ98*Calculateur!AS98*VLOOKUP('Données projet'!$B$10,Paramètres!$A$1:$I$88,3,0)*0.475*44/12</f>
        <v>2.1193381130340274</v>
      </c>
      <c r="AW98" s="21">
        <f>EXP(-LN(2)/2)*AW97+(1-EXP(-LN(2)/2))/(LN(2)/2)*AQ98*AT98*VLOOKUP('Données projet'!$B$10,Paramètres!$A$1:$I$88,3,0)*0.475*44/12</f>
        <v>3.9067099057122488E-9</v>
      </c>
      <c r="AX98" s="21">
        <f t="shared" si="60"/>
        <v>2.1193381169407375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-5.6843418860808015E-13</v>
      </c>
      <c r="BE98" s="13">
        <f>BD98*VLOOKUP('Données projet'!$B$11,Paramètres!$A$1:$I$88,3,0)*VLOOKUP('Données projet'!$B$11,Paramètres!$A$1:$I$88,5,0)</f>
        <v>-3.177547114319168E-13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355.96253323046608</v>
      </c>
      <c r="BJ98" s="59">
        <f t="shared" si="92"/>
        <v>366.8380442809696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projet'!$B$11,Paramètres!$A$1:$I$88,7,0))</f>
        <v>0</v>
      </c>
      <c r="BN98" s="16">
        <f>IF(ISNA(VLOOKUP(A98,'Données projet'!$A$87:$I$107,6,0)),0%,VLOOKUP(A98,'Données projet'!$A$87:$I$107,6,0)*VLOOKUP('Données projet'!$B$11,Paramètres!$A$1:$I$88,7,0))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projet'!$B$11,Paramètres!$A$1:$I$88,3,0)*0.475*44/12</f>
        <v>0</v>
      </c>
      <c r="BQ98" s="21">
        <f>EXP(-LN(2)/25)*BQ97+(1-EXP(-LN(2)/25))/(LN(2)/25)*Calculateur!BL98*Calculateur!BN98*VLOOKUP('Données projet'!$B$11,Paramètres!$A$1:$I$88,3,0)*0.475*44/12</f>
        <v>3.7523171123762178</v>
      </c>
      <c r="BR98" s="21">
        <f>EXP(-LN(2)/2)*BR97+(1-EXP(-LN(2)/2))/(LN(2)/2)*BL98*BO98*VLOOKUP('Données projet'!$B$11,Paramètres!$A$1:$I$88,3,0)*0.475*44/12</f>
        <v>6.0404100802329483E-9</v>
      </c>
      <c r="BS98" s="22">
        <f t="shared" si="63"/>
        <v>3.7523171184166277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5.6843418860808015E-14</v>
      </c>
      <c r="BZ98" s="13">
        <f>BY98*VLOOKUP('Données projet'!$B$12,Paramètres!$A$1:$I$88,3,0)*VLOOKUP('Données projet'!$B$12,Paramètres!$A$1:$I$88,5,0)</f>
        <v>3.7243808037601412E-14</v>
      </c>
      <c r="CA98" s="13">
        <f t="shared" si="93"/>
        <v>6.2767589361185393E-13</v>
      </c>
      <c r="CB98" s="20">
        <f t="shared" si="64"/>
        <v>1.1580684803728015E-12</v>
      </c>
      <c r="CC98" s="59">
        <f t="shared" si="65"/>
        <v>293.33333333333445</v>
      </c>
      <c r="CD98" s="59">
        <f ca="1">AVERAGE(OFFSET($CC$3,0,0,'Données projet'!$E$12+1,1))-AVERAGE(OFFSET($H$3,0,0,'Données projet'!$E$12+1,1))</f>
        <v>180.90147430936133</v>
      </c>
      <c r="CE98" s="59">
        <f t="shared" si="94"/>
        <v>226.87949199830018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projet'!$B$12,Paramètres!$A$1:$I$88,7,0))</f>
        <v>0</v>
      </c>
      <c r="CI98" s="16">
        <f>IF(ISNA(VLOOKUP(A98,'Données projet'!$A$113:$I$133,6,0)),0%,VLOOKUP(A98,'Données projet'!$A$113:$I$133,6,0)*VLOOKUP('Données projet'!$B$12,Paramètres!$A$1:$I$88,7,0))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projet'!$B$12,Paramètres!$A$1:$I$88,3,0)*0.475*44/12</f>
        <v>0</v>
      </c>
      <c r="CL98" s="21">
        <f>EXP(-LN(2)/25)*CL97+(1-EXP(-LN(2)/25))/(LN(2)/25)*Calculateur!CG98*Calculateur!CI98*VLOOKUP('Données projet'!$B$12,Paramètres!$A$1:$I$88,3,0)*0.475*44/12</f>
        <v>1.1332156237796367</v>
      </c>
      <c r="CM98" s="21">
        <f>EXP(-LN(2)/2)*CM97+(1-EXP(-LN(2)/2))/(LN(2)/2)*CG98*CJ98*VLOOKUP('Données projet'!$B$12,Paramètres!$A$1:$I$88,3,0)*0.475*44/12</f>
        <v>1.4590810658921625E-9</v>
      </c>
      <c r="CN98" s="22">
        <f t="shared" si="66"/>
        <v>1.1332156252387178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5.6843418860808015E-14</v>
      </c>
      <c r="CU98" s="17">
        <f>CT98*VLOOKUP('Données projet'!$B$13,Paramètres!$A$1:$I$88,3,0)*VLOOKUP('Données projet'!$B$13,Paramètres!$A$1:$I$88,5,0)</f>
        <v>2.8908289095852525E-14</v>
      </c>
      <c r="CV98" s="13">
        <f t="shared" si="95"/>
        <v>5.0177780569126974E-13</v>
      </c>
      <c r="CW98" s="20">
        <f t="shared" si="67"/>
        <v>9.2427828175423786E-13</v>
      </c>
      <c r="CX98" s="59">
        <f t="shared" si="68"/>
        <v>293.33333333333422</v>
      </c>
      <c r="CY98" s="59">
        <f ca="1">AVERAGE(OFFSET($CX$3,0,0,'Données projet'!$E$13+1,1))-AVERAGE(OFFSET($H$3,0,0,'Données projet'!$E$13+1,1))</f>
        <v>133.08385802816008</v>
      </c>
      <c r="CZ98" s="59">
        <f t="shared" si="96"/>
        <v>316.59112511251385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projet'!$B$13,Paramètres!$A$1:$I$88,7,0))</f>
        <v>0</v>
      </c>
      <c r="DD98" s="16">
        <f>IF(ISNA(VLOOKUP(A98,'Données projet'!$A$139:$I$159,6,0)),0%,VLOOKUP(A98,'Données projet'!$A$139:$I$159,6,0)*VLOOKUP('Données projet'!$B$13,Paramètres!$A$1:$I$88,7,0))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projet'!$B$13,Paramètres!$A$1:$I$88,3,0)*0.475*44/12</f>
        <v>19.930481872847754</v>
      </c>
      <c r="DG98" s="21">
        <f>EXP(-LN(2)/25)*DG97+(1-EXP(-LN(2)/25))/(LN(2)/25)*Calculateur!DB98*Calculateur!DD98*VLOOKUP('Données projet'!$B$13,Paramètres!$A$1:$I$88,3,0)*0.475*44/12</f>
        <v>0</v>
      </c>
      <c r="DH98" s="21">
        <f>EXP(-LN(2)/2)*DH97+(1-EXP(-LN(2)/2))/(LN(2)/2)*DB98*DE98*VLOOKUP('Données projet'!$B$13,Paramètres!$A$1:$I$88,3,0)*0.475*44/12</f>
        <v>9.3091912506875738E-10</v>
      </c>
      <c r="DI98" s="22">
        <f t="shared" si="69"/>
        <v>19.930481873778671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projet'!$B$14,Paramètres!$A$1:$I$88,3,0)*VLOOKUP('Données projet'!$B$14,Paramètres!$A$1:$I$88,5,0)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projet'!$B$14,Paramètres!$A$1:$I$88,7,0))</f>
        <v>0</v>
      </c>
      <c r="DY98" s="16">
        <f>IF(ISNA(VLOOKUP(A98,'Données projet'!$A$165:$I$185,6,0)),0%,VLOOKUP(A98,'Données projet'!$A$165:$I$185,6,0)*VLOOKUP('Données projet'!$B$14,Paramètres!$A$1:$I$88,7,0))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projet'!$B$14,Paramètres!$A$1:$I$88,3,0)*0.475*44/12</f>
        <v>#N/A</v>
      </c>
      <c r="EB98" s="21" t="e">
        <f>EXP(-LN(2)/25)*EB97+(1-EXP(-LN(2)/25))/(LN(2)/25)*Calculateur!DW98*Calculateur!DY98*VLOOKUP('Données projet'!$B$14,Paramètres!$A$1:$I$88,3,0)*0.475*44/12</f>
        <v>#N/A</v>
      </c>
      <c r="EC98" s="21" t="e">
        <f>EXP(-LN(2)/2)*EC97+(1-EXP(-LN(2)/2))/(LN(2)/2)*DW98*DZ98*VLOOKUP('Données projet'!$B$14,Paramètres!$A$1:$I$88,3,0)*0.475*44/12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projet'!$B$15,Paramètres!$A$1:$I$88,3,0)*VLOOKUP('Données projet'!$B$15,Paramètres!$A$1:$I$88,5,0)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projet'!$B$15,Paramètres!$A$1:$I$88,7,0))</f>
        <v>0</v>
      </c>
      <c r="ET98" s="16">
        <f>IF(ISNA(VLOOKUP(A98,'Données projet'!$A$191:$I$211,6,0)),0%,VLOOKUP(A98,'Données projet'!$A$191:$I$211,6,0)*VLOOKUP('Données projet'!$B$15,Paramètres!$A$1:$I$88,7,0))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projet'!$B$15,Paramètres!$A$1:$I$88,3,0)*0.475*44/12</f>
        <v>#N/A</v>
      </c>
      <c r="EW98" s="21" t="e">
        <f>EXP(-LN(2)/25)*EW97+(1-EXP(-LN(2)/25))/(LN(2)/25)*Calculateur!ER98*Calculateur!ET98*VLOOKUP('Données projet'!$B$15,Paramètres!$A$1:$I$88,3,0)*0.475*44/12</f>
        <v>#N/A</v>
      </c>
      <c r="EX98" s="21" t="e">
        <f>EXP(-LN(2)/2)*EX97+(1-EXP(-LN(2)/2))/(LN(2)/2)*ER98*EU98*VLOOKUP('Données projet'!$B$15,Paramètres!$A$1:$I$88,3,0)*0.475*44/12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projet'!$B$16,Paramètres!$A$1:$I$88,3,0)*VLOOKUP('Données projet'!$B$16,Paramètres!$A$1:$I$88,5,0)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projet'!$B$16,Paramètres!$A$1:$I$88,7,0))</f>
        <v>0</v>
      </c>
      <c r="FO98" s="16">
        <f>IF(ISNA(VLOOKUP(A98,'Données projet'!$A$217:$I$237,6,0)),0%,VLOOKUP(A98,'Données projet'!$A$217:$I$237,6,0)*VLOOKUP('Données projet'!$B$16,Paramètres!$A$1:$I$88,7,0))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projet'!$B$16,Paramètres!$A$1:$I$88,3,0)*0.475*44/12</f>
        <v>#N/A</v>
      </c>
      <c r="FR98" s="21" t="e">
        <f>EXP(-LN(2)/25)*FR97+(1-EXP(-LN(2)/25))/(LN(2)/25)*Calculateur!FM98*Calculateur!FO98*VLOOKUP('Données projet'!$B$16,Paramètres!$A$1:$I$88,3,0)*0.475*44/12</f>
        <v>#N/A</v>
      </c>
      <c r="FS98" s="21" t="e">
        <f>EXP(-LN(2)/2)*FS97+(1-EXP(-LN(2)/2))/(LN(2)/2)*FM98*FP98*VLOOKUP('Données projet'!$B$16,Paramètres!$A$1:$I$88,3,0)*0.475*44/12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projet'!$B$17,Paramètres!$A$1:$I$88,3,0)*VLOOKUP('Données projet'!$B$17,Paramètres!$A$1:$I$88,5,0)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projet'!$B$17,Paramètres!$A$1:$I$88,7,0))</f>
        <v>0</v>
      </c>
      <c r="GJ98" s="16">
        <f>IF(ISNA(VLOOKUP(A98,'Données projet'!$A$243:$I$263,6,0)),0%,VLOOKUP(A98,'Données projet'!$A$243:$I$263,6,0)*VLOOKUP('Données projet'!$B$17,Paramètres!$A$1:$I$88,7,0))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projet'!$B$17,Paramètres!$A$1:$I$88,3,0)*0.475*44/12</f>
        <v>#N/A</v>
      </c>
      <c r="GM98" s="21" t="e">
        <f>EXP(-LN(2)/25)*GM97+(1-EXP(-LN(2)/25))/(LN(2)/25)*Calculateur!GH98*Calculateur!GJ98*VLOOKUP('Données projet'!$B$17,Paramètres!$A$1:$I$88,3,0)*0.475*44/12</f>
        <v>#N/A</v>
      </c>
      <c r="GN98" s="21" t="e">
        <f>EXP(-LN(2)/2)*GN97+(1-EXP(-LN(2)/2))/(LN(2)/2)*GH98*GK98*VLOOKUP('Données projet'!$B$17,Paramètres!$A$1:$I$88,3,0)*0.475*44/12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projet'!$B$18,Paramètres!$A$1:$I$88,3,0)*VLOOKUP('Données projet'!$B$18,Paramètres!$A$1:$I$88,5,0)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projet'!$B$18,Paramètres!$A$1:$I$88,7,0))</f>
        <v>0</v>
      </c>
      <c r="HE98" s="16">
        <f>IF(ISNA(VLOOKUP(A98,'Données projet'!$A$269:$I$289,6,0)),0%,VLOOKUP(A98,'Données projet'!$A$269:$I$289,6,0)*VLOOKUP('Données projet'!$B$18,Paramètres!$A$1:$I$88,7,0))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projet'!$B$18,Paramètres!$A$1:$I$88,3,0)*0.475*44/12</f>
        <v>#N/A</v>
      </c>
      <c r="HH98" s="21" t="e">
        <f>EXP(-LN(2)/25)*HH97+(1-EXP(-LN(2)/25))/(LN(2)/25)*Calculateur!HC98*Calculateur!HE98*VLOOKUP('Données projet'!$B$18,Paramètres!$A$1:$I$88,3,0)*0.475*44/12</f>
        <v>#N/A</v>
      </c>
      <c r="HI98" s="21" t="e">
        <f>EXP(-LN(2)/2)*HI97+(1-EXP(-LN(2)/2))/(LN(2)/2)*HC98*HF98*VLOOKUP('Données projet'!$B$18,Paramètres!$A$1:$I$88,3,0)*0.475*44/12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projet'!$B$9,Paramètres!$A$1:$I$88,3,0)*VLOOKUP('Données projet'!$B$9,Paramètres!$A$1:$I$88,5,0)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195.73441209602686</v>
      </c>
      <c r="T99" s="59">
        <f t="shared" si="88"/>
        <v>219.19129224309006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projet'!$B$9,Paramètres!$A$1:$I$88,7,0))</f>
        <v>0</v>
      </c>
      <c r="X99" s="16">
        <f>IF(ISNA(VLOOKUP(A99,'Données projet'!$A$35:$I$55,6,0)),0%,VLOOKUP(A99,'Données projet'!$A$35:$I$55,6,0)*VLOOKUP('Données projet'!$B$9,Paramètres!$A$1:$I$88,7,0))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projet'!$B$9,Paramètres!$A$1:$I$88,3,0)*0.475*44/12</f>
        <v>4.1274304426957</v>
      </c>
      <c r="AA99" s="21">
        <f>EXP(-LN(2)/25)*AA98+(1-EXP(-LN(2)/25))/(LN(2)/25)*Calculateur!V99*Calculateur!X99*VLOOKUP('Données projet'!$B$9,Paramètres!$A$1:$I$88,3,0)*0.475*44/12</f>
        <v>2.2712866593937897</v>
      </c>
      <c r="AB99" s="21">
        <f>EXP(-LN(2)/2)*AB98+(1-EXP(-LN(2)/2))/(LN(2)/2)*V99*Y99*VLOOKUP('Données projet'!$B$9,Paramètres!$A$1:$I$88,3,0)*0.475*44/12</f>
        <v>4.6184703518576506E-12</v>
      </c>
      <c r="AC99" s="22">
        <f t="shared" si="57"/>
        <v>6.3987171020941087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-4.5474735088646412E-13</v>
      </c>
      <c r="AJ99" s="13">
        <f>AI99*VLOOKUP('Données projet'!$B$10,Paramètres!$A$1:$I$88,3,0)*VLOOKUP('Données projet'!$B$10,Paramètres!$A$1:$I$88,5,0)</f>
        <v>-2.7193891583010558E-13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246.59447135626942</v>
      </c>
      <c r="AO99" s="59">
        <f t="shared" si="90"/>
        <v>262.00382544285367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projet'!$B$10,Paramètres!$A$1:$I$88,7,0))</f>
        <v>0</v>
      </c>
      <c r="AS99" s="16">
        <f>IF(ISNA(VLOOKUP(A99,'Données projet'!$A$61:$I$81,6,0)),0%,VLOOKUP(A99,'Données projet'!$A$61:$I$81,6,0)*VLOOKUP('Données projet'!$B$10,Paramètres!$A$1:$I$88,7,0))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projet'!$B$10,Paramètres!$A$1:$I$88,3,0)*0.475*44/12</f>
        <v>0</v>
      </c>
      <c r="AV99" s="21">
        <f>EXP(-LN(2)/25)*AV98+(1-EXP(-LN(2)/25))/(LN(2)/25)*Calculateur!AQ99*Calculateur!AS99*VLOOKUP('Données projet'!$B$10,Paramètres!$A$1:$I$88,3,0)*0.475*44/12</f>
        <v>2.0613847008819643</v>
      </c>
      <c r="AW99" s="21">
        <f>EXP(-LN(2)/2)*AW98+(1-EXP(-LN(2)/2))/(LN(2)/2)*AQ99*AT99*VLOOKUP('Données projet'!$B$10,Paramètres!$A$1:$I$88,3,0)*0.475*44/12</f>
        <v>2.7624610664577889E-9</v>
      </c>
      <c r="AX99" s="21">
        <f t="shared" si="60"/>
        <v>2.0613847036444253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-5.6843418860808015E-13</v>
      </c>
      <c r="BE99" s="13">
        <f>BD99*VLOOKUP('Données projet'!$B$11,Paramètres!$A$1:$I$88,3,0)*VLOOKUP('Données projet'!$B$11,Paramètres!$A$1:$I$88,5,0)</f>
        <v>-3.177547114319168E-13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355.96253323046608</v>
      </c>
      <c r="BJ99" s="59">
        <f t="shared" si="92"/>
        <v>366.8380442809696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projet'!$B$11,Paramètres!$A$1:$I$88,7,0))</f>
        <v>0</v>
      </c>
      <c r="BN99" s="16">
        <f>IF(ISNA(VLOOKUP(A99,'Données projet'!$A$87:$I$107,6,0)),0%,VLOOKUP(A99,'Données projet'!$A$87:$I$107,6,0)*VLOOKUP('Données projet'!$B$11,Paramètres!$A$1:$I$88,7,0))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projet'!$B$11,Paramètres!$A$1:$I$88,3,0)*0.475*44/12</f>
        <v>0</v>
      </c>
      <c r="BQ99" s="21">
        <f>EXP(-LN(2)/25)*BQ98+(1-EXP(-LN(2)/25))/(LN(2)/25)*Calculateur!BL99*Calculateur!BN99*VLOOKUP('Données projet'!$B$11,Paramètres!$A$1:$I$88,3,0)*0.475*44/12</f>
        <v>3.6497098036125091</v>
      </c>
      <c r="BR99" s="21">
        <f>EXP(-LN(2)/2)*BR98+(1-EXP(-LN(2)/2))/(LN(2)/2)*BL99*BO99*VLOOKUP('Données projet'!$B$11,Paramètres!$A$1:$I$88,3,0)*0.475*44/12</f>
        <v>4.2712149288802953E-9</v>
      </c>
      <c r="BS99" s="22">
        <f t="shared" si="63"/>
        <v>3.649709807883724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5.6843418860808015E-14</v>
      </c>
      <c r="BZ99" s="13">
        <f>BY99*VLOOKUP('Données projet'!$B$12,Paramètres!$A$1:$I$88,3,0)*VLOOKUP('Données projet'!$B$12,Paramètres!$A$1:$I$88,5,0)</f>
        <v>3.7243808037601412E-14</v>
      </c>
      <c r="CA99" s="13">
        <f t="shared" si="93"/>
        <v>6.2767589361185393E-13</v>
      </c>
      <c r="CB99" s="20">
        <f t="shared" si="64"/>
        <v>1.1580684803728015E-12</v>
      </c>
      <c r="CC99" s="59">
        <f t="shared" si="65"/>
        <v>293.33333333333445</v>
      </c>
      <c r="CD99" s="59">
        <f ca="1">AVERAGE(OFFSET($CC$3,0,0,'Données projet'!$E$12+1,1))-AVERAGE(OFFSET($H$3,0,0,'Données projet'!$E$12+1,1))</f>
        <v>180.90147430936133</v>
      </c>
      <c r="CE99" s="59">
        <f t="shared" si="94"/>
        <v>226.87949199830018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projet'!$B$12,Paramètres!$A$1:$I$88,7,0))</f>
        <v>0</v>
      </c>
      <c r="CI99" s="16">
        <f>IF(ISNA(VLOOKUP(A99,'Données projet'!$A$113:$I$133,6,0)),0%,VLOOKUP(A99,'Données projet'!$A$113:$I$133,6,0)*VLOOKUP('Données projet'!$B$12,Paramètres!$A$1:$I$88,7,0))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projet'!$B$12,Paramètres!$A$1:$I$88,3,0)*0.475*44/12</f>
        <v>0</v>
      </c>
      <c r="CL99" s="21">
        <f>EXP(-LN(2)/25)*CL98+(1-EXP(-LN(2)/25))/(LN(2)/25)*Calculateur!CG99*Calculateur!CI99*VLOOKUP('Données projet'!$B$12,Paramètres!$A$1:$I$88,3,0)*0.475*44/12</f>
        <v>1.1022277829541629</v>
      </c>
      <c r="CM99" s="21">
        <f>EXP(-LN(2)/2)*CM98+(1-EXP(-LN(2)/2))/(LN(2)/2)*CG99*CJ99*VLOOKUP('Données projet'!$B$12,Paramètres!$A$1:$I$88,3,0)*0.475*44/12</f>
        <v>1.0317261159932438E-9</v>
      </c>
      <c r="CN99" s="22">
        <f t="shared" si="66"/>
        <v>1.1022277839858889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5.6843418860808015E-14</v>
      </c>
      <c r="CU99" s="17">
        <f>CT99*VLOOKUP('Données projet'!$B$13,Paramètres!$A$1:$I$88,3,0)*VLOOKUP('Données projet'!$B$13,Paramètres!$A$1:$I$88,5,0)</f>
        <v>2.8908289095852525E-14</v>
      </c>
      <c r="CV99" s="13">
        <f t="shared" si="95"/>
        <v>5.0177780569126974E-13</v>
      </c>
      <c r="CW99" s="20">
        <f t="shared" si="67"/>
        <v>9.2427828175423786E-13</v>
      </c>
      <c r="CX99" s="59">
        <f t="shared" si="68"/>
        <v>293.33333333333422</v>
      </c>
      <c r="CY99" s="59">
        <f ca="1">AVERAGE(OFFSET($CX$3,0,0,'Données projet'!$E$13+1,1))-AVERAGE(OFFSET($H$3,0,0,'Données projet'!$E$13+1,1))</f>
        <v>133.08385802816008</v>
      </c>
      <c r="CZ99" s="59">
        <f t="shared" si="96"/>
        <v>316.59112511251385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projet'!$B$13,Paramètres!$A$1:$I$88,7,0))</f>
        <v>0</v>
      </c>
      <c r="DD99" s="16">
        <f>IF(ISNA(VLOOKUP(A99,'Données projet'!$A$139:$I$159,6,0)),0%,VLOOKUP(A99,'Données projet'!$A$139:$I$159,6,0)*VLOOKUP('Données projet'!$B$13,Paramètres!$A$1:$I$88,7,0))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projet'!$B$13,Paramètres!$A$1:$I$88,3,0)*0.475*44/12</f>
        <v>19.539657279714806</v>
      </c>
      <c r="DG99" s="21">
        <f>EXP(-LN(2)/25)*DG98+(1-EXP(-LN(2)/25))/(LN(2)/25)*Calculateur!DB99*Calculateur!DD99*VLOOKUP('Données projet'!$B$13,Paramètres!$A$1:$I$88,3,0)*0.475*44/12</f>
        <v>0</v>
      </c>
      <c r="DH99" s="21">
        <f>EXP(-LN(2)/2)*DH98+(1-EXP(-LN(2)/2))/(LN(2)/2)*DB99*DE99*VLOOKUP('Données projet'!$B$13,Paramètres!$A$1:$I$88,3,0)*0.475*44/12</f>
        <v>6.5825922607236617E-10</v>
      </c>
      <c r="DI99" s="22">
        <f t="shared" si="69"/>
        <v>19.539657280373067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projet'!$B$14,Paramètres!$A$1:$I$88,3,0)*VLOOKUP('Données projet'!$B$14,Paramètres!$A$1:$I$88,5,0)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projet'!$B$14,Paramètres!$A$1:$I$88,7,0))</f>
        <v>0</v>
      </c>
      <c r="DY99" s="16">
        <f>IF(ISNA(VLOOKUP(A99,'Données projet'!$A$165:$I$185,6,0)),0%,VLOOKUP(A99,'Données projet'!$A$165:$I$185,6,0)*VLOOKUP('Données projet'!$B$14,Paramètres!$A$1:$I$88,7,0))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projet'!$B$14,Paramètres!$A$1:$I$88,3,0)*0.475*44/12</f>
        <v>#N/A</v>
      </c>
      <c r="EB99" s="21" t="e">
        <f>EXP(-LN(2)/25)*EB98+(1-EXP(-LN(2)/25))/(LN(2)/25)*Calculateur!DW99*Calculateur!DY99*VLOOKUP('Données projet'!$B$14,Paramètres!$A$1:$I$88,3,0)*0.475*44/12</f>
        <v>#N/A</v>
      </c>
      <c r="EC99" s="21" t="e">
        <f>EXP(-LN(2)/2)*EC98+(1-EXP(-LN(2)/2))/(LN(2)/2)*DW99*DZ99*VLOOKUP('Données projet'!$B$14,Paramètres!$A$1:$I$88,3,0)*0.475*44/12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projet'!$B$15,Paramètres!$A$1:$I$88,3,0)*VLOOKUP('Données projet'!$B$15,Paramètres!$A$1:$I$88,5,0)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projet'!$B$15,Paramètres!$A$1:$I$88,7,0))</f>
        <v>0</v>
      </c>
      <c r="ET99" s="16">
        <f>IF(ISNA(VLOOKUP(A99,'Données projet'!$A$191:$I$211,6,0)),0%,VLOOKUP(A99,'Données projet'!$A$191:$I$211,6,0)*VLOOKUP('Données projet'!$B$15,Paramètres!$A$1:$I$88,7,0))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projet'!$B$15,Paramètres!$A$1:$I$88,3,0)*0.475*44/12</f>
        <v>#N/A</v>
      </c>
      <c r="EW99" s="21" t="e">
        <f>EXP(-LN(2)/25)*EW98+(1-EXP(-LN(2)/25))/(LN(2)/25)*Calculateur!ER99*Calculateur!ET99*VLOOKUP('Données projet'!$B$15,Paramètres!$A$1:$I$88,3,0)*0.475*44/12</f>
        <v>#N/A</v>
      </c>
      <c r="EX99" s="21" t="e">
        <f>EXP(-LN(2)/2)*EX98+(1-EXP(-LN(2)/2))/(LN(2)/2)*ER99*EU99*VLOOKUP('Données projet'!$B$15,Paramètres!$A$1:$I$88,3,0)*0.475*44/12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projet'!$B$16,Paramètres!$A$1:$I$88,3,0)*VLOOKUP('Données projet'!$B$16,Paramètres!$A$1:$I$88,5,0)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projet'!$B$16,Paramètres!$A$1:$I$88,7,0))</f>
        <v>0</v>
      </c>
      <c r="FO99" s="16">
        <f>IF(ISNA(VLOOKUP(A99,'Données projet'!$A$217:$I$237,6,0)),0%,VLOOKUP(A99,'Données projet'!$A$217:$I$237,6,0)*VLOOKUP('Données projet'!$B$16,Paramètres!$A$1:$I$88,7,0))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projet'!$B$16,Paramètres!$A$1:$I$88,3,0)*0.475*44/12</f>
        <v>#N/A</v>
      </c>
      <c r="FR99" s="21" t="e">
        <f>EXP(-LN(2)/25)*FR98+(1-EXP(-LN(2)/25))/(LN(2)/25)*Calculateur!FM99*Calculateur!FO99*VLOOKUP('Données projet'!$B$16,Paramètres!$A$1:$I$88,3,0)*0.475*44/12</f>
        <v>#N/A</v>
      </c>
      <c r="FS99" s="21" t="e">
        <f>EXP(-LN(2)/2)*FS98+(1-EXP(-LN(2)/2))/(LN(2)/2)*FM99*FP99*VLOOKUP('Données projet'!$B$16,Paramètres!$A$1:$I$88,3,0)*0.475*44/12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projet'!$B$17,Paramètres!$A$1:$I$88,3,0)*VLOOKUP('Données projet'!$B$17,Paramètres!$A$1:$I$88,5,0)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projet'!$B$17,Paramètres!$A$1:$I$88,7,0))</f>
        <v>0</v>
      </c>
      <c r="GJ99" s="16">
        <f>IF(ISNA(VLOOKUP(A99,'Données projet'!$A$243:$I$263,6,0)),0%,VLOOKUP(A99,'Données projet'!$A$243:$I$263,6,0)*VLOOKUP('Données projet'!$B$17,Paramètres!$A$1:$I$88,7,0))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projet'!$B$17,Paramètres!$A$1:$I$88,3,0)*0.475*44/12</f>
        <v>#N/A</v>
      </c>
      <c r="GM99" s="21" t="e">
        <f>EXP(-LN(2)/25)*GM98+(1-EXP(-LN(2)/25))/(LN(2)/25)*Calculateur!GH99*Calculateur!GJ99*VLOOKUP('Données projet'!$B$17,Paramètres!$A$1:$I$88,3,0)*0.475*44/12</f>
        <v>#N/A</v>
      </c>
      <c r="GN99" s="21" t="e">
        <f>EXP(-LN(2)/2)*GN98+(1-EXP(-LN(2)/2))/(LN(2)/2)*GH99*GK99*VLOOKUP('Données projet'!$B$17,Paramètres!$A$1:$I$88,3,0)*0.475*44/12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projet'!$B$18,Paramètres!$A$1:$I$88,3,0)*VLOOKUP('Données projet'!$B$18,Paramètres!$A$1:$I$88,5,0)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projet'!$B$18,Paramètres!$A$1:$I$88,7,0))</f>
        <v>0</v>
      </c>
      <c r="HE99" s="16">
        <f>IF(ISNA(VLOOKUP(A99,'Données projet'!$A$269:$I$289,6,0)),0%,VLOOKUP(A99,'Données projet'!$A$269:$I$289,6,0)*VLOOKUP('Données projet'!$B$18,Paramètres!$A$1:$I$88,7,0))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projet'!$B$18,Paramètres!$A$1:$I$88,3,0)*0.475*44/12</f>
        <v>#N/A</v>
      </c>
      <c r="HH99" s="21" t="e">
        <f>EXP(-LN(2)/25)*HH98+(1-EXP(-LN(2)/25))/(LN(2)/25)*Calculateur!HC99*Calculateur!HE99*VLOOKUP('Données projet'!$B$18,Paramètres!$A$1:$I$88,3,0)*0.475*44/12</f>
        <v>#N/A</v>
      </c>
      <c r="HI99" s="21" t="e">
        <f>EXP(-LN(2)/2)*HI98+(1-EXP(-LN(2)/2))/(LN(2)/2)*HC99*HF99*VLOOKUP('Données projet'!$B$18,Paramètres!$A$1:$I$88,3,0)*0.475*44/12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projet'!$B$9,Paramètres!$A$1:$I$88,3,0)*VLOOKUP('Données projet'!$B$9,Paramètres!$A$1:$I$88,5,0)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195.73441209602686</v>
      </c>
      <c r="T100" s="59">
        <f t="shared" si="88"/>
        <v>219.19129224309006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projet'!$B$9,Paramètres!$A$1:$I$88,7,0))</f>
        <v>0</v>
      </c>
      <c r="X100" s="16">
        <f>IF(ISNA(VLOOKUP(A100,'Données projet'!$A$35:$I$55,6,0)),0%,VLOOKUP(A100,'Données projet'!$A$35:$I$55,6,0)*VLOOKUP('Données projet'!$B$9,Paramètres!$A$1:$I$88,7,0))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projet'!$B$9,Paramètres!$A$1:$I$88,3,0)*0.475*44/12</f>
        <v>4.0464940491984267</v>
      </c>
      <c r="AA100" s="21">
        <f>EXP(-LN(2)/25)*AA99+(1-EXP(-LN(2)/25))/(LN(2)/25)*Calculateur!V100*Calculateur!X100*VLOOKUP('Données projet'!$B$9,Paramètres!$A$1:$I$88,3,0)*0.475*44/12</f>
        <v>2.209178206250892</v>
      </c>
      <c r="AB100" s="21">
        <f>EXP(-LN(2)/2)*AB99+(1-EXP(-LN(2)/2))/(LN(2)/2)*V100*Y100*VLOOKUP('Données projet'!$B$9,Paramètres!$A$1:$I$88,3,0)*0.475*44/12</f>
        <v>3.2657517045075649E-12</v>
      </c>
      <c r="AC100" s="22">
        <f t="shared" si="57"/>
        <v>6.255672255452585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-4.5474735088646412E-13</v>
      </c>
      <c r="AJ100" s="13">
        <f>AI100*VLOOKUP('Données projet'!$B$10,Paramètres!$A$1:$I$88,3,0)*VLOOKUP('Données projet'!$B$10,Paramètres!$A$1:$I$88,5,0)</f>
        <v>-2.7193891583010558E-13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246.59447135626942</v>
      </c>
      <c r="AO100" s="59">
        <f t="shared" si="90"/>
        <v>262.00382544285367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projet'!$B$10,Paramètres!$A$1:$I$88,7,0))</f>
        <v>0</v>
      </c>
      <c r="AS100" s="16">
        <f>IF(ISNA(VLOOKUP(A100,'Données projet'!$A$61:$I$81,6,0)),0%,VLOOKUP(A100,'Données projet'!$A$61:$I$81,6,0)*VLOOKUP('Données projet'!$B$10,Paramètres!$A$1:$I$88,7,0))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projet'!$B$10,Paramètres!$A$1:$I$88,3,0)*0.475*44/12</f>
        <v>0</v>
      </c>
      <c r="AV100" s="21">
        <f>EXP(-LN(2)/25)*AV99+(1-EXP(-LN(2)/25))/(LN(2)/25)*Calculateur!AQ100*Calculateur!AS100*VLOOKUP('Données projet'!$B$10,Paramètres!$A$1:$I$88,3,0)*0.475*44/12</f>
        <v>2.0050160278328368</v>
      </c>
      <c r="AW100" s="21">
        <f>EXP(-LN(2)/2)*AW99+(1-EXP(-LN(2)/2))/(LN(2)/2)*AQ100*AT100*VLOOKUP('Données projet'!$B$10,Paramètres!$A$1:$I$88,3,0)*0.475*44/12</f>
        <v>1.9533549528561244E-9</v>
      </c>
      <c r="AX100" s="21">
        <f t="shared" si="60"/>
        <v>2.0050160297861916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-5.6843418860808015E-13</v>
      </c>
      <c r="BE100" s="13">
        <f>BD100*VLOOKUP('Données projet'!$B$11,Paramètres!$A$1:$I$88,3,0)*VLOOKUP('Données projet'!$B$11,Paramètres!$A$1:$I$88,5,0)</f>
        <v>-3.177547114319168E-13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355.96253323046608</v>
      </c>
      <c r="BJ100" s="59">
        <f t="shared" si="92"/>
        <v>366.8380442809696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projet'!$B$11,Paramètres!$A$1:$I$88,7,0))</f>
        <v>0</v>
      </c>
      <c r="BN100" s="16">
        <f>IF(ISNA(VLOOKUP(A100,'Données projet'!$A$87:$I$107,6,0)),0%,VLOOKUP(A100,'Données projet'!$A$87:$I$107,6,0)*VLOOKUP('Données projet'!$B$11,Paramètres!$A$1:$I$88,7,0))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projet'!$B$11,Paramètres!$A$1:$I$88,3,0)*0.475*44/12</f>
        <v>0</v>
      </c>
      <c r="BQ100" s="21">
        <f>EXP(-LN(2)/25)*BQ99+(1-EXP(-LN(2)/25))/(LN(2)/25)*Calculateur!BL100*Calculateur!BN100*VLOOKUP('Données projet'!$B$11,Paramètres!$A$1:$I$88,3,0)*0.475*44/12</f>
        <v>3.549908297102828</v>
      </c>
      <c r="BR100" s="21">
        <f>EXP(-LN(2)/2)*BR99+(1-EXP(-LN(2)/2))/(LN(2)/2)*BL100*BO100*VLOOKUP('Données projet'!$B$11,Paramètres!$A$1:$I$88,3,0)*0.475*44/12</f>
        <v>3.0202050401164742E-9</v>
      </c>
      <c r="BS100" s="22">
        <f t="shared" si="63"/>
        <v>3.5499083001230329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5.6843418860808015E-14</v>
      </c>
      <c r="BZ100" s="13">
        <f>BY100*VLOOKUP('Données projet'!$B$12,Paramètres!$A$1:$I$88,3,0)*VLOOKUP('Données projet'!$B$12,Paramètres!$A$1:$I$88,5,0)</f>
        <v>3.7243808037601412E-14</v>
      </c>
      <c r="CA100" s="13">
        <f t="shared" si="93"/>
        <v>6.2767589361185393E-13</v>
      </c>
      <c r="CB100" s="20">
        <f t="shared" si="64"/>
        <v>1.1580684803728015E-12</v>
      </c>
      <c r="CC100" s="59">
        <f t="shared" si="65"/>
        <v>293.33333333333445</v>
      </c>
      <c r="CD100" s="59">
        <f ca="1">AVERAGE(OFFSET($CC$3,0,0,'Données projet'!$E$12+1,1))-AVERAGE(OFFSET($H$3,0,0,'Données projet'!$E$12+1,1))</f>
        <v>180.90147430936133</v>
      </c>
      <c r="CE100" s="59">
        <f t="shared" si="94"/>
        <v>226.87949199830018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projet'!$B$12,Paramètres!$A$1:$I$88,7,0))</f>
        <v>0</v>
      </c>
      <c r="CI100" s="16">
        <f>IF(ISNA(VLOOKUP(A100,'Données projet'!$A$113:$I$133,6,0)),0%,VLOOKUP(A100,'Données projet'!$A$113:$I$133,6,0)*VLOOKUP('Données projet'!$B$12,Paramètres!$A$1:$I$88,7,0))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projet'!$B$12,Paramètres!$A$1:$I$88,3,0)*0.475*44/12</f>
        <v>0</v>
      </c>
      <c r="CL100" s="21">
        <f>EXP(-LN(2)/25)*CL99+(1-EXP(-LN(2)/25))/(LN(2)/25)*Calculateur!CG100*Calculateur!CI100*VLOOKUP('Données projet'!$B$12,Paramètres!$A$1:$I$88,3,0)*0.475*44/12</f>
        <v>1.0720873062656413</v>
      </c>
      <c r="CM100" s="21">
        <f>EXP(-LN(2)/2)*CM99+(1-EXP(-LN(2)/2))/(LN(2)/2)*CG100*CJ100*VLOOKUP('Données projet'!$B$12,Paramètres!$A$1:$I$88,3,0)*0.475*44/12</f>
        <v>7.2954053294608123E-10</v>
      </c>
      <c r="CN100" s="22">
        <f t="shared" si="66"/>
        <v>1.0720873069951817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5.6843418860808015E-14</v>
      </c>
      <c r="CU100" s="17">
        <f>CT100*VLOOKUP('Données projet'!$B$13,Paramètres!$A$1:$I$88,3,0)*VLOOKUP('Données projet'!$B$13,Paramètres!$A$1:$I$88,5,0)</f>
        <v>2.8908289095852525E-14</v>
      </c>
      <c r="CV100" s="13">
        <f t="shared" si="95"/>
        <v>5.0177780569126974E-13</v>
      </c>
      <c r="CW100" s="20">
        <f t="shared" si="67"/>
        <v>9.2427828175423786E-13</v>
      </c>
      <c r="CX100" s="59">
        <f t="shared" si="68"/>
        <v>293.33333333333422</v>
      </c>
      <c r="CY100" s="59">
        <f ca="1">AVERAGE(OFFSET($CX$3,0,0,'Données projet'!$E$13+1,1))-AVERAGE(OFFSET($H$3,0,0,'Données projet'!$E$13+1,1))</f>
        <v>133.08385802816008</v>
      </c>
      <c r="CZ100" s="59">
        <f t="shared" si="96"/>
        <v>316.59112511251385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projet'!$B$13,Paramètres!$A$1:$I$88,7,0))</f>
        <v>0</v>
      </c>
      <c r="DD100" s="16">
        <f>IF(ISNA(VLOOKUP(A100,'Données projet'!$A$139:$I$159,6,0)),0%,VLOOKUP(A100,'Données projet'!$A$139:$I$159,6,0)*VLOOKUP('Données projet'!$B$13,Paramètres!$A$1:$I$88,7,0))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projet'!$B$13,Paramètres!$A$1:$I$88,3,0)*0.475*44/12</f>
        <v>19.156496518473734</v>
      </c>
      <c r="DG100" s="21">
        <f>EXP(-LN(2)/25)*DG99+(1-EXP(-LN(2)/25))/(LN(2)/25)*Calculateur!DB100*Calculateur!DD100*VLOOKUP('Données projet'!$B$13,Paramètres!$A$1:$I$88,3,0)*0.475*44/12</f>
        <v>0</v>
      </c>
      <c r="DH100" s="21">
        <f>EXP(-LN(2)/2)*DH99+(1-EXP(-LN(2)/2))/(LN(2)/2)*DB100*DE100*VLOOKUP('Données projet'!$B$13,Paramètres!$A$1:$I$88,3,0)*0.475*44/12</f>
        <v>4.6545956253437879E-10</v>
      </c>
      <c r="DI100" s="22">
        <f t="shared" si="69"/>
        <v>19.156496518939193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projet'!$B$14,Paramètres!$A$1:$I$88,3,0)*VLOOKUP('Données projet'!$B$14,Paramètres!$A$1:$I$88,5,0)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projet'!$B$14,Paramètres!$A$1:$I$88,7,0))</f>
        <v>0</v>
      </c>
      <c r="DY100" s="16">
        <f>IF(ISNA(VLOOKUP(A100,'Données projet'!$A$165:$I$185,6,0)),0%,VLOOKUP(A100,'Données projet'!$A$165:$I$185,6,0)*VLOOKUP('Données projet'!$B$14,Paramètres!$A$1:$I$88,7,0))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projet'!$B$14,Paramètres!$A$1:$I$88,3,0)*0.475*44/12</f>
        <v>#N/A</v>
      </c>
      <c r="EB100" s="21" t="e">
        <f>EXP(-LN(2)/25)*EB99+(1-EXP(-LN(2)/25))/(LN(2)/25)*Calculateur!DW100*Calculateur!DY100*VLOOKUP('Données projet'!$B$14,Paramètres!$A$1:$I$88,3,0)*0.475*44/12</f>
        <v>#N/A</v>
      </c>
      <c r="EC100" s="21" t="e">
        <f>EXP(-LN(2)/2)*EC99+(1-EXP(-LN(2)/2))/(LN(2)/2)*DW100*DZ100*VLOOKUP('Données projet'!$B$14,Paramètres!$A$1:$I$88,3,0)*0.475*44/12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projet'!$B$15,Paramètres!$A$1:$I$88,3,0)*VLOOKUP('Données projet'!$B$15,Paramètres!$A$1:$I$88,5,0)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projet'!$B$15,Paramètres!$A$1:$I$88,7,0))</f>
        <v>0</v>
      </c>
      <c r="ET100" s="16">
        <f>IF(ISNA(VLOOKUP(A100,'Données projet'!$A$191:$I$211,6,0)),0%,VLOOKUP(A100,'Données projet'!$A$191:$I$211,6,0)*VLOOKUP('Données projet'!$B$15,Paramètres!$A$1:$I$88,7,0))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projet'!$B$15,Paramètres!$A$1:$I$88,3,0)*0.475*44/12</f>
        <v>#N/A</v>
      </c>
      <c r="EW100" s="21" t="e">
        <f>EXP(-LN(2)/25)*EW99+(1-EXP(-LN(2)/25))/(LN(2)/25)*Calculateur!ER100*Calculateur!ET100*VLOOKUP('Données projet'!$B$15,Paramètres!$A$1:$I$88,3,0)*0.475*44/12</f>
        <v>#N/A</v>
      </c>
      <c r="EX100" s="21" t="e">
        <f>EXP(-LN(2)/2)*EX99+(1-EXP(-LN(2)/2))/(LN(2)/2)*ER100*EU100*VLOOKUP('Données projet'!$B$15,Paramètres!$A$1:$I$88,3,0)*0.475*44/12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projet'!$B$16,Paramètres!$A$1:$I$88,3,0)*VLOOKUP('Données projet'!$B$16,Paramètres!$A$1:$I$88,5,0)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projet'!$B$16,Paramètres!$A$1:$I$88,7,0))</f>
        <v>0</v>
      </c>
      <c r="FO100" s="16">
        <f>IF(ISNA(VLOOKUP(A100,'Données projet'!$A$217:$I$237,6,0)),0%,VLOOKUP(A100,'Données projet'!$A$217:$I$237,6,0)*VLOOKUP('Données projet'!$B$16,Paramètres!$A$1:$I$88,7,0))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projet'!$B$16,Paramètres!$A$1:$I$88,3,0)*0.475*44/12</f>
        <v>#N/A</v>
      </c>
      <c r="FR100" s="21" t="e">
        <f>EXP(-LN(2)/25)*FR99+(1-EXP(-LN(2)/25))/(LN(2)/25)*Calculateur!FM100*Calculateur!FO100*VLOOKUP('Données projet'!$B$16,Paramètres!$A$1:$I$88,3,0)*0.475*44/12</f>
        <v>#N/A</v>
      </c>
      <c r="FS100" s="21" t="e">
        <f>EXP(-LN(2)/2)*FS99+(1-EXP(-LN(2)/2))/(LN(2)/2)*FM100*FP100*VLOOKUP('Données projet'!$B$16,Paramètres!$A$1:$I$88,3,0)*0.475*44/12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projet'!$B$17,Paramètres!$A$1:$I$88,3,0)*VLOOKUP('Données projet'!$B$17,Paramètres!$A$1:$I$88,5,0)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projet'!$B$17,Paramètres!$A$1:$I$88,7,0))</f>
        <v>0</v>
      </c>
      <c r="GJ100" s="16">
        <f>IF(ISNA(VLOOKUP(A100,'Données projet'!$A$243:$I$263,6,0)),0%,VLOOKUP(A100,'Données projet'!$A$243:$I$263,6,0)*VLOOKUP('Données projet'!$B$17,Paramètres!$A$1:$I$88,7,0))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projet'!$B$17,Paramètres!$A$1:$I$88,3,0)*0.475*44/12</f>
        <v>#N/A</v>
      </c>
      <c r="GM100" s="21" t="e">
        <f>EXP(-LN(2)/25)*GM99+(1-EXP(-LN(2)/25))/(LN(2)/25)*Calculateur!GH100*Calculateur!GJ100*VLOOKUP('Données projet'!$B$17,Paramètres!$A$1:$I$88,3,0)*0.475*44/12</f>
        <v>#N/A</v>
      </c>
      <c r="GN100" s="21" t="e">
        <f>EXP(-LN(2)/2)*GN99+(1-EXP(-LN(2)/2))/(LN(2)/2)*GH100*GK100*VLOOKUP('Données projet'!$B$17,Paramètres!$A$1:$I$88,3,0)*0.475*44/12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projet'!$B$18,Paramètres!$A$1:$I$88,3,0)*VLOOKUP('Données projet'!$B$18,Paramètres!$A$1:$I$88,5,0)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projet'!$B$18,Paramètres!$A$1:$I$88,7,0))</f>
        <v>0</v>
      </c>
      <c r="HE100" s="16">
        <f>IF(ISNA(VLOOKUP(A100,'Données projet'!$A$269:$I$289,6,0)),0%,VLOOKUP(A100,'Données projet'!$A$269:$I$289,6,0)*VLOOKUP('Données projet'!$B$18,Paramètres!$A$1:$I$88,7,0))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projet'!$B$18,Paramètres!$A$1:$I$88,3,0)*0.475*44/12</f>
        <v>#N/A</v>
      </c>
      <c r="HH100" s="21" t="e">
        <f>EXP(-LN(2)/25)*HH99+(1-EXP(-LN(2)/25))/(LN(2)/25)*Calculateur!HC100*Calculateur!HE100*VLOOKUP('Données projet'!$B$18,Paramètres!$A$1:$I$88,3,0)*0.475*44/12</f>
        <v>#N/A</v>
      </c>
      <c r="HI100" s="21" t="e">
        <f>EXP(-LN(2)/2)*HI99+(1-EXP(-LN(2)/2))/(LN(2)/2)*HC100*HF100*VLOOKUP('Données projet'!$B$18,Paramètres!$A$1:$I$88,3,0)*0.475*44/12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projet'!$B$9,Paramètres!$A$1:$I$88,3,0)*VLOOKUP('Données projet'!$B$9,Paramètres!$A$1:$I$88,5,0)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195.73441209602686</v>
      </c>
      <c r="T101" s="59">
        <f t="shared" si="88"/>
        <v>219.19129224309006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projet'!$B$9,Paramètres!$A$1:$I$88,7,0))</f>
        <v>0</v>
      </c>
      <c r="X101" s="16">
        <f>IF(ISNA(VLOOKUP(A101,'Données projet'!$A$35:$I$55,6,0)),0%,VLOOKUP(A101,'Données projet'!$A$35:$I$55,6,0)*VLOOKUP('Données projet'!$B$9,Paramètres!$A$1:$I$88,7,0))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projet'!$B$9,Paramètres!$A$1:$I$88,3,0)*0.475*44/12</f>
        <v>3.9671447690113091</v>
      </c>
      <c r="AA101" s="21">
        <f>EXP(-LN(2)/25)*AA100+(1-EXP(-LN(2)/25))/(LN(2)/25)*Calculateur!V101*Calculateur!X101*VLOOKUP('Données projet'!$B$9,Paramètres!$A$1:$I$88,3,0)*0.475*44/12</f>
        <v>2.1487681120253286</v>
      </c>
      <c r="AB101" s="21">
        <f>EXP(-LN(2)/2)*AB100+(1-EXP(-LN(2)/2))/(LN(2)/2)*V101*Y101*VLOOKUP('Données projet'!$B$9,Paramètres!$A$1:$I$88,3,0)*0.475*44/12</f>
        <v>2.3092351759288253E-12</v>
      </c>
      <c r="AC101" s="22">
        <f t="shared" si="57"/>
        <v>6.1159128810389465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-4.5474735088646412E-13</v>
      </c>
      <c r="AJ101" s="13">
        <f>AI101*VLOOKUP('Données projet'!$B$10,Paramètres!$A$1:$I$88,3,0)*VLOOKUP('Données projet'!$B$10,Paramètres!$A$1:$I$88,5,0)</f>
        <v>-2.7193891583010558E-13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246.59447135626942</v>
      </c>
      <c r="AO101" s="59">
        <f t="shared" si="90"/>
        <v>262.00382544285367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projet'!$B$10,Paramètres!$A$1:$I$88,7,0))</f>
        <v>0</v>
      </c>
      <c r="AS101" s="16">
        <f>IF(ISNA(VLOOKUP(A101,'Données projet'!$A$61:$I$81,6,0)),0%,VLOOKUP(A101,'Données projet'!$A$61:$I$81,6,0)*VLOOKUP('Données projet'!$B$10,Paramètres!$A$1:$I$88,7,0))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projet'!$B$10,Paramètres!$A$1:$I$88,3,0)*0.475*44/12</f>
        <v>0</v>
      </c>
      <c r="AV101" s="21">
        <f>EXP(-LN(2)/25)*AV100+(1-EXP(-LN(2)/25))/(LN(2)/25)*Calculateur!AQ101*Calculateur!AS101*VLOOKUP('Données projet'!$B$10,Paramètres!$A$1:$I$88,3,0)*0.475*44/12</f>
        <v>1.9501887591125375</v>
      </c>
      <c r="AW101" s="21">
        <f>EXP(-LN(2)/2)*AW100+(1-EXP(-LN(2)/2))/(LN(2)/2)*AQ101*AT101*VLOOKUP('Données projet'!$B$10,Paramètres!$A$1:$I$88,3,0)*0.475*44/12</f>
        <v>1.3812305332288944E-9</v>
      </c>
      <c r="AX101" s="21">
        <f t="shared" si="60"/>
        <v>1.950188760493768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-5.6843418860808015E-13</v>
      </c>
      <c r="BE101" s="13">
        <f>BD101*VLOOKUP('Données projet'!$B$11,Paramètres!$A$1:$I$88,3,0)*VLOOKUP('Données projet'!$B$11,Paramètres!$A$1:$I$88,5,0)</f>
        <v>-3.177547114319168E-13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355.96253323046608</v>
      </c>
      <c r="BJ101" s="59">
        <f t="shared" si="92"/>
        <v>366.8380442809696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projet'!$B$11,Paramètres!$A$1:$I$88,7,0))</f>
        <v>0</v>
      </c>
      <c r="BN101" s="16">
        <f>IF(ISNA(VLOOKUP(A101,'Données projet'!$A$87:$I$107,6,0)),0%,VLOOKUP(A101,'Données projet'!$A$87:$I$107,6,0)*VLOOKUP('Données projet'!$B$11,Paramètres!$A$1:$I$88,7,0))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projet'!$B$11,Paramètres!$A$1:$I$88,3,0)*0.475*44/12</f>
        <v>0</v>
      </c>
      <c r="BQ101" s="21">
        <f>EXP(-LN(2)/25)*BQ100+(1-EXP(-LN(2)/25))/(LN(2)/25)*Calculateur!BL101*Calculateur!BN101*VLOOKUP('Données projet'!$B$11,Paramètres!$A$1:$I$88,3,0)*0.475*44/12</f>
        <v>3.4528358680369871</v>
      </c>
      <c r="BR101" s="21">
        <f>EXP(-LN(2)/2)*BR100+(1-EXP(-LN(2)/2))/(LN(2)/2)*BL101*BO101*VLOOKUP('Données projet'!$B$11,Paramètres!$A$1:$I$88,3,0)*0.475*44/12</f>
        <v>2.1356074644401476E-9</v>
      </c>
      <c r="BS101" s="22">
        <f t="shared" si="63"/>
        <v>3.4528358701725943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5.6843418860808015E-14</v>
      </c>
      <c r="BZ101" s="13">
        <f>BY101*VLOOKUP('Données projet'!$B$12,Paramètres!$A$1:$I$88,3,0)*VLOOKUP('Données projet'!$B$12,Paramètres!$A$1:$I$88,5,0)</f>
        <v>3.7243808037601412E-14</v>
      </c>
      <c r="CA101" s="13">
        <f t="shared" si="93"/>
        <v>6.2767589361185393E-13</v>
      </c>
      <c r="CB101" s="20">
        <f t="shared" si="64"/>
        <v>1.1580684803728015E-12</v>
      </c>
      <c r="CC101" s="59">
        <f t="shared" si="65"/>
        <v>293.33333333333445</v>
      </c>
      <c r="CD101" s="59">
        <f ca="1">AVERAGE(OFFSET($CC$3,0,0,'Données projet'!$E$12+1,1))-AVERAGE(OFFSET($H$3,0,0,'Données projet'!$E$12+1,1))</f>
        <v>180.90147430936133</v>
      </c>
      <c r="CE101" s="59">
        <f t="shared" si="94"/>
        <v>226.87949199830018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projet'!$B$12,Paramètres!$A$1:$I$88,7,0))</f>
        <v>0</v>
      </c>
      <c r="CI101" s="16">
        <f>IF(ISNA(VLOOKUP(A101,'Données projet'!$A$113:$I$133,6,0)),0%,VLOOKUP(A101,'Données projet'!$A$113:$I$133,6,0)*VLOOKUP('Données projet'!$B$12,Paramètres!$A$1:$I$88,7,0))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projet'!$B$12,Paramètres!$A$1:$I$88,3,0)*0.475*44/12</f>
        <v>0</v>
      </c>
      <c r="CL101" s="21">
        <f>EXP(-LN(2)/25)*CL100+(1-EXP(-LN(2)/25))/(LN(2)/25)*Calculateur!CG101*Calculateur!CI101*VLOOKUP('Données projet'!$B$12,Paramètres!$A$1:$I$88,3,0)*0.475*44/12</f>
        <v>1.0427710224971862</v>
      </c>
      <c r="CM101" s="21">
        <f>EXP(-LN(2)/2)*CM100+(1-EXP(-LN(2)/2))/(LN(2)/2)*CG101*CJ101*VLOOKUP('Données projet'!$B$12,Paramètres!$A$1:$I$88,3,0)*0.475*44/12</f>
        <v>5.1586305799662191E-10</v>
      </c>
      <c r="CN101" s="22">
        <f t="shared" si="66"/>
        <v>1.0427710230130494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5.6843418860808015E-14</v>
      </c>
      <c r="CU101" s="17">
        <f>CT101*VLOOKUP('Données projet'!$B$13,Paramètres!$A$1:$I$88,3,0)*VLOOKUP('Données projet'!$B$13,Paramètres!$A$1:$I$88,5,0)</f>
        <v>2.8908289095852525E-14</v>
      </c>
      <c r="CV101" s="13">
        <f t="shared" si="95"/>
        <v>5.0177780569126974E-13</v>
      </c>
      <c r="CW101" s="20">
        <f t="shared" si="67"/>
        <v>9.2427828175423786E-13</v>
      </c>
      <c r="CX101" s="59">
        <f t="shared" si="68"/>
        <v>293.33333333333422</v>
      </c>
      <c r="CY101" s="59">
        <f ca="1">AVERAGE(OFFSET($CX$3,0,0,'Données projet'!$E$13+1,1))-AVERAGE(OFFSET($H$3,0,0,'Données projet'!$E$13+1,1))</f>
        <v>133.08385802816008</v>
      </c>
      <c r="CZ101" s="59">
        <f t="shared" si="96"/>
        <v>316.59112511251385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projet'!$B$13,Paramètres!$A$1:$I$88,7,0))</f>
        <v>0</v>
      </c>
      <c r="DD101" s="16">
        <f>IF(ISNA(VLOOKUP(A101,'Données projet'!$A$139:$I$159,6,0)),0%,VLOOKUP(A101,'Données projet'!$A$139:$I$159,6,0)*VLOOKUP('Données projet'!$B$13,Paramètres!$A$1:$I$88,7,0))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projet'!$B$13,Paramètres!$A$1:$I$88,3,0)*0.475*44/12</f>
        <v>18.780849306055611</v>
      </c>
      <c r="DG101" s="21">
        <f>EXP(-LN(2)/25)*DG100+(1-EXP(-LN(2)/25))/(LN(2)/25)*Calculateur!DB101*Calculateur!DD101*VLOOKUP('Données projet'!$B$13,Paramètres!$A$1:$I$88,3,0)*0.475*44/12</f>
        <v>0</v>
      </c>
      <c r="DH101" s="21">
        <f>EXP(-LN(2)/2)*DH100+(1-EXP(-LN(2)/2))/(LN(2)/2)*DB101*DE101*VLOOKUP('Données projet'!$B$13,Paramètres!$A$1:$I$88,3,0)*0.475*44/12</f>
        <v>3.2912961303618314E-10</v>
      </c>
      <c r="DI101" s="22">
        <f t="shared" si="69"/>
        <v>18.780849306384741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projet'!$B$14,Paramètres!$A$1:$I$88,3,0)*VLOOKUP('Données projet'!$B$14,Paramètres!$A$1:$I$88,5,0)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projet'!$B$14,Paramètres!$A$1:$I$88,7,0))</f>
        <v>0</v>
      </c>
      <c r="DY101" s="16">
        <f>IF(ISNA(VLOOKUP(A101,'Données projet'!$A$165:$I$185,6,0)),0%,VLOOKUP(A101,'Données projet'!$A$165:$I$185,6,0)*VLOOKUP('Données projet'!$B$14,Paramètres!$A$1:$I$88,7,0))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projet'!$B$14,Paramètres!$A$1:$I$88,3,0)*0.475*44/12</f>
        <v>#N/A</v>
      </c>
      <c r="EB101" s="21" t="e">
        <f>EXP(-LN(2)/25)*EB100+(1-EXP(-LN(2)/25))/(LN(2)/25)*Calculateur!DW101*Calculateur!DY101*VLOOKUP('Données projet'!$B$14,Paramètres!$A$1:$I$88,3,0)*0.475*44/12</f>
        <v>#N/A</v>
      </c>
      <c r="EC101" s="21" t="e">
        <f>EXP(-LN(2)/2)*EC100+(1-EXP(-LN(2)/2))/(LN(2)/2)*DW101*DZ101*VLOOKUP('Données projet'!$B$14,Paramètres!$A$1:$I$88,3,0)*0.475*44/12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projet'!$B$15,Paramètres!$A$1:$I$88,3,0)*VLOOKUP('Données projet'!$B$15,Paramètres!$A$1:$I$88,5,0)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projet'!$B$15,Paramètres!$A$1:$I$88,7,0))</f>
        <v>0</v>
      </c>
      <c r="ET101" s="16">
        <f>IF(ISNA(VLOOKUP(A101,'Données projet'!$A$191:$I$211,6,0)),0%,VLOOKUP(A101,'Données projet'!$A$191:$I$211,6,0)*VLOOKUP('Données projet'!$B$15,Paramètres!$A$1:$I$88,7,0))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projet'!$B$15,Paramètres!$A$1:$I$88,3,0)*0.475*44/12</f>
        <v>#N/A</v>
      </c>
      <c r="EW101" s="21" t="e">
        <f>EXP(-LN(2)/25)*EW100+(1-EXP(-LN(2)/25))/(LN(2)/25)*Calculateur!ER101*Calculateur!ET101*VLOOKUP('Données projet'!$B$15,Paramètres!$A$1:$I$88,3,0)*0.475*44/12</f>
        <v>#N/A</v>
      </c>
      <c r="EX101" s="21" t="e">
        <f>EXP(-LN(2)/2)*EX100+(1-EXP(-LN(2)/2))/(LN(2)/2)*ER101*EU101*VLOOKUP('Données projet'!$B$15,Paramètres!$A$1:$I$88,3,0)*0.475*44/12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projet'!$B$16,Paramètres!$A$1:$I$88,3,0)*VLOOKUP('Données projet'!$B$16,Paramètres!$A$1:$I$88,5,0)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projet'!$B$16,Paramètres!$A$1:$I$88,7,0))</f>
        <v>0</v>
      </c>
      <c r="FO101" s="16">
        <f>IF(ISNA(VLOOKUP(A101,'Données projet'!$A$217:$I$237,6,0)),0%,VLOOKUP(A101,'Données projet'!$A$217:$I$237,6,0)*VLOOKUP('Données projet'!$B$16,Paramètres!$A$1:$I$88,7,0))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projet'!$B$16,Paramètres!$A$1:$I$88,3,0)*0.475*44/12</f>
        <v>#N/A</v>
      </c>
      <c r="FR101" s="21" t="e">
        <f>EXP(-LN(2)/25)*FR100+(1-EXP(-LN(2)/25))/(LN(2)/25)*Calculateur!FM101*Calculateur!FO101*VLOOKUP('Données projet'!$B$16,Paramètres!$A$1:$I$88,3,0)*0.475*44/12</f>
        <v>#N/A</v>
      </c>
      <c r="FS101" s="21" t="e">
        <f>EXP(-LN(2)/2)*FS100+(1-EXP(-LN(2)/2))/(LN(2)/2)*FM101*FP101*VLOOKUP('Données projet'!$B$16,Paramètres!$A$1:$I$88,3,0)*0.475*44/12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projet'!$B$17,Paramètres!$A$1:$I$88,3,0)*VLOOKUP('Données projet'!$B$17,Paramètres!$A$1:$I$88,5,0)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projet'!$B$17,Paramètres!$A$1:$I$88,7,0))</f>
        <v>0</v>
      </c>
      <c r="GJ101" s="16">
        <f>IF(ISNA(VLOOKUP(A101,'Données projet'!$A$243:$I$263,6,0)),0%,VLOOKUP(A101,'Données projet'!$A$243:$I$263,6,0)*VLOOKUP('Données projet'!$B$17,Paramètres!$A$1:$I$88,7,0))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projet'!$B$17,Paramètres!$A$1:$I$88,3,0)*0.475*44/12</f>
        <v>#N/A</v>
      </c>
      <c r="GM101" s="21" t="e">
        <f>EXP(-LN(2)/25)*GM100+(1-EXP(-LN(2)/25))/(LN(2)/25)*Calculateur!GH101*Calculateur!GJ101*VLOOKUP('Données projet'!$B$17,Paramètres!$A$1:$I$88,3,0)*0.475*44/12</f>
        <v>#N/A</v>
      </c>
      <c r="GN101" s="21" t="e">
        <f>EXP(-LN(2)/2)*GN100+(1-EXP(-LN(2)/2))/(LN(2)/2)*GH101*GK101*VLOOKUP('Données projet'!$B$17,Paramètres!$A$1:$I$88,3,0)*0.475*44/12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projet'!$B$18,Paramètres!$A$1:$I$88,3,0)*VLOOKUP('Données projet'!$B$18,Paramètres!$A$1:$I$88,5,0)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projet'!$B$18,Paramètres!$A$1:$I$88,7,0))</f>
        <v>0</v>
      </c>
      <c r="HE101" s="16">
        <f>IF(ISNA(VLOOKUP(A101,'Données projet'!$A$269:$I$289,6,0)),0%,VLOOKUP(A101,'Données projet'!$A$269:$I$289,6,0)*VLOOKUP('Données projet'!$B$18,Paramètres!$A$1:$I$88,7,0))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projet'!$B$18,Paramètres!$A$1:$I$88,3,0)*0.475*44/12</f>
        <v>#N/A</v>
      </c>
      <c r="HH101" s="21" t="e">
        <f>EXP(-LN(2)/25)*HH100+(1-EXP(-LN(2)/25))/(LN(2)/25)*Calculateur!HC101*Calculateur!HE101*VLOOKUP('Données projet'!$B$18,Paramètres!$A$1:$I$88,3,0)*0.475*44/12</f>
        <v>#N/A</v>
      </c>
      <c r="HI101" s="21" t="e">
        <f>EXP(-LN(2)/2)*HI100+(1-EXP(-LN(2)/2))/(LN(2)/2)*HC101*HF101*VLOOKUP('Données projet'!$B$18,Paramètres!$A$1:$I$88,3,0)*0.475*44/12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projet'!$B$9,Paramètres!$A$1:$I$88,3,0)*VLOOKUP('Données projet'!$B$9,Paramètres!$A$1:$I$88,5,0)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195.73441209602686</v>
      </c>
      <c r="T102" s="59">
        <f t="shared" si="88"/>
        <v>219.19129224309006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projet'!$B$9,Paramètres!$A$1:$I$88,7,0))</f>
        <v>0</v>
      </c>
      <c r="X102" s="16">
        <f>IF(ISNA(VLOOKUP(A102,'Données projet'!$A$35:$I$55,6,0)),0%,VLOOKUP(A102,'Données projet'!$A$35:$I$55,6,0)*VLOOKUP('Données projet'!$B$9,Paramètres!$A$1:$I$88,7,0))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projet'!$B$9,Paramètres!$A$1:$I$88,3,0)*0.475*44/12</f>
        <v>3.889351479810379</v>
      </c>
      <c r="AA102" s="21">
        <f>EXP(-LN(2)/25)*AA101+(1-EXP(-LN(2)/25))/(LN(2)/25)*Calculateur!V102*Calculateur!X102*VLOOKUP('Données projet'!$B$9,Paramètres!$A$1:$I$88,3,0)*0.475*44/12</f>
        <v>2.090009935003192</v>
      </c>
      <c r="AB102" s="21">
        <f>EXP(-LN(2)/2)*AB101+(1-EXP(-LN(2)/2))/(LN(2)/2)*V102*Y102*VLOOKUP('Données projet'!$B$9,Paramètres!$A$1:$I$88,3,0)*0.475*44/12</f>
        <v>1.6328758522537825E-12</v>
      </c>
      <c r="AC102" s="22">
        <f t="shared" si="57"/>
        <v>5.9793614148152034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-4.5474735088646412E-13</v>
      </c>
      <c r="AJ102" s="13">
        <f>AI102*VLOOKUP('Données projet'!$B$10,Paramètres!$A$1:$I$88,3,0)*VLOOKUP('Données projet'!$B$10,Paramètres!$A$1:$I$88,5,0)</f>
        <v>-2.7193891583010558E-13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246.59447135626942</v>
      </c>
      <c r="AO102" s="59">
        <f t="shared" si="90"/>
        <v>262.00382544285367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projet'!$B$10,Paramètres!$A$1:$I$88,7,0))</f>
        <v>0</v>
      </c>
      <c r="AS102" s="16">
        <f>IF(ISNA(VLOOKUP(A102,'Données projet'!$A$61:$I$81,6,0)),0%,VLOOKUP(A102,'Données projet'!$A$61:$I$81,6,0)*VLOOKUP('Données projet'!$B$10,Paramètres!$A$1:$I$88,7,0))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projet'!$B$10,Paramètres!$A$1:$I$88,3,0)*0.475*44/12</f>
        <v>0</v>
      </c>
      <c r="AV102" s="21">
        <f>EXP(-LN(2)/25)*AV101+(1-EXP(-LN(2)/25))/(LN(2)/25)*Calculateur!AQ102*Calculateur!AS102*VLOOKUP('Données projet'!$B$10,Paramètres!$A$1:$I$88,3,0)*0.475*44/12</f>
        <v>1.8968607449386357</v>
      </c>
      <c r="AW102" s="21">
        <f>EXP(-LN(2)/2)*AW101+(1-EXP(-LN(2)/2))/(LN(2)/2)*AQ102*AT102*VLOOKUP('Données projet'!$B$10,Paramètres!$A$1:$I$88,3,0)*0.475*44/12</f>
        <v>9.7667747642806219E-10</v>
      </c>
      <c r="AX102" s="21">
        <f t="shared" si="60"/>
        <v>1.8968607459153131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-5.6843418860808015E-13</v>
      </c>
      <c r="BE102" s="13">
        <f>BD102*VLOOKUP('Données projet'!$B$11,Paramètres!$A$1:$I$88,3,0)*VLOOKUP('Données projet'!$B$11,Paramètres!$A$1:$I$88,5,0)</f>
        <v>-3.177547114319168E-13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355.96253323046608</v>
      </c>
      <c r="BJ102" s="59">
        <f t="shared" si="92"/>
        <v>366.8380442809696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projet'!$B$11,Paramètres!$A$1:$I$88,7,0))</f>
        <v>0</v>
      </c>
      <c r="BN102" s="16">
        <f>IF(ISNA(VLOOKUP(A102,'Données projet'!$A$87:$I$107,6,0)),0%,VLOOKUP(A102,'Données projet'!$A$87:$I$107,6,0)*VLOOKUP('Données projet'!$B$11,Paramètres!$A$1:$I$88,7,0))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projet'!$B$11,Paramètres!$A$1:$I$88,3,0)*0.475*44/12</f>
        <v>0</v>
      </c>
      <c r="BQ102" s="21">
        <f>EXP(-LN(2)/25)*BQ101+(1-EXP(-LN(2)/25))/(LN(2)/25)*Calculateur!BL102*Calculateur!BN102*VLOOKUP('Données projet'!$B$11,Paramètres!$A$1:$I$88,3,0)*0.475*44/12</f>
        <v>3.3584178896487691</v>
      </c>
      <c r="BR102" s="21">
        <f>EXP(-LN(2)/2)*BR101+(1-EXP(-LN(2)/2))/(LN(2)/2)*BL102*BO102*VLOOKUP('Données projet'!$B$11,Paramètres!$A$1:$I$88,3,0)*0.475*44/12</f>
        <v>1.5101025200582371E-9</v>
      </c>
      <c r="BS102" s="22">
        <f t="shared" si="63"/>
        <v>3.3584178911588718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5.6843418860808015E-14</v>
      </c>
      <c r="BZ102" s="13">
        <f>BY102*VLOOKUP('Données projet'!$B$12,Paramètres!$A$1:$I$88,3,0)*VLOOKUP('Données projet'!$B$12,Paramètres!$A$1:$I$88,5,0)</f>
        <v>3.7243808037601412E-14</v>
      </c>
      <c r="CA102" s="13">
        <f t="shared" si="93"/>
        <v>6.2767589361185393E-13</v>
      </c>
      <c r="CB102" s="20">
        <f t="shared" si="64"/>
        <v>1.1580684803728015E-12</v>
      </c>
      <c r="CC102" s="59">
        <f t="shared" si="65"/>
        <v>293.33333333333445</v>
      </c>
      <c r="CD102" s="59">
        <f ca="1">AVERAGE(OFFSET($CC$3,0,0,'Données projet'!$E$12+1,1))-AVERAGE(OFFSET($H$3,0,0,'Données projet'!$E$12+1,1))</f>
        <v>180.90147430936133</v>
      </c>
      <c r="CE102" s="59">
        <f t="shared" si="94"/>
        <v>226.87949199830018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projet'!$B$12,Paramètres!$A$1:$I$88,7,0))</f>
        <v>0</v>
      </c>
      <c r="CI102" s="16">
        <f>IF(ISNA(VLOOKUP(A102,'Données projet'!$A$113:$I$133,6,0)),0%,VLOOKUP(A102,'Données projet'!$A$113:$I$133,6,0)*VLOOKUP('Données projet'!$B$12,Paramètres!$A$1:$I$88,7,0))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projet'!$B$12,Paramètres!$A$1:$I$88,3,0)*0.475*44/12</f>
        <v>0</v>
      </c>
      <c r="CL102" s="21">
        <f>EXP(-LN(2)/25)*CL101+(1-EXP(-LN(2)/25))/(LN(2)/25)*Calculateur!CG102*Calculateur!CI102*VLOOKUP('Données projet'!$B$12,Paramètres!$A$1:$I$88,3,0)*0.475*44/12</f>
        <v>1.014256394050056</v>
      </c>
      <c r="CM102" s="21">
        <f>EXP(-LN(2)/2)*CM101+(1-EXP(-LN(2)/2))/(LN(2)/2)*CG102*CJ102*VLOOKUP('Données projet'!$B$12,Paramètres!$A$1:$I$88,3,0)*0.475*44/12</f>
        <v>3.6477026647304061E-10</v>
      </c>
      <c r="CN102" s="22">
        <f t="shared" si="66"/>
        <v>1.0142563944148262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5.6843418860808015E-14</v>
      </c>
      <c r="CU102" s="17">
        <f>CT102*VLOOKUP('Données projet'!$B$13,Paramètres!$A$1:$I$88,3,0)*VLOOKUP('Données projet'!$B$13,Paramètres!$A$1:$I$88,5,0)</f>
        <v>2.8908289095852525E-14</v>
      </c>
      <c r="CV102" s="13">
        <f t="shared" si="95"/>
        <v>5.0177780569126974E-13</v>
      </c>
      <c r="CW102" s="20">
        <f t="shared" si="67"/>
        <v>9.2427828175423786E-13</v>
      </c>
      <c r="CX102" s="59">
        <f t="shared" si="68"/>
        <v>293.33333333333422</v>
      </c>
      <c r="CY102" s="59">
        <f ca="1">AVERAGE(OFFSET($CX$3,0,0,'Données projet'!$E$13+1,1))-AVERAGE(OFFSET($H$3,0,0,'Données projet'!$E$13+1,1))</f>
        <v>133.08385802816008</v>
      </c>
      <c r="CZ102" s="59">
        <f t="shared" si="96"/>
        <v>316.59112511251385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projet'!$B$13,Paramètres!$A$1:$I$88,7,0))</f>
        <v>0</v>
      </c>
      <c r="DD102" s="16">
        <f>IF(ISNA(VLOOKUP(A102,'Données projet'!$A$139:$I$159,6,0)),0%,VLOOKUP(A102,'Données projet'!$A$139:$I$159,6,0)*VLOOKUP('Données projet'!$B$13,Paramètres!$A$1:$I$88,7,0))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projet'!$B$13,Paramètres!$A$1:$I$88,3,0)*0.475*44/12</f>
        <v>18.412568306350831</v>
      </c>
      <c r="DG102" s="21">
        <f>EXP(-LN(2)/25)*DG101+(1-EXP(-LN(2)/25))/(LN(2)/25)*Calculateur!DB102*Calculateur!DD102*VLOOKUP('Données projet'!$B$13,Paramètres!$A$1:$I$88,3,0)*0.475*44/12</f>
        <v>0</v>
      </c>
      <c r="DH102" s="21">
        <f>EXP(-LN(2)/2)*DH101+(1-EXP(-LN(2)/2))/(LN(2)/2)*DB102*DE102*VLOOKUP('Données projet'!$B$13,Paramètres!$A$1:$I$88,3,0)*0.475*44/12</f>
        <v>2.3272978126718942E-10</v>
      </c>
      <c r="DI102" s="22">
        <f t="shared" si="69"/>
        <v>18.412568306583562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projet'!$B$14,Paramètres!$A$1:$I$88,3,0)*VLOOKUP('Données projet'!$B$14,Paramètres!$A$1:$I$88,5,0)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projet'!$B$14,Paramètres!$A$1:$I$88,7,0))</f>
        <v>0</v>
      </c>
      <c r="DY102" s="16">
        <f>IF(ISNA(VLOOKUP(A102,'Données projet'!$A$165:$I$185,6,0)),0%,VLOOKUP(A102,'Données projet'!$A$165:$I$185,6,0)*VLOOKUP('Données projet'!$B$14,Paramètres!$A$1:$I$88,7,0))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projet'!$B$14,Paramètres!$A$1:$I$88,3,0)*0.475*44/12</f>
        <v>#N/A</v>
      </c>
      <c r="EB102" s="21" t="e">
        <f>EXP(-LN(2)/25)*EB101+(1-EXP(-LN(2)/25))/(LN(2)/25)*Calculateur!DW102*Calculateur!DY102*VLOOKUP('Données projet'!$B$14,Paramètres!$A$1:$I$88,3,0)*0.475*44/12</f>
        <v>#N/A</v>
      </c>
      <c r="EC102" s="21" t="e">
        <f>EXP(-LN(2)/2)*EC101+(1-EXP(-LN(2)/2))/(LN(2)/2)*DW102*DZ102*VLOOKUP('Données projet'!$B$14,Paramètres!$A$1:$I$88,3,0)*0.475*44/12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projet'!$B$15,Paramètres!$A$1:$I$88,3,0)*VLOOKUP('Données projet'!$B$15,Paramètres!$A$1:$I$88,5,0)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projet'!$B$15,Paramètres!$A$1:$I$88,7,0))</f>
        <v>0</v>
      </c>
      <c r="ET102" s="16">
        <f>IF(ISNA(VLOOKUP(A102,'Données projet'!$A$191:$I$211,6,0)),0%,VLOOKUP(A102,'Données projet'!$A$191:$I$211,6,0)*VLOOKUP('Données projet'!$B$15,Paramètres!$A$1:$I$88,7,0))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projet'!$B$15,Paramètres!$A$1:$I$88,3,0)*0.475*44/12</f>
        <v>#N/A</v>
      </c>
      <c r="EW102" s="21" t="e">
        <f>EXP(-LN(2)/25)*EW101+(1-EXP(-LN(2)/25))/(LN(2)/25)*Calculateur!ER102*Calculateur!ET102*VLOOKUP('Données projet'!$B$15,Paramètres!$A$1:$I$88,3,0)*0.475*44/12</f>
        <v>#N/A</v>
      </c>
      <c r="EX102" s="21" t="e">
        <f>EXP(-LN(2)/2)*EX101+(1-EXP(-LN(2)/2))/(LN(2)/2)*ER102*EU102*VLOOKUP('Données projet'!$B$15,Paramètres!$A$1:$I$88,3,0)*0.475*44/12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projet'!$B$16,Paramètres!$A$1:$I$88,3,0)*VLOOKUP('Données projet'!$B$16,Paramètres!$A$1:$I$88,5,0)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projet'!$B$16,Paramètres!$A$1:$I$88,7,0))</f>
        <v>0</v>
      </c>
      <c r="FO102" s="16">
        <f>IF(ISNA(VLOOKUP(A102,'Données projet'!$A$217:$I$237,6,0)),0%,VLOOKUP(A102,'Données projet'!$A$217:$I$237,6,0)*VLOOKUP('Données projet'!$B$16,Paramètres!$A$1:$I$88,7,0))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projet'!$B$16,Paramètres!$A$1:$I$88,3,0)*0.475*44/12</f>
        <v>#N/A</v>
      </c>
      <c r="FR102" s="21" t="e">
        <f>EXP(-LN(2)/25)*FR101+(1-EXP(-LN(2)/25))/(LN(2)/25)*Calculateur!FM102*Calculateur!FO102*VLOOKUP('Données projet'!$B$16,Paramètres!$A$1:$I$88,3,0)*0.475*44/12</f>
        <v>#N/A</v>
      </c>
      <c r="FS102" s="21" t="e">
        <f>EXP(-LN(2)/2)*FS101+(1-EXP(-LN(2)/2))/(LN(2)/2)*FM102*FP102*VLOOKUP('Données projet'!$B$16,Paramètres!$A$1:$I$88,3,0)*0.475*44/12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projet'!$B$17,Paramètres!$A$1:$I$88,3,0)*VLOOKUP('Données projet'!$B$17,Paramètres!$A$1:$I$88,5,0)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projet'!$B$17,Paramètres!$A$1:$I$88,7,0))</f>
        <v>0</v>
      </c>
      <c r="GJ102" s="16">
        <f>IF(ISNA(VLOOKUP(A102,'Données projet'!$A$243:$I$263,6,0)),0%,VLOOKUP(A102,'Données projet'!$A$243:$I$263,6,0)*VLOOKUP('Données projet'!$B$17,Paramètres!$A$1:$I$88,7,0))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projet'!$B$17,Paramètres!$A$1:$I$88,3,0)*0.475*44/12</f>
        <v>#N/A</v>
      </c>
      <c r="GM102" s="21" t="e">
        <f>EXP(-LN(2)/25)*GM101+(1-EXP(-LN(2)/25))/(LN(2)/25)*Calculateur!GH102*Calculateur!GJ102*VLOOKUP('Données projet'!$B$17,Paramètres!$A$1:$I$88,3,0)*0.475*44/12</f>
        <v>#N/A</v>
      </c>
      <c r="GN102" s="21" t="e">
        <f>EXP(-LN(2)/2)*GN101+(1-EXP(-LN(2)/2))/(LN(2)/2)*GH102*GK102*VLOOKUP('Données projet'!$B$17,Paramètres!$A$1:$I$88,3,0)*0.475*44/12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projet'!$B$18,Paramètres!$A$1:$I$88,3,0)*VLOOKUP('Données projet'!$B$18,Paramètres!$A$1:$I$88,5,0)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projet'!$B$18,Paramètres!$A$1:$I$88,7,0))</f>
        <v>0</v>
      </c>
      <c r="HE102" s="16">
        <f>IF(ISNA(VLOOKUP(A102,'Données projet'!$A$269:$I$289,6,0)),0%,VLOOKUP(A102,'Données projet'!$A$269:$I$289,6,0)*VLOOKUP('Données projet'!$B$18,Paramètres!$A$1:$I$88,7,0))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projet'!$B$18,Paramètres!$A$1:$I$88,3,0)*0.475*44/12</f>
        <v>#N/A</v>
      </c>
      <c r="HH102" s="21" t="e">
        <f>EXP(-LN(2)/25)*HH101+(1-EXP(-LN(2)/25))/(LN(2)/25)*Calculateur!HC102*Calculateur!HE102*VLOOKUP('Données projet'!$B$18,Paramètres!$A$1:$I$88,3,0)*0.475*44/12</f>
        <v>#N/A</v>
      </c>
      <c r="HI102" s="21" t="e">
        <f>EXP(-LN(2)/2)*HI101+(1-EXP(-LN(2)/2))/(LN(2)/2)*HC102*HF102*VLOOKUP('Données projet'!$B$18,Paramètres!$A$1:$I$88,3,0)*0.475*44/12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projet'!$B$9,Paramètres!$A$1:$I$88,3,0)*VLOOKUP('Données projet'!$B$9,Paramètres!$A$1:$I$88,5,0)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195.73441209602686</v>
      </c>
      <c r="T103" s="59">
        <f t="shared" si="88"/>
        <v>219.19129224309006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projet'!$B$9,Paramètres!$A$1:$I$88,7,0))</f>
        <v>0</v>
      </c>
      <c r="X103" s="16">
        <f>IF(ISNA(VLOOKUP(A103,'Données projet'!$A$35:$I$55,6,0)),0%,VLOOKUP(A103,'Données projet'!$A$35:$I$55,6,0)*VLOOKUP('Données projet'!$B$9,Paramètres!$A$1:$I$88,7,0))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projet'!$B$9,Paramètres!$A$1:$I$88,3,0)*0.475*44/12</f>
        <v>3.8130836695614581</v>
      </c>
      <c r="AA103" s="21">
        <f>EXP(-LN(2)/25)*AA102+(1-EXP(-LN(2)/25))/(LN(2)/25)*Calculateur!V103*Calculateur!X103*VLOOKUP('Données projet'!$B$9,Paramètres!$A$1:$I$88,3,0)*0.475*44/12</f>
        <v>2.0328585034216839</v>
      </c>
      <c r="AB103" s="21">
        <f>EXP(-LN(2)/2)*AB102+(1-EXP(-LN(2)/2))/(LN(2)/2)*V103*Y103*VLOOKUP('Données projet'!$B$9,Paramètres!$A$1:$I$88,3,0)*0.475*44/12</f>
        <v>1.1546175879644126E-12</v>
      </c>
      <c r="AC103" s="22">
        <f t="shared" si="57"/>
        <v>5.8459421729842962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-4.5474735088646412E-13</v>
      </c>
      <c r="AJ103" s="13">
        <f>AI103*VLOOKUP('Données projet'!$B$10,Paramètres!$A$1:$I$88,3,0)*VLOOKUP('Données projet'!$B$10,Paramètres!$A$1:$I$88,5,0)</f>
        <v>-2.7193891583010558E-13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246.59447135626942</v>
      </c>
      <c r="AO103" s="59">
        <f t="shared" si="90"/>
        <v>262.00382544285367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projet'!$B$10,Paramètres!$A$1:$I$88,7,0))</f>
        <v>0</v>
      </c>
      <c r="AS103" s="16">
        <f>IF(ISNA(VLOOKUP(A103,'Données projet'!$A$61:$I$81,6,0)),0%,VLOOKUP(A103,'Données projet'!$A$61:$I$81,6,0)*VLOOKUP('Données projet'!$B$10,Paramètres!$A$1:$I$88,7,0))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projet'!$B$10,Paramètres!$A$1:$I$88,3,0)*0.475*44/12</f>
        <v>0</v>
      </c>
      <c r="AV103" s="21">
        <f>EXP(-LN(2)/25)*AV102+(1-EXP(-LN(2)/25))/(LN(2)/25)*Calculateur!AQ103*Calculateur!AS103*VLOOKUP('Données projet'!$B$10,Paramètres!$A$1:$I$88,3,0)*0.475*44/12</f>
        <v>1.8449909881167175</v>
      </c>
      <c r="AW103" s="21">
        <f>EXP(-LN(2)/2)*AW102+(1-EXP(-LN(2)/2))/(LN(2)/2)*AQ103*AT103*VLOOKUP('Données projet'!$B$10,Paramètres!$A$1:$I$88,3,0)*0.475*44/12</f>
        <v>6.9061526661444722E-10</v>
      </c>
      <c r="AX103" s="21">
        <f t="shared" si="60"/>
        <v>1.8449909888073328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-5.6843418860808015E-13</v>
      </c>
      <c r="BE103" s="13">
        <f>BD103*VLOOKUP('Données projet'!$B$11,Paramètres!$A$1:$I$88,3,0)*VLOOKUP('Données projet'!$B$11,Paramètres!$A$1:$I$88,5,0)</f>
        <v>-3.177547114319168E-13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355.96253323046608</v>
      </c>
      <c r="BJ103" s="59">
        <f t="shared" si="92"/>
        <v>366.8380442809696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projet'!$B$11,Paramètres!$A$1:$I$88,7,0))</f>
        <v>0</v>
      </c>
      <c r="BN103" s="16">
        <f>IF(ISNA(VLOOKUP(A103,'Données projet'!$A$87:$I$107,6,0)),0%,VLOOKUP(A103,'Données projet'!$A$87:$I$107,6,0)*VLOOKUP('Données projet'!$B$11,Paramètres!$A$1:$I$88,7,0))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projet'!$B$11,Paramètres!$A$1:$I$88,3,0)*0.475*44/12</f>
        <v>0</v>
      </c>
      <c r="BQ103" s="21">
        <f>EXP(-LN(2)/25)*BQ102+(1-EXP(-LN(2)/25))/(LN(2)/25)*Calculateur!BL103*Calculateur!BN103*VLOOKUP('Données projet'!$B$11,Paramètres!$A$1:$I$88,3,0)*0.475*44/12</f>
        <v>3.2665817758448026</v>
      </c>
      <c r="BR103" s="21">
        <f>EXP(-LN(2)/2)*BR102+(1-EXP(-LN(2)/2))/(LN(2)/2)*BL103*BO103*VLOOKUP('Données projet'!$B$11,Paramètres!$A$1:$I$88,3,0)*0.475*44/12</f>
        <v>1.0678037322200738E-9</v>
      </c>
      <c r="BS103" s="22">
        <f t="shared" si="63"/>
        <v>3.2665817769126062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5.6843418860808015E-14</v>
      </c>
      <c r="BZ103" s="13">
        <f>BY103*VLOOKUP('Données projet'!$B$12,Paramètres!$A$1:$I$88,3,0)*VLOOKUP('Données projet'!$B$12,Paramètres!$A$1:$I$88,5,0)</f>
        <v>3.7243808037601412E-14</v>
      </c>
      <c r="CA103" s="13">
        <f t="shared" si="93"/>
        <v>6.2767589361185393E-13</v>
      </c>
      <c r="CB103" s="20">
        <f t="shared" si="64"/>
        <v>1.1580684803728015E-12</v>
      </c>
      <c r="CC103" s="59">
        <f t="shared" si="65"/>
        <v>293.33333333333445</v>
      </c>
      <c r="CD103" s="59">
        <f ca="1">AVERAGE(OFFSET($CC$3,0,0,'Données projet'!$E$12+1,1))-AVERAGE(OFFSET($H$3,0,0,'Données projet'!$E$12+1,1))</f>
        <v>180.90147430936133</v>
      </c>
      <c r="CE103" s="59">
        <f t="shared" si="94"/>
        <v>226.87949199830018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projet'!$B$12,Paramètres!$A$1:$I$88,7,0))</f>
        <v>0</v>
      </c>
      <c r="CI103" s="16">
        <f>IF(ISNA(VLOOKUP(A103,'Données projet'!$A$113:$I$133,6,0)),0%,VLOOKUP(A103,'Données projet'!$A$113:$I$133,6,0)*VLOOKUP('Données projet'!$B$12,Paramètres!$A$1:$I$88,7,0))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projet'!$B$12,Paramètres!$A$1:$I$88,3,0)*0.475*44/12</f>
        <v>0</v>
      </c>
      <c r="CL103" s="21">
        <f>EXP(-LN(2)/25)*CL102+(1-EXP(-LN(2)/25))/(LN(2)/25)*Calculateur!CG103*Calculateur!CI103*VLOOKUP('Données projet'!$B$12,Paramètres!$A$1:$I$88,3,0)*0.475*44/12</f>
        <v>0.98652149961733149</v>
      </c>
      <c r="CM103" s="21">
        <f>EXP(-LN(2)/2)*CM102+(1-EXP(-LN(2)/2))/(LN(2)/2)*CG103*CJ103*VLOOKUP('Données projet'!$B$12,Paramètres!$A$1:$I$88,3,0)*0.475*44/12</f>
        <v>2.5793152899831095E-10</v>
      </c>
      <c r="CN103" s="22">
        <f t="shared" si="66"/>
        <v>0.98652149987526305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5.6843418860808015E-14</v>
      </c>
      <c r="CU103" s="17">
        <f>CT103*VLOOKUP('Données projet'!$B$13,Paramètres!$A$1:$I$88,3,0)*VLOOKUP('Données projet'!$B$13,Paramètres!$A$1:$I$88,5,0)</f>
        <v>2.8908289095852525E-14</v>
      </c>
      <c r="CV103" s="13">
        <f t="shared" si="95"/>
        <v>5.0177780569126974E-13</v>
      </c>
      <c r="CW103" s="20">
        <f t="shared" si="67"/>
        <v>9.2427828175423786E-13</v>
      </c>
      <c r="CX103" s="59">
        <f t="shared" si="68"/>
        <v>293.33333333333422</v>
      </c>
      <c r="CY103" s="59">
        <f ca="1">AVERAGE(OFFSET($CX$3,0,0,'Données projet'!$E$13+1,1))-AVERAGE(OFFSET($H$3,0,0,'Données projet'!$E$13+1,1))</f>
        <v>133.08385802816008</v>
      </c>
      <c r="CZ103" s="59">
        <f t="shared" si="96"/>
        <v>316.59112511251385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projet'!$B$13,Paramètres!$A$1:$I$88,7,0))</f>
        <v>0</v>
      </c>
      <c r="DD103" s="16">
        <f>IF(ISNA(VLOOKUP(A103,'Données projet'!$A$139:$I$159,6,0)),0%,VLOOKUP(A103,'Données projet'!$A$139:$I$159,6,0)*VLOOKUP('Données projet'!$B$13,Paramètres!$A$1:$I$88,7,0))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projet'!$B$13,Paramètres!$A$1:$I$88,3,0)*0.475*44/12</f>
        <v>18.051509072421034</v>
      </c>
      <c r="DG103" s="21">
        <f>EXP(-LN(2)/25)*DG102+(1-EXP(-LN(2)/25))/(LN(2)/25)*Calculateur!DB103*Calculateur!DD103*VLOOKUP('Données projet'!$B$13,Paramètres!$A$1:$I$88,3,0)*0.475*44/12</f>
        <v>0</v>
      </c>
      <c r="DH103" s="21">
        <f>EXP(-LN(2)/2)*DH102+(1-EXP(-LN(2)/2))/(LN(2)/2)*DB103*DE103*VLOOKUP('Données projet'!$B$13,Paramètres!$A$1:$I$88,3,0)*0.475*44/12</f>
        <v>1.6456480651809159E-10</v>
      </c>
      <c r="DI103" s="22">
        <f t="shared" si="69"/>
        <v>18.051509072585599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projet'!$B$14,Paramètres!$A$1:$I$88,3,0)*VLOOKUP('Données projet'!$B$14,Paramètres!$A$1:$I$88,5,0)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projet'!$B$14,Paramètres!$A$1:$I$88,7,0))</f>
        <v>0</v>
      </c>
      <c r="DY103" s="16">
        <f>IF(ISNA(VLOOKUP(A103,'Données projet'!$A$165:$I$185,6,0)),0%,VLOOKUP(A103,'Données projet'!$A$165:$I$185,6,0)*VLOOKUP('Données projet'!$B$14,Paramètres!$A$1:$I$88,7,0))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projet'!$B$14,Paramètres!$A$1:$I$88,3,0)*0.475*44/12</f>
        <v>#N/A</v>
      </c>
      <c r="EB103" s="21" t="e">
        <f>EXP(-LN(2)/25)*EB102+(1-EXP(-LN(2)/25))/(LN(2)/25)*Calculateur!DW103*Calculateur!DY103*VLOOKUP('Données projet'!$B$14,Paramètres!$A$1:$I$88,3,0)*0.475*44/12</f>
        <v>#N/A</v>
      </c>
      <c r="EC103" s="21" t="e">
        <f>EXP(-LN(2)/2)*EC102+(1-EXP(-LN(2)/2))/(LN(2)/2)*DW103*DZ103*VLOOKUP('Données projet'!$B$14,Paramètres!$A$1:$I$88,3,0)*0.475*44/12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projet'!$B$15,Paramètres!$A$1:$I$88,3,0)*VLOOKUP('Données projet'!$B$15,Paramètres!$A$1:$I$88,5,0)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projet'!$B$15,Paramètres!$A$1:$I$88,7,0))</f>
        <v>0</v>
      </c>
      <c r="ET103" s="16">
        <f>IF(ISNA(VLOOKUP(A103,'Données projet'!$A$191:$I$211,6,0)),0%,VLOOKUP(A103,'Données projet'!$A$191:$I$211,6,0)*VLOOKUP('Données projet'!$B$15,Paramètres!$A$1:$I$88,7,0))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projet'!$B$15,Paramètres!$A$1:$I$88,3,0)*0.475*44/12</f>
        <v>#N/A</v>
      </c>
      <c r="EW103" s="21" t="e">
        <f>EXP(-LN(2)/25)*EW102+(1-EXP(-LN(2)/25))/(LN(2)/25)*Calculateur!ER103*Calculateur!ET103*VLOOKUP('Données projet'!$B$15,Paramètres!$A$1:$I$88,3,0)*0.475*44/12</f>
        <v>#N/A</v>
      </c>
      <c r="EX103" s="21" t="e">
        <f>EXP(-LN(2)/2)*EX102+(1-EXP(-LN(2)/2))/(LN(2)/2)*ER103*EU103*VLOOKUP('Données projet'!$B$15,Paramètres!$A$1:$I$88,3,0)*0.475*44/12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projet'!$B$16,Paramètres!$A$1:$I$88,3,0)*VLOOKUP('Données projet'!$B$16,Paramètres!$A$1:$I$88,5,0)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projet'!$B$16,Paramètres!$A$1:$I$88,7,0))</f>
        <v>0</v>
      </c>
      <c r="FO103" s="16">
        <f>IF(ISNA(VLOOKUP(A103,'Données projet'!$A$217:$I$237,6,0)),0%,VLOOKUP(A103,'Données projet'!$A$217:$I$237,6,0)*VLOOKUP('Données projet'!$B$16,Paramètres!$A$1:$I$88,7,0))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projet'!$B$16,Paramètres!$A$1:$I$88,3,0)*0.475*44/12</f>
        <v>#N/A</v>
      </c>
      <c r="FR103" s="21" t="e">
        <f>EXP(-LN(2)/25)*FR102+(1-EXP(-LN(2)/25))/(LN(2)/25)*Calculateur!FM103*Calculateur!FO103*VLOOKUP('Données projet'!$B$16,Paramètres!$A$1:$I$88,3,0)*0.475*44/12</f>
        <v>#N/A</v>
      </c>
      <c r="FS103" s="21" t="e">
        <f>EXP(-LN(2)/2)*FS102+(1-EXP(-LN(2)/2))/(LN(2)/2)*FM103*FP103*VLOOKUP('Données projet'!$B$16,Paramètres!$A$1:$I$88,3,0)*0.475*44/12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projet'!$B$17,Paramètres!$A$1:$I$88,3,0)*VLOOKUP('Données projet'!$B$17,Paramètres!$A$1:$I$88,5,0)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projet'!$B$17,Paramètres!$A$1:$I$88,7,0))</f>
        <v>0</v>
      </c>
      <c r="GJ103" s="16">
        <f>IF(ISNA(VLOOKUP(A103,'Données projet'!$A$243:$I$263,6,0)),0%,VLOOKUP(A103,'Données projet'!$A$243:$I$263,6,0)*VLOOKUP('Données projet'!$B$17,Paramètres!$A$1:$I$88,7,0))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projet'!$B$17,Paramètres!$A$1:$I$88,3,0)*0.475*44/12</f>
        <v>#N/A</v>
      </c>
      <c r="GM103" s="21" t="e">
        <f>EXP(-LN(2)/25)*GM102+(1-EXP(-LN(2)/25))/(LN(2)/25)*Calculateur!GH103*Calculateur!GJ103*VLOOKUP('Données projet'!$B$17,Paramètres!$A$1:$I$88,3,0)*0.475*44/12</f>
        <v>#N/A</v>
      </c>
      <c r="GN103" s="21" t="e">
        <f>EXP(-LN(2)/2)*GN102+(1-EXP(-LN(2)/2))/(LN(2)/2)*GH103*GK103*VLOOKUP('Données projet'!$B$17,Paramètres!$A$1:$I$88,3,0)*0.475*44/12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projet'!$B$18,Paramètres!$A$1:$I$88,3,0)*VLOOKUP('Données projet'!$B$18,Paramètres!$A$1:$I$88,5,0)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projet'!$B$18,Paramètres!$A$1:$I$88,7,0))</f>
        <v>0</v>
      </c>
      <c r="HE103" s="16">
        <f>IF(ISNA(VLOOKUP(A103,'Données projet'!$A$269:$I$289,6,0)),0%,VLOOKUP(A103,'Données projet'!$A$269:$I$289,6,0)*VLOOKUP('Données projet'!$B$18,Paramètres!$A$1:$I$88,7,0))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projet'!$B$18,Paramètres!$A$1:$I$88,3,0)*0.475*44/12</f>
        <v>#N/A</v>
      </c>
      <c r="HH103" s="21" t="e">
        <f>EXP(-LN(2)/25)*HH102+(1-EXP(-LN(2)/25))/(LN(2)/25)*Calculateur!HC103*Calculateur!HE103*VLOOKUP('Données projet'!$B$18,Paramètres!$A$1:$I$88,3,0)*0.475*44/12</f>
        <v>#N/A</v>
      </c>
      <c r="HI103" s="21" t="e">
        <f>EXP(-LN(2)/2)*HI102+(1-EXP(-LN(2)/2))/(LN(2)/2)*HC103*HF103*VLOOKUP('Données projet'!$B$18,Paramètres!$A$1:$I$88,3,0)*0.475*44/12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projet'!$B$9,Paramètres!$A$1:$I$88,3,0)*VLOOKUP('Données projet'!$B$9,Paramètres!$A$1:$I$88,5,0)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195.73441209602686</v>
      </c>
      <c r="T104" s="59">
        <f t="shared" si="88"/>
        <v>219.19129224309006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projet'!$B$9,Paramètres!$A$1:$I$88,7,0))</f>
        <v>0</v>
      </c>
      <c r="X104" s="16">
        <f>IF(ISNA(VLOOKUP(A104,'Données projet'!$A$35:$I$55,6,0)),0%,VLOOKUP(A104,'Données projet'!$A$35:$I$55,6,0)*VLOOKUP('Données projet'!$B$9,Paramètres!$A$1:$I$88,7,0))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projet'!$B$9,Paramètres!$A$1:$I$88,3,0)*0.475*44/12</f>
        <v>3.7383114245527476</v>
      </c>
      <c r="AA104" s="21">
        <f>EXP(-LN(2)/25)*AA103+(1-EXP(-LN(2)/25))/(LN(2)/25)*Calculateur!V104*Calculateur!X104*VLOOKUP('Données projet'!$B$9,Paramètres!$A$1:$I$88,3,0)*0.475*44/12</f>
        <v>1.9772698807422355</v>
      </c>
      <c r="AB104" s="21">
        <f>EXP(-LN(2)/2)*AB103+(1-EXP(-LN(2)/2))/(LN(2)/2)*V104*Y104*VLOOKUP('Données projet'!$B$9,Paramètres!$A$1:$I$88,3,0)*0.475*44/12</f>
        <v>8.1643792612689123E-13</v>
      </c>
      <c r="AC104" s="22">
        <f t="shared" si="57"/>
        <v>5.7155813052957996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-4.5474735088646412E-13</v>
      </c>
      <c r="AJ104" s="13">
        <f>AI104*VLOOKUP('Données projet'!$B$10,Paramètres!$A$1:$I$88,3,0)*VLOOKUP('Données projet'!$B$10,Paramètres!$A$1:$I$88,5,0)</f>
        <v>-2.7193891583010558E-13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246.59447135626942</v>
      </c>
      <c r="AO104" s="59">
        <f t="shared" si="90"/>
        <v>262.00382544285367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projet'!$B$10,Paramètres!$A$1:$I$88,7,0))</f>
        <v>0</v>
      </c>
      <c r="AS104" s="16">
        <f>IF(ISNA(VLOOKUP(A104,'Données projet'!$A$61:$I$81,6,0)),0%,VLOOKUP(A104,'Données projet'!$A$61:$I$81,6,0)*VLOOKUP('Données projet'!$B$10,Paramètres!$A$1:$I$88,7,0))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projet'!$B$10,Paramètres!$A$1:$I$88,3,0)*0.475*44/12</f>
        <v>0</v>
      </c>
      <c r="AV104" s="21">
        <f>EXP(-LN(2)/25)*AV103+(1-EXP(-LN(2)/25))/(LN(2)/25)*Calculateur!AQ104*Calculateur!AS104*VLOOKUP('Données projet'!$B$10,Paramètres!$A$1:$I$88,3,0)*0.475*44/12</f>
        <v>1.7945396125228066</v>
      </c>
      <c r="AW104" s="21">
        <f>EXP(-LN(2)/2)*AW103+(1-EXP(-LN(2)/2))/(LN(2)/2)*AQ104*AT104*VLOOKUP('Données projet'!$B$10,Paramètres!$A$1:$I$88,3,0)*0.475*44/12</f>
        <v>4.883387382140311E-10</v>
      </c>
      <c r="AX104" s="21">
        <f t="shared" si="60"/>
        <v>1.7945396130111453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-5.6843418860808015E-13</v>
      </c>
      <c r="BE104" s="13">
        <f>BD104*VLOOKUP('Données projet'!$B$11,Paramètres!$A$1:$I$88,3,0)*VLOOKUP('Données projet'!$B$11,Paramètres!$A$1:$I$88,5,0)</f>
        <v>-3.177547114319168E-13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355.96253323046608</v>
      </c>
      <c r="BJ104" s="59">
        <f t="shared" si="92"/>
        <v>366.8380442809696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projet'!$B$11,Paramètres!$A$1:$I$88,7,0))</f>
        <v>0</v>
      </c>
      <c r="BN104" s="16">
        <f>IF(ISNA(VLOOKUP(A104,'Données projet'!$A$87:$I$107,6,0)),0%,VLOOKUP(A104,'Données projet'!$A$87:$I$107,6,0)*VLOOKUP('Données projet'!$B$11,Paramètres!$A$1:$I$88,7,0))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projet'!$B$11,Paramètres!$A$1:$I$88,3,0)*0.475*44/12</f>
        <v>0</v>
      </c>
      <c r="BQ104" s="21">
        <f>EXP(-LN(2)/25)*BQ103+(1-EXP(-LN(2)/25))/(LN(2)/25)*Calculateur!BL104*Calculateur!BN104*VLOOKUP('Données projet'!$B$11,Paramètres!$A$1:$I$88,3,0)*0.475*44/12</f>
        <v>3.1772569254022569</v>
      </c>
      <c r="BR104" s="21">
        <f>EXP(-LN(2)/2)*BR103+(1-EXP(-LN(2)/2))/(LN(2)/2)*BL104*BO104*VLOOKUP('Données projet'!$B$11,Paramètres!$A$1:$I$88,3,0)*0.475*44/12</f>
        <v>7.5505126002911854E-10</v>
      </c>
      <c r="BS104" s="22">
        <f t="shared" si="63"/>
        <v>3.177256926157308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5.6843418860808015E-14</v>
      </c>
      <c r="BZ104" s="13">
        <f>BY104*VLOOKUP('Données projet'!$B$12,Paramètres!$A$1:$I$88,3,0)*VLOOKUP('Données projet'!$B$12,Paramètres!$A$1:$I$88,5,0)</f>
        <v>3.7243808037601412E-14</v>
      </c>
      <c r="CA104" s="13">
        <f t="shared" si="93"/>
        <v>6.2767589361185393E-13</v>
      </c>
      <c r="CB104" s="20">
        <f t="shared" si="64"/>
        <v>1.1580684803728015E-12</v>
      </c>
      <c r="CC104" s="59">
        <f t="shared" si="65"/>
        <v>293.33333333333445</v>
      </c>
      <c r="CD104" s="59">
        <f ca="1">AVERAGE(OFFSET($CC$3,0,0,'Données projet'!$E$12+1,1))-AVERAGE(OFFSET($H$3,0,0,'Données projet'!$E$12+1,1))</f>
        <v>180.90147430936133</v>
      </c>
      <c r="CE104" s="59">
        <f t="shared" si="94"/>
        <v>226.87949199830018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projet'!$B$12,Paramètres!$A$1:$I$88,7,0))</f>
        <v>0</v>
      </c>
      <c r="CI104" s="16">
        <f>IF(ISNA(VLOOKUP(A104,'Données projet'!$A$113:$I$133,6,0)),0%,VLOOKUP(A104,'Données projet'!$A$113:$I$133,6,0)*VLOOKUP('Données projet'!$B$12,Paramètres!$A$1:$I$88,7,0))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projet'!$B$12,Paramètres!$A$1:$I$88,3,0)*0.475*44/12</f>
        <v>0</v>
      </c>
      <c r="CL104" s="21">
        <f>EXP(-LN(2)/25)*CL103+(1-EXP(-LN(2)/25))/(LN(2)/25)*Calculateur!CG104*Calculateur!CI104*VLOOKUP('Données projet'!$B$12,Paramètres!$A$1:$I$88,3,0)*0.475*44/12</f>
        <v>0.95954501733138464</v>
      </c>
      <c r="CM104" s="21">
        <f>EXP(-LN(2)/2)*CM103+(1-EXP(-LN(2)/2))/(LN(2)/2)*CG104*CJ104*VLOOKUP('Données projet'!$B$12,Paramètres!$A$1:$I$88,3,0)*0.475*44/12</f>
        <v>1.8238513323652031E-10</v>
      </c>
      <c r="CN104" s="22">
        <f t="shared" si="66"/>
        <v>0.95954501751376975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5.6843418860808015E-14</v>
      </c>
      <c r="CU104" s="17">
        <f>CT104*VLOOKUP('Données projet'!$B$13,Paramètres!$A$1:$I$88,3,0)*VLOOKUP('Données projet'!$B$13,Paramètres!$A$1:$I$88,5,0)</f>
        <v>2.8908289095852525E-14</v>
      </c>
      <c r="CV104" s="13">
        <f t="shared" si="95"/>
        <v>5.0177780569126974E-13</v>
      </c>
      <c r="CW104" s="20">
        <f t="shared" si="67"/>
        <v>9.2427828175423786E-13</v>
      </c>
      <c r="CX104" s="59">
        <f t="shared" si="68"/>
        <v>293.33333333333422</v>
      </c>
      <c r="CY104" s="59">
        <f ca="1">AVERAGE(OFFSET($CX$3,0,0,'Données projet'!$E$13+1,1))-AVERAGE(OFFSET($H$3,0,0,'Données projet'!$E$13+1,1))</f>
        <v>133.08385802816008</v>
      </c>
      <c r="CZ104" s="59">
        <f t="shared" si="96"/>
        <v>316.59112511251385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projet'!$B$13,Paramètres!$A$1:$I$88,7,0))</f>
        <v>0</v>
      </c>
      <c r="DD104" s="16">
        <f>IF(ISNA(VLOOKUP(A104,'Données projet'!$A$139:$I$159,6,0)),0%,VLOOKUP(A104,'Données projet'!$A$139:$I$159,6,0)*VLOOKUP('Données projet'!$B$13,Paramètres!$A$1:$I$88,7,0))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projet'!$B$13,Paramètres!$A$1:$I$88,3,0)*0.475*44/12</f>
        <v>17.697529989844213</v>
      </c>
      <c r="DG104" s="21">
        <f>EXP(-LN(2)/25)*DG103+(1-EXP(-LN(2)/25))/(LN(2)/25)*Calculateur!DB104*Calculateur!DD104*VLOOKUP('Données projet'!$B$13,Paramètres!$A$1:$I$88,3,0)*0.475*44/12</f>
        <v>0</v>
      </c>
      <c r="DH104" s="21">
        <f>EXP(-LN(2)/2)*DH103+(1-EXP(-LN(2)/2))/(LN(2)/2)*DB104*DE104*VLOOKUP('Données projet'!$B$13,Paramètres!$A$1:$I$88,3,0)*0.475*44/12</f>
        <v>1.1636489063359474E-10</v>
      </c>
      <c r="DI104" s="22">
        <f t="shared" si="69"/>
        <v>17.697529989960579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projet'!$B$14,Paramètres!$A$1:$I$88,3,0)*VLOOKUP('Données projet'!$B$14,Paramètres!$A$1:$I$88,5,0)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projet'!$B$14,Paramètres!$A$1:$I$88,7,0))</f>
        <v>0</v>
      </c>
      <c r="DY104" s="16">
        <f>IF(ISNA(VLOOKUP(A104,'Données projet'!$A$165:$I$185,6,0)),0%,VLOOKUP(A104,'Données projet'!$A$165:$I$185,6,0)*VLOOKUP('Données projet'!$B$14,Paramètres!$A$1:$I$88,7,0))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projet'!$B$14,Paramètres!$A$1:$I$88,3,0)*0.475*44/12</f>
        <v>#N/A</v>
      </c>
      <c r="EB104" s="21" t="e">
        <f>EXP(-LN(2)/25)*EB103+(1-EXP(-LN(2)/25))/(LN(2)/25)*Calculateur!DW104*Calculateur!DY104*VLOOKUP('Données projet'!$B$14,Paramètres!$A$1:$I$88,3,0)*0.475*44/12</f>
        <v>#N/A</v>
      </c>
      <c r="EC104" s="21" t="e">
        <f>EXP(-LN(2)/2)*EC103+(1-EXP(-LN(2)/2))/(LN(2)/2)*DW104*DZ104*VLOOKUP('Données projet'!$B$14,Paramètres!$A$1:$I$88,3,0)*0.475*44/12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projet'!$B$15,Paramètres!$A$1:$I$88,3,0)*VLOOKUP('Données projet'!$B$15,Paramètres!$A$1:$I$88,5,0)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projet'!$B$15,Paramètres!$A$1:$I$88,7,0))</f>
        <v>0</v>
      </c>
      <c r="ET104" s="16">
        <f>IF(ISNA(VLOOKUP(A104,'Données projet'!$A$191:$I$211,6,0)),0%,VLOOKUP(A104,'Données projet'!$A$191:$I$211,6,0)*VLOOKUP('Données projet'!$B$15,Paramètres!$A$1:$I$88,7,0))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projet'!$B$15,Paramètres!$A$1:$I$88,3,0)*0.475*44/12</f>
        <v>#N/A</v>
      </c>
      <c r="EW104" s="21" t="e">
        <f>EXP(-LN(2)/25)*EW103+(1-EXP(-LN(2)/25))/(LN(2)/25)*Calculateur!ER104*Calculateur!ET104*VLOOKUP('Données projet'!$B$15,Paramètres!$A$1:$I$88,3,0)*0.475*44/12</f>
        <v>#N/A</v>
      </c>
      <c r="EX104" s="21" t="e">
        <f>EXP(-LN(2)/2)*EX103+(1-EXP(-LN(2)/2))/(LN(2)/2)*ER104*EU104*VLOOKUP('Données projet'!$B$15,Paramètres!$A$1:$I$88,3,0)*0.475*44/12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projet'!$B$16,Paramètres!$A$1:$I$88,3,0)*VLOOKUP('Données projet'!$B$16,Paramètres!$A$1:$I$88,5,0)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projet'!$B$16,Paramètres!$A$1:$I$88,7,0))</f>
        <v>0</v>
      </c>
      <c r="FO104" s="16">
        <f>IF(ISNA(VLOOKUP(A104,'Données projet'!$A$217:$I$237,6,0)),0%,VLOOKUP(A104,'Données projet'!$A$217:$I$237,6,0)*VLOOKUP('Données projet'!$B$16,Paramètres!$A$1:$I$88,7,0))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projet'!$B$16,Paramètres!$A$1:$I$88,3,0)*0.475*44/12</f>
        <v>#N/A</v>
      </c>
      <c r="FR104" s="21" t="e">
        <f>EXP(-LN(2)/25)*FR103+(1-EXP(-LN(2)/25))/(LN(2)/25)*Calculateur!FM104*Calculateur!FO104*VLOOKUP('Données projet'!$B$16,Paramètres!$A$1:$I$88,3,0)*0.475*44/12</f>
        <v>#N/A</v>
      </c>
      <c r="FS104" s="21" t="e">
        <f>EXP(-LN(2)/2)*FS103+(1-EXP(-LN(2)/2))/(LN(2)/2)*FM104*FP104*VLOOKUP('Données projet'!$B$16,Paramètres!$A$1:$I$88,3,0)*0.475*44/12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projet'!$B$17,Paramètres!$A$1:$I$88,3,0)*VLOOKUP('Données projet'!$B$17,Paramètres!$A$1:$I$88,5,0)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projet'!$B$17,Paramètres!$A$1:$I$88,7,0))</f>
        <v>0</v>
      </c>
      <c r="GJ104" s="16">
        <f>IF(ISNA(VLOOKUP(A104,'Données projet'!$A$243:$I$263,6,0)),0%,VLOOKUP(A104,'Données projet'!$A$243:$I$263,6,0)*VLOOKUP('Données projet'!$B$17,Paramètres!$A$1:$I$88,7,0))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projet'!$B$17,Paramètres!$A$1:$I$88,3,0)*0.475*44/12</f>
        <v>#N/A</v>
      </c>
      <c r="GM104" s="21" t="e">
        <f>EXP(-LN(2)/25)*GM103+(1-EXP(-LN(2)/25))/(LN(2)/25)*Calculateur!GH104*Calculateur!GJ104*VLOOKUP('Données projet'!$B$17,Paramètres!$A$1:$I$88,3,0)*0.475*44/12</f>
        <v>#N/A</v>
      </c>
      <c r="GN104" s="21" t="e">
        <f>EXP(-LN(2)/2)*GN103+(1-EXP(-LN(2)/2))/(LN(2)/2)*GH104*GK104*VLOOKUP('Données projet'!$B$17,Paramètres!$A$1:$I$88,3,0)*0.475*44/12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projet'!$B$18,Paramètres!$A$1:$I$88,3,0)*VLOOKUP('Données projet'!$B$18,Paramètres!$A$1:$I$88,5,0)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projet'!$B$18,Paramètres!$A$1:$I$88,7,0))</f>
        <v>0</v>
      </c>
      <c r="HE104" s="16">
        <f>IF(ISNA(VLOOKUP(A104,'Données projet'!$A$269:$I$289,6,0)),0%,VLOOKUP(A104,'Données projet'!$A$269:$I$289,6,0)*VLOOKUP('Données projet'!$B$18,Paramètres!$A$1:$I$88,7,0))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projet'!$B$18,Paramètres!$A$1:$I$88,3,0)*0.475*44/12</f>
        <v>#N/A</v>
      </c>
      <c r="HH104" s="21" t="e">
        <f>EXP(-LN(2)/25)*HH103+(1-EXP(-LN(2)/25))/(LN(2)/25)*Calculateur!HC104*Calculateur!HE104*VLOOKUP('Données projet'!$B$18,Paramètres!$A$1:$I$88,3,0)*0.475*44/12</f>
        <v>#N/A</v>
      </c>
      <c r="HI104" s="21" t="e">
        <f>EXP(-LN(2)/2)*HI103+(1-EXP(-LN(2)/2))/(LN(2)/2)*HC104*HF104*VLOOKUP('Données projet'!$B$18,Paramètres!$A$1:$I$88,3,0)*0.475*44/12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projet'!$B$9,Paramètres!$A$1:$I$88,3,0)*VLOOKUP('Données projet'!$B$9,Paramètres!$A$1:$I$88,5,0)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195.73441209602686</v>
      </c>
      <c r="T105" s="59">
        <f t="shared" si="88"/>
        <v>219.19129224309006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projet'!$B$9,Paramètres!$A$1:$I$88,7,0))</f>
        <v>0</v>
      </c>
      <c r="X105" s="16">
        <f>IF(ISNA(VLOOKUP(A105,'Données projet'!$A$35:$I$55,6,0)),0%,VLOOKUP(A105,'Données projet'!$A$35:$I$55,6,0)*VLOOKUP('Données projet'!$B$9,Paramètres!$A$1:$I$88,7,0))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projet'!$B$9,Paramètres!$A$1:$I$88,3,0)*0.475*44/12</f>
        <v>3.6650054176620914</v>
      </c>
      <c r="AA105" s="21">
        <f>EXP(-LN(2)/25)*AA104+(1-EXP(-LN(2)/25))/(LN(2)/25)*Calculateur!V105*Calculateur!X105*VLOOKUP('Données projet'!$B$9,Paramètres!$A$1:$I$88,3,0)*0.475*44/12</f>
        <v>1.9232013318732353</v>
      </c>
      <c r="AB105" s="21">
        <f>EXP(-LN(2)/2)*AB104+(1-EXP(-LN(2)/2))/(LN(2)/2)*V105*Y105*VLOOKUP('Données projet'!$B$9,Paramètres!$A$1:$I$88,3,0)*0.475*44/12</f>
        <v>5.7730879398220632E-13</v>
      </c>
      <c r="AC105" s="22">
        <f t="shared" si="57"/>
        <v>5.588206749535904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-4.5474735088646412E-13</v>
      </c>
      <c r="AJ105" s="13">
        <f>AI105*VLOOKUP('Données projet'!$B$10,Paramètres!$A$1:$I$88,3,0)*VLOOKUP('Données projet'!$B$10,Paramètres!$A$1:$I$88,5,0)</f>
        <v>-2.7193891583010558E-13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246.59447135626942</v>
      </c>
      <c r="AO105" s="59">
        <f t="shared" si="90"/>
        <v>262.00382544285367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projet'!$B$10,Paramètres!$A$1:$I$88,7,0))</f>
        <v>0</v>
      </c>
      <c r="AS105" s="16">
        <f>IF(ISNA(VLOOKUP(A105,'Données projet'!$A$61:$I$81,6,0)),0%,VLOOKUP(A105,'Données projet'!$A$61:$I$81,6,0)*VLOOKUP('Données projet'!$B$10,Paramètres!$A$1:$I$88,7,0))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projet'!$B$10,Paramètres!$A$1:$I$88,3,0)*0.475*44/12</f>
        <v>0</v>
      </c>
      <c r="AV105" s="21">
        <f>EXP(-LN(2)/25)*AV104+(1-EXP(-LN(2)/25))/(LN(2)/25)*Calculateur!AQ105*Calculateur!AS105*VLOOKUP('Données projet'!$B$10,Paramètres!$A$1:$I$88,3,0)*0.475*44/12</f>
        <v>1.7454678324476336</v>
      </c>
      <c r="AW105" s="21">
        <f>EXP(-LN(2)/2)*AW104+(1-EXP(-LN(2)/2))/(LN(2)/2)*AQ105*AT105*VLOOKUP('Données projet'!$B$10,Paramètres!$A$1:$I$88,3,0)*0.475*44/12</f>
        <v>3.4530763330722361E-10</v>
      </c>
      <c r="AX105" s="21">
        <f t="shared" si="60"/>
        <v>1.7454678327929412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-5.6843418860808015E-13</v>
      </c>
      <c r="BE105" s="13">
        <f>BD105*VLOOKUP('Données projet'!$B$11,Paramètres!$A$1:$I$88,3,0)*VLOOKUP('Données projet'!$B$11,Paramètres!$A$1:$I$88,5,0)</f>
        <v>-3.177547114319168E-13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355.96253323046608</v>
      </c>
      <c r="BJ105" s="59">
        <f t="shared" si="92"/>
        <v>366.8380442809696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projet'!$B$11,Paramètres!$A$1:$I$88,7,0))</f>
        <v>0</v>
      </c>
      <c r="BN105" s="16">
        <f>IF(ISNA(VLOOKUP(A105,'Données projet'!$A$87:$I$107,6,0)),0%,VLOOKUP(A105,'Données projet'!$A$87:$I$107,6,0)*VLOOKUP('Données projet'!$B$11,Paramètres!$A$1:$I$88,7,0))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projet'!$B$11,Paramètres!$A$1:$I$88,3,0)*0.475*44/12</f>
        <v>0</v>
      </c>
      <c r="BQ105" s="21">
        <f>EXP(-LN(2)/25)*BQ104+(1-EXP(-LN(2)/25))/(LN(2)/25)*Calculateur!BL105*Calculateur!BN105*VLOOKUP('Données projet'!$B$11,Paramètres!$A$1:$I$88,3,0)*0.475*44/12</f>
        <v>3.0903746676924522</v>
      </c>
      <c r="BR105" s="21">
        <f>EXP(-LN(2)/2)*BR104+(1-EXP(-LN(2)/2))/(LN(2)/2)*BL105*BO105*VLOOKUP('Données projet'!$B$11,Paramètres!$A$1:$I$88,3,0)*0.475*44/12</f>
        <v>5.3390186611003691E-10</v>
      </c>
      <c r="BS105" s="22">
        <f t="shared" si="63"/>
        <v>3.090374668226354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5.6843418860808015E-14</v>
      </c>
      <c r="BZ105" s="13">
        <f>BY105*VLOOKUP('Données projet'!$B$12,Paramètres!$A$1:$I$88,3,0)*VLOOKUP('Données projet'!$B$12,Paramètres!$A$1:$I$88,5,0)</f>
        <v>3.7243808037601412E-14</v>
      </c>
      <c r="CA105" s="13">
        <f t="shared" si="93"/>
        <v>6.2767589361185393E-13</v>
      </c>
      <c r="CB105" s="20">
        <f t="shared" si="64"/>
        <v>1.1580684803728015E-12</v>
      </c>
      <c r="CC105" s="59">
        <f t="shared" si="65"/>
        <v>293.33333333333445</v>
      </c>
      <c r="CD105" s="59">
        <f ca="1">AVERAGE(OFFSET($CC$3,0,0,'Données projet'!$E$12+1,1))-AVERAGE(OFFSET($H$3,0,0,'Données projet'!$E$12+1,1))</f>
        <v>180.90147430936133</v>
      </c>
      <c r="CE105" s="59">
        <f t="shared" si="94"/>
        <v>226.87949199830018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projet'!$B$12,Paramètres!$A$1:$I$88,7,0))</f>
        <v>0</v>
      </c>
      <c r="CI105" s="16">
        <f>IF(ISNA(VLOOKUP(A105,'Données projet'!$A$113:$I$133,6,0)),0%,VLOOKUP(A105,'Données projet'!$A$113:$I$133,6,0)*VLOOKUP('Données projet'!$B$12,Paramètres!$A$1:$I$88,7,0))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projet'!$B$12,Paramètres!$A$1:$I$88,3,0)*0.475*44/12</f>
        <v>0</v>
      </c>
      <c r="CL105" s="21">
        <f>EXP(-LN(2)/25)*CL104+(1-EXP(-LN(2)/25))/(LN(2)/25)*Calculateur!CG105*Calculateur!CI105*VLOOKUP('Données projet'!$B$12,Paramètres!$A$1:$I$88,3,0)*0.475*44/12</f>
        <v>0.93330620837217859</v>
      </c>
      <c r="CM105" s="21">
        <f>EXP(-LN(2)/2)*CM104+(1-EXP(-LN(2)/2))/(LN(2)/2)*CG105*CJ105*VLOOKUP('Données projet'!$B$12,Paramètres!$A$1:$I$88,3,0)*0.475*44/12</f>
        <v>1.2896576449915548E-10</v>
      </c>
      <c r="CN105" s="22">
        <f t="shared" si="66"/>
        <v>0.93330620850114432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5.6843418860808015E-14</v>
      </c>
      <c r="CU105" s="17">
        <f>CT105*VLOOKUP('Données projet'!$B$13,Paramètres!$A$1:$I$88,3,0)*VLOOKUP('Données projet'!$B$13,Paramètres!$A$1:$I$88,5,0)</f>
        <v>2.8908289095852525E-14</v>
      </c>
      <c r="CV105" s="13">
        <f t="shared" si="95"/>
        <v>5.0177780569126974E-13</v>
      </c>
      <c r="CW105" s="20">
        <f t="shared" si="67"/>
        <v>9.2427828175423786E-13</v>
      </c>
      <c r="CX105" s="59">
        <f t="shared" si="68"/>
        <v>293.33333333333422</v>
      </c>
      <c r="CY105" s="59">
        <f ca="1">AVERAGE(OFFSET($CX$3,0,0,'Données projet'!$E$13+1,1))-AVERAGE(OFFSET($H$3,0,0,'Données projet'!$E$13+1,1))</f>
        <v>133.08385802816008</v>
      </c>
      <c r="CZ105" s="59">
        <f t="shared" si="96"/>
        <v>316.59112511251385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projet'!$B$13,Paramètres!$A$1:$I$88,7,0))</f>
        <v>0</v>
      </c>
      <c r="DD105" s="16">
        <f>IF(ISNA(VLOOKUP(A105,'Données projet'!$A$139:$I$159,6,0)),0%,VLOOKUP(A105,'Données projet'!$A$139:$I$159,6,0)*VLOOKUP('Données projet'!$B$13,Paramètres!$A$1:$I$88,7,0))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projet'!$B$13,Paramètres!$A$1:$I$88,3,0)*0.475*44/12</f>
        <v>17.3504922211708</v>
      </c>
      <c r="DG105" s="21">
        <f>EXP(-LN(2)/25)*DG104+(1-EXP(-LN(2)/25))/(LN(2)/25)*Calculateur!DB105*Calculateur!DD105*VLOOKUP('Données projet'!$B$13,Paramètres!$A$1:$I$88,3,0)*0.475*44/12</f>
        <v>0</v>
      </c>
      <c r="DH105" s="21">
        <f>EXP(-LN(2)/2)*DH104+(1-EXP(-LN(2)/2))/(LN(2)/2)*DB105*DE105*VLOOKUP('Données projet'!$B$13,Paramètres!$A$1:$I$88,3,0)*0.475*44/12</f>
        <v>8.228240325904581E-11</v>
      </c>
      <c r="DI105" s="22">
        <f t="shared" si="69"/>
        <v>17.350492221253081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projet'!$B$14,Paramètres!$A$1:$I$88,3,0)*VLOOKUP('Données projet'!$B$14,Paramètres!$A$1:$I$88,5,0)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projet'!$B$14,Paramètres!$A$1:$I$88,7,0))</f>
        <v>0</v>
      </c>
      <c r="DY105" s="16">
        <f>IF(ISNA(VLOOKUP(A105,'Données projet'!$A$165:$I$185,6,0)),0%,VLOOKUP(A105,'Données projet'!$A$165:$I$185,6,0)*VLOOKUP('Données projet'!$B$14,Paramètres!$A$1:$I$88,7,0))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projet'!$B$14,Paramètres!$A$1:$I$88,3,0)*0.475*44/12</f>
        <v>#N/A</v>
      </c>
      <c r="EB105" s="21" t="e">
        <f>EXP(-LN(2)/25)*EB104+(1-EXP(-LN(2)/25))/(LN(2)/25)*Calculateur!DW105*Calculateur!DY105*VLOOKUP('Données projet'!$B$14,Paramètres!$A$1:$I$88,3,0)*0.475*44/12</f>
        <v>#N/A</v>
      </c>
      <c r="EC105" s="21" t="e">
        <f>EXP(-LN(2)/2)*EC104+(1-EXP(-LN(2)/2))/(LN(2)/2)*DW105*DZ105*VLOOKUP('Données projet'!$B$14,Paramètres!$A$1:$I$88,3,0)*0.475*44/12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projet'!$B$15,Paramètres!$A$1:$I$88,3,0)*VLOOKUP('Données projet'!$B$15,Paramètres!$A$1:$I$88,5,0)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projet'!$B$15,Paramètres!$A$1:$I$88,7,0))</f>
        <v>0</v>
      </c>
      <c r="ET105" s="16">
        <f>IF(ISNA(VLOOKUP(A105,'Données projet'!$A$191:$I$211,6,0)),0%,VLOOKUP(A105,'Données projet'!$A$191:$I$211,6,0)*VLOOKUP('Données projet'!$B$15,Paramètres!$A$1:$I$88,7,0))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projet'!$B$15,Paramètres!$A$1:$I$88,3,0)*0.475*44/12</f>
        <v>#N/A</v>
      </c>
      <c r="EW105" s="21" t="e">
        <f>EXP(-LN(2)/25)*EW104+(1-EXP(-LN(2)/25))/(LN(2)/25)*Calculateur!ER105*Calculateur!ET105*VLOOKUP('Données projet'!$B$15,Paramètres!$A$1:$I$88,3,0)*0.475*44/12</f>
        <v>#N/A</v>
      </c>
      <c r="EX105" s="21" t="e">
        <f>EXP(-LN(2)/2)*EX104+(1-EXP(-LN(2)/2))/(LN(2)/2)*ER105*EU105*VLOOKUP('Données projet'!$B$15,Paramètres!$A$1:$I$88,3,0)*0.475*44/12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projet'!$B$16,Paramètres!$A$1:$I$88,3,0)*VLOOKUP('Données projet'!$B$16,Paramètres!$A$1:$I$88,5,0)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projet'!$B$16,Paramètres!$A$1:$I$88,7,0))</f>
        <v>0</v>
      </c>
      <c r="FO105" s="16">
        <f>IF(ISNA(VLOOKUP(A105,'Données projet'!$A$217:$I$237,6,0)),0%,VLOOKUP(A105,'Données projet'!$A$217:$I$237,6,0)*VLOOKUP('Données projet'!$B$16,Paramètres!$A$1:$I$88,7,0))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projet'!$B$16,Paramètres!$A$1:$I$88,3,0)*0.475*44/12</f>
        <v>#N/A</v>
      </c>
      <c r="FR105" s="21" t="e">
        <f>EXP(-LN(2)/25)*FR104+(1-EXP(-LN(2)/25))/(LN(2)/25)*Calculateur!FM105*Calculateur!FO105*VLOOKUP('Données projet'!$B$16,Paramètres!$A$1:$I$88,3,0)*0.475*44/12</f>
        <v>#N/A</v>
      </c>
      <c r="FS105" s="21" t="e">
        <f>EXP(-LN(2)/2)*FS104+(1-EXP(-LN(2)/2))/(LN(2)/2)*FM105*FP105*VLOOKUP('Données projet'!$B$16,Paramètres!$A$1:$I$88,3,0)*0.475*44/12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projet'!$B$17,Paramètres!$A$1:$I$88,3,0)*VLOOKUP('Données projet'!$B$17,Paramètres!$A$1:$I$88,5,0)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projet'!$B$17,Paramètres!$A$1:$I$88,7,0))</f>
        <v>0</v>
      </c>
      <c r="GJ105" s="16">
        <f>IF(ISNA(VLOOKUP(A105,'Données projet'!$A$243:$I$263,6,0)),0%,VLOOKUP(A105,'Données projet'!$A$243:$I$263,6,0)*VLOOKUP('Données projet'!$B$17,Paramètres!$A$1:$I$88,7,0))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projet'!$B$17,Paramètres!$A$1:$I$88,3,0)*0.475*44/12</f>
        <v>#N/A</v>
      </c>
      <c r="GM105" s="21" t="e">
        <f>EXP(-LN(2)/25)*GM104+(1-EXP(-LN(2)/25))/(LN(2)/25)*Calculateur!GH105*Calculateur!GJ105*VLOOKUP('Données projet'!$B$17,Paramètres!$A$1:$I$88,3,0)*0.475*44/12</f>
        <v>#N/A</v>
      </c>
      <c r="GN105" s="21" t="e">
        <f>EXP(-LN(2)/2)*GN104+(1-EXP(-LN(2)/2))/(LN(2)/2)*GH105*GK105*VLOOKUP('Données projet'!$B$17,Paramètres!$A$1:$I$88,3,0)*0.475*44/12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projet'!$B$18,Paramètres!$A$1:$I$88,3,0)*VLOOKUP('Données projet'!$B$18,Paramètres!$A$1:$I$88,5,0)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projet'!$B$18,Paramètres!$A$1:$I$88,7,0))</f>
        <v>0</v>
      </c>
      <c r="HE105" s="16">
        <f>IF(ISNA(VLOOKUP(A105,'Données projet'!$A$269:$I$289,6,0)),0%,VLOOKUP(A105,'Données projet'!$A$269:$I$289,6,0)*VLOOKUP('Données projet'!$B$18,Paramètres!$A$1:$I$88,7,0))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projet'!$B$18,Paramètres!$A$1:$I$88,3,0)*0.475*44/12</f>
        <v>#N/A</v>
      </c>
      <c r="HH105" s="21" t="e">
        <f>EXP(-LN(2)/25)*HH104+(1-EXP(-LN(2)/25))/(LN(2)/25)*Calculateur!HC105*Calculateur!HE105*VLOOKUP('Données projet'!$B$18,Paramètres!$A$1:$I$88,3,0)*0.475*44/12</f>
        <v>#N/A</v>
      </c>
      <c r="HI105" s="21" t="e">
        <f>EXP(-LN(2)/2)*HI104+(1-EXP(-LN(2)/2))/(LN(2)/2)*HC105*HF105*VLOOKUP('Données projet'!$B$18,Paramètres!$A$1:$I$88,3,0)*0.475*44/12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projet'!$B$9,Paramètres!$A$1:$I$88,3,0)*VLOOKUP('Données projet'!$B$9,Paramètres!$A$1:$I$88,5,0)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195.73441209602686</v>
      </c>
      <c r="T106" s="59">
        <f t="shared" si="88"/>
        <v>219.19129224309006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projet'!$B$9,Paramètres!$A$1:$I$88,7,0))</f>
        <v>0</v>
      </c>
      <c r="X106" s="16">
        <f>IF(ISNA(VLOOKUP(A106,'Données projet'!$A$35:$I$55,6,0)),0%,VLOOKUP(A106,'Données projet'!$A$35:$I$55,6,0)*VLOOKUP('Données projet'!$B$9,Paramètres!$A$1:$I$88,7,0))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projet'!$B$9,Paramètres!$A$1:$I$88,3,0)*0.475*44/12</f>
        <v>3.593136896854312</v>
      </c>
      <c r="AA106" s="21">
        <f>EXP(-LN(2)/25)*AA105+(1-EXP(-LN(2)/25))/(LN(2)/25)*Calculateur!V106*Calculateur!X106*VLOOKUP('Données projet'!$B$9,Paramètres!$A$1:$I$88,3,0)*0.475*44/12</f>
        <v>1.8706112903163992</v>
      </c>
      <c r="AB106" s="21">
        <f>EXP(-LN(2)/2)*AB105+(1-EXP(-LN(2)/2))/(LN(2)/2)*V106*Y106*VLOOKUP('Données projet'!$B$9,Paramètres!$A$1:$I$88,3,0)*0.475*44/12</f>
        <v>4.0821896306344561E-13</v>
      </c>
      <c r="AC106" s="22">
        <f t="shared" si="57"/>
        <v>5.4637481871711202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-4.5474735088646412E-13</v>
      </c>
      <c r="AJ106" s="13">
        <f>AI106*VLOOKUP('Données projet'!$B$10,Paramètres!$A$1:$I$88,3,0)*VLOOKUP('Données projet'!$B$10,Paramètres!$A$1:$I$88,5,0)</f>
        <v>-2.7193891583010558E-13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246.59447135626942</v>
      </c>
      <c r="AO106" s="59">
        <f t="shared" si="90"/>
        <v>262.00382544285367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projet'!$B$10,Paramètres!$A$1:$I$88,7,0))</f>
        <v>0</v>
      </c>
      <c r="AS106" s="16">
        <f>IF(ISNA(VLOOKUP(A106,'Données projet'!$A$61:$I$81,6,0)),0%,VLOOKUP(A106,'Données projet'!$A$61:$I$81,6,0)*VLOOKUP('Données projet'!$B$10,Paramètres!$A$1:$I$88,7,0))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projet'!$B$10,Paramètres!$A$1:$I$88,3,0)*0.475*44/12</f>
        <v>0</v>
      </c>
      <c r="AV106" s="21">
        <f>EXP(-LN(2)/25)*AV105+(1-EXP(-LN(2)/25))/(LN(2)/25)*Calculateur!AQ106*Calculateur!AS106*VLOOKUP('Données projet'!$B$10,Paramètres!$A$1:$I$88,3,0)*0.475*44/12</f>
        <v>1.6977379227791891</v>
      </c>
      <c r="AW106" s="21">
        <f>EXP(-LN(2)/2)*AW105+(1-EXP(-LN(2)/2))/(LN(2)/2)*AQ106*AT106*VLOOKUP('Données projet'!$B$10,Paramètres!$A$1:$I$88,3,0)*0.475*44/12</f>
        <v>2.4416936910701555E-10</v>
      </c>
      <c r="AX106" s="21">
        <f t="shared" si="60"/>
        <v>1.6977379230233585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-5.6843418860808015E-13</v>
      </c>
      <c r="BE106" s="13">
        <f>BD106*VLOOKUP('Données projet'!$B$11,Paramètres!$A$1:$I$88,3,0)*VLOOKUP('Données projet'!$B$11,Paramètres!$A$1:$I$88,5,0)</f>
        <v>-3.177547114319168E-13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355.96253323046608</v>
      </c>
      <c r="BJ106" s="59">
        <f t="shared" si="92"/>
        <v>366.8380442809696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projet'!$B$11,Paramètres!$A$1:$I$88,7,0))</f>
        <v>0</v>
      </c>
      <c r="BN106" s="16">
        <f>IF(ISNA(VLOOKUP(A106,'Données projet'!$A$87:$I$107,6,0)),0%,VLOOKUP(A106,'Données projet'!$A$87:$I$107,6,0)*VLOOKUP('Données projet'!$B$11,Paramètres!$A$1:$I$88,7,0))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projet'!$B$11,Paramètres!$A$1:$I$88,3,0)*0.475*44/12</f>
        <v>0</v>
      </c>
      <c r="BQ106" s="21">
        <f>EXP(-LN(2)/25)*BQ105+(1-EXP(-LN(2)/25))/(LN(2)/25)*Calculateur!BL106*Calculateur!BN106*VLOOKUP('Données projet'!$B$11,Paramètres!$A$1:$I$88,3,0)*0.475*44/12</f>
        <v>3.0058682098886615</v>
      </c>
      <c r="BR106" s="21">
        <f>EXP(-LN(2)/2)*BR105+(1-EXP(-LN(2)/2))/(LN(2)/2)*BL106*BO106*VLOOKUP('Données projet'!$B$11,Paramètres!$A$1:$I$88,3,0)*0.475*44/12</f>
        <v>3.7752563001455927E-10</v>
      </c>
      <c r="BS106" s="22">
        <f t="shared" si="63"/>
        <v>3.0058682102661871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5.6843418860808015E-14</v>
      </c>
      <c r="BZ106" s="13">
        <f>BY106*VLOOKUP('Données projet'!$B$12,Paramètres!$A$1:$I$88,3,0)*VLOOKUP('Données projet'!$B$12,Paramètres!$A$1:$I$88,5,0)</f>
        <v>3.7243808037601412E-14</v>
      </c>
      <c r="CA106" s="13">
        <f t="shared" si="93"/>
        <v>6.2767589361185393E-13</v>
      </c>
      <c r="CB106" s="20">
        <f t="shared" si="64"/>
        <v>1.1580684803728015E-12</v>
      </c>
      <c r="CC106" s="59">
        <f t="shared" si="65"/>
        <v>293.33333333333445</v>
      </c>
      <c r="CD106" s="59">
        <f ca="1">AVERAGE(OFFSET($CC$3,0,0,'Données projet'!$E$12+1,1))-AVERAGE(OFFSET($H$3,0,0,'Données projet'!$E$12+1,1))</f>
        <v>180.90147430936133</v>
      </c>
      <c r="CE106" s="59">
        <f t="shared" si="94"/>
        <v>226.87949199830018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projet'!$B$12,Paramètres!$A$1:$I$88,7,0))</f>
        <v>0</v>
      </c>
      <c r="CI106" s="16">
        <f>IF(ISNA(VLOOKUP(A106,'Données projet'!$A$113:$I$133,6,0)),0%,VLOOKUP(A106,'Données projet'!$A$113:$I$133,6,0)*VLOOKUP('Données projet'!$B$12,Paramètres!$A$1:$I$88,7,0))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projet'!$B$12,Paramètres!$A$1:$I$88,3,0)*0.475*44/12</f>
        <v>0</v>
      </c>
      <c r="CL106" s="21">
        <f>EXP(-LN(2)/25)*CL105+(1-EXP(-LN(2)/25))/(LN(2)/25)*Calculateur!CG106*Calculateur!CI106*VLOOKUP('Données projet'!$B$12,Paramètres!$A$1:$I$88,3,0)*0.475*44/12</f>
        <v>0.90778490102380094</v>
      </c>
      <c r="CM106" s="21">
        <f>EXP(-LN(2)/2)*CM105+(1-EXP(-LN(2)/2))/(LN(2)/2)*CG106*CJ106*VLOOKUP('Données projet'!$B$12,Paramètres!$A$1:$I$88,3,0)*0.475*44/12</f>
        <v>9.1192566618260153E-11</v>
      </c>
      <c r="CN106" s="22">
        <f t="shared" si="66"/>
        <v>0.90778490111499355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5.6843418860808015E-14</v>
      </c>
      <c r="CU106" s="17">
        <f>CT106*VLOOKUP('Données projet'!$B$13,Paramètres!$A$1:$I$88,3,0)*VLOOKUP('Données projet'!$B$13,Paramètres!$A$1:$I$88,5,0)</f>
        <v>2.8908289095852525E-14</v>
      </c>
      <c r="CV106" s="13">
        <f t="shared" si="95"/>
        <v>5.0177780569126974E-13</v>
      </c>
      <c r="CW106" s="20">
        <f t="shared" si="67"/>
        <v>9.2427828175423786E-13</v>
      </c>
      <c r="CX106" s="59">
        <f t="shared" si="68"/>
        <v>293.33333333333422</v>
      </c>
      <c r="CY106" s="59">
        <f ca="1">AVERAGE(OFFSET($CX$3,0,0,'Données projet'!$E$13+1,1))-AVERAGE(OFFSET($H$3,0,0,'Données projet'!$E$13+1,1))</f>
        <v>133.08385802816008</v>
      </c>
      <c r="CZ106" s="59">
        <f t="shared" si="96"/>
        <v>316.59112511251385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projet'!$B$13,Paramètres!$A$1:$I$88,7,0))</f>
        <v>0</v>
      </c>
      <c r="DD106" s="16">
        <f>IF(ISNA(VLOOKUP(A106,'Données projet'!$A$139:$I$159,6,0)),0%,VLOOKUP(A106,'Données projet'!$A$139:$I$159,6,0)*VLOOKUP('Données projet'!$B$13,Paramètres!$A$1:$I$88,7,0))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projet'!$B$13,Paramètres!$A$1:$I$88,3,0)*0.475*44/12</f>
        <v>17.010259651468935</v>
      </c>
      <c r="DG106" s="21">
        <f>EXP(-LN(2)/25)*DG105+(1-EXP(-LN(2)/25))/(LN(2)/25)*Calculateur!DB106*Calculateur!DD106*VLOOKUP('Données projet'!$B$13,Paramètres!$A$1:$I$88,3,0)*0.475*44/12</f>
        <v>0</v>
      </c>
      <c r="DH106" s="21">
        <f>EXP(-LN(2)/2)*DH105+(1-EXP(-LN(2)/2))/(LN(2)/2)*DB106*DE106*VLOOKUP('Données projet'!$B$13,Paramètres!$A$1:$I$88,3,0)*0.475*44/12</f>
        <v>5.8182445316797375E-11</v>
      </c>
      <c r="DI106" s="22">
        <f t="shared" si="69"/>
        <v>17.010259651527118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projet'!$B$14,Paramètres!$A$1:$I$88,3,0)*VLOOKUP('Données projet'!$B$14,Paramètres!$A$1:$I$88,5,0)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projet'!$B$14,Paramètres!$A$1:$I$88,7,0))</f>
        <v>0</v>
      </c>
      <c r="DY106" s="16">
        <f>IF(ISNA(VLOOKUP(A106,'Données projet'!$A$165:$I$185,6,0)),0%,VLOOKUP(A106,'Données projet'!$A$165:$I$185,6,0)*VLOOKUP('Données projet'!$B$14,Paramètres!$A$1:$I$88,7,0))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projet'!$B$14,Paramètres!$A$1:$I$88,3,0)*0.475*44/12</f>
        <v>#N/A</v>
      </c>
      <c r="EB106" s="21" t="e">
        <f>EXP(-LN(2)/25)*EB105+(1-EXP(-LN(2)/25))/(LN(2)/25)*Calculateur!DW106*Calculateur!DY106*VLOOKUP('Données projet'!$B$14,Paramètres!$A$1:$I$88,3,0)*0.475*44/12</f>
        <v>#N/A</v>
      </c>
      <c r="EC106" s="21" t="e">
        <f>EXP(-LN(2)/2)*EC105+(1-EXP(-LN(2)/2))/(LN(2)/2)*DW106*DZ106*VLOOKUP('Données projet'!$B$14,Paramètres!$A$1:$I$88,3,0)*0.475*44/12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projet'!$B$15,Paramètres!$A$1:$I$88,3,0)*VLOOKUP('Données projet'!$B$15,Paramètres!$A$1:$I$88,5,0)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projet'!$B$15,Paramètres!$A$1:$I$88,7,0))</f>
        <v>0</v>
      </c>
      <c r="ET106" s="16">
        <f>IF(ISNA(VLOOKUP(A106,'Données projet'!$A$191:$I$211,6,0)),0%,VLOOKUP(A106,'Données projet'!$A$191:$I$211,6,0)*VLOOKUP('Données projet'!$B$15,Paramètres!$A$1:$I$88,7,0))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projet'!$B$15,Paramètres!$A$1:$I$88,3,0)*0.475*44/12</f>
        <v>#N/A</v>
      </c>
      <c r="EW106" s="21" t="e">
        <f>EXP(-LN(2)/25)*EW105+(1-EXP(-LN(2)/25))/(LN(2)/25)*Calculateur!ER106*Calculateur!ET106*VLOOKUP('Données projet'!$B$15,Paramètres!$A$1:$I$88,3,0)*0.475*44/12</f>
        <v>#N/A</v>
      </c>
      <c r="EX106" s="21" t="e">
        <f>EXP(-LN(2)/2)*EX105+(1-EXP(-LN(2)/2))/(LN(2)/2)*ER106*EU106*VLOOKUP('Données projet'!$B$15,Paramètres!$A$1:$I$88,3,0)*0.475*44/12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projet'!$B$16,Paramètres!$A$1:$I$88,3,0)*VLOOKUP('Données projet'!$B$16,Paramètres!$A$1:$I$88,5,0)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projet'!$B$16,Paramètres!$A$1:$I$88,7,0))</f>
        <v>0</v>
      </c>
      <c r="FO106" s="16">
        <f>IF(ISNA(VLOOKUP(A106,'Données projet'!$A$217:$I$237,6,0)),0%,VLOOKUP(A106,'Données projet'!$A$217:$I$237,6,0)*VLOOKUP('Données projet'!$B$16,Paramètres!$A$1:$I$88,7,0))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projet'!$B$16,Paramètres!$A$1:$I$88,3,0)*0.475*44/12</f>
        <v>#N/A</v>
      </c>
      <c r="FR106" s="21" t="e">
        <f>EXP(-LN(2)/25)*FR105+(1-EXP(-LN(2)/25))/(LN(2)/25)*Calculateur!FM106*Calculateur!FO106*VLOOKUP('Données projet'!$B$16,Paramètres!$A$1:$I$88,3,0)*0.475*44/12</f>
        <v>#N/A</v>
      </c>
      <c r="FS106" s="21" t="e">
        <f>EXP(-LN(2)/2)*FS105+(1-EXP(-LN(2)/2))/(LN(2)/2)*FM106*FP106*VLOOKUP('Données projet'!$B$16,Paramètres!$A$1:$I$88,3,0)*0.475*44/12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projet'!$B$17,Paramètres!$A$1:$I$88,3,0)*VLOOKUP('Données projet'!$B$17,Paramètres!$A$1:$I$88,5,0)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projet'!$B$17,Paramètres!$A$1:$I$88,7,0))</f>
        <v>0</v>
      </c>
      <c r="GJ106" s="16">
        <f>IF(ISNA(VLOOKUP(A106,'Données projet'!$A$243:$I$263,6,0)),0%,VLOOKUP(A106,'Données projet'!$A$243:$I$263,6,0)*VLOOKUP('Données projet'!$B$17,Paramètres!$A$1:$I$88,7,0))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projet'!$B$17,Paramètres!$A$1:$I$88,3,0)*0.475*44/12</f>
        <v>#N/A</v>
      </c>
      <c r="GM106" s="21" t="e">
        <f>EXP(-LN(2)/25)*GM105+(1-EXP(-LN(2)/25))/(LN(2)/25)*Calculateur!GH106*Calculateur!GJ106*VLOOKUP('Données projet'!$B$17,Paramètres!$A$1:$I$88,3,0)*0.475*44/12</f>
        <v>#N/A</v>
      </c>
      <c r="GN106" s="21" t="e">
        <f>EXP(-LN(2)/2)*GN105+(1-EXP(-LN(2)/2))/(LN(2)/2)*GH106*GK106*VLOOKUP('Données projet'!$B$17,Paramètres!$A$1:$I$88,3,0)*0.475*44/12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projet'!$B$18,Paramètres!$A$1:$I$88,3,0)*VLOOKUP('Données projet'!$B$18,Paramètres!$A$1:$I$88,5,0)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projet'!$B$18,Paramètres!$A$1:$I$88,7,0))</f>
        <v>0</v>
      </c>
      <c r="HE106" s="16">
        <f>IF(ISNA(VLOOKUP(A106,'Données projet'!$A$269:$I$289,6,0)),0%,VLOOKUP(A106,'Données projet'!$A$269:$I$289,6,0)*VLOOKUP('Données projet'!$B$18,Paramètres!$A$1:$I$88,7,0))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projet'!$B$18,Paramètres!$A$1:$I$88,3,0)*0.475*44/12</f>
        <v>#N/A</v>
      </c>
      <c r="HH106" s="21" t="e">
        <f>EXP(-LN(2)/25)*HH105+(1-EXP(-LN(2)/25))/(LN(2)/25)*Calculateur!HC106*Calculateur!HE106*VLOOKUP('Données projet'!$B$18,Paramètres!$A$1:$I$88,3,0)*0.475*44/12</f>
        <v>#N/A</v>
      </c>
      <c r="HI106" s="21" t="e">
        <f>EXP(-LN(2)/2)*HI105+(1-EXP(-LN(2)/2))/(LN(2)/2)*HC106*HF106*VLOOKUP('Données projet'!$B$18,Paramètres!$A$1:$I$88,3,0)*0.475*44/12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projet'!$B$9,Paramètres!$A$1:$I$88,3,0)*VLOOKUP('Données projet'!$B$9,Paramètres!$A$1:$I$88,5,0)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195.73441209602686</v>
      </c>
      <c r="T107" s="59">
        <f t="shared" si="88"/>
        <v>219.19129224309006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projet'!$B$9,Paramètres!$A$1:$I$88,7,0))</f>
        <v>0</v>
      </c>
      <c r="X107" s="16">
        <f>IF(ISNA(VLOOKUP(A107,'Données projet'!$A$35:$I$55,6,0)),0%,VLOOKUP(A107,'Données projet'!$A$35:$I$55,6,0)*VLOOKUP('Données projet'!$B$9,Paramètres!$A$1:$I$88,7,0))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projet'!$B$9,Paramètres!$A$1:$I$88,3,0)*0.475*44/12</f>
        <v>3.5226776739041039</v>
      </c>
      <c r="AA107" s="21">
        <f>EXP(-LN(2)/25)*AA106+(1-EXP(-LN(2)/25))/(LN(2)/25)*Calculateur!V107*Calculateur!X107*VLOOKUP('Données projet'!$B$9,Paramètres!$A$1:$I$88,3,0)*0.475*44/12</f>
        <v>1.8194593262115248</v>
      </c>
      <c r="AB107" s="21">
        <f>EXP(-LN(2)/2)*AB106+(1-EXP(-LN(2)/2))/(LN(2)/2)*V107*Y107*VLOOKUP('Données projet'!$B$9,Paramètres!$A$1:$I$88,3,0)*0.475*44/12</f>
        <v>2.8865439699110316E-13</v>
      </c>
      <c r="AC107" s="22">
        <f t="shared" si="57"/>
        <v>5.3421370001159172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-4.5474735088646412E-13</v>
      </c>
      <c r="AJ107" s="13">
        <f>AI107*VLOOKUP('Données projet'!$B$10,Paramètres!$A$1:$I$88,3,0)*VLOOKUP('Données projet'!$B$10,Paramètres!$A$1:$I$88,5,0)</f>
        <v>-2.7193891583010558E-13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246.59447135626942</v>
      </c>
      <c r="AO107" s="59">
        <f t="shared" si="90"/>
        <v>262.00382544285367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projet'!$B$10,Paramètres!$A$1:$I$88,7,0))</f>
        <v>0</v>
      </c>
      <c r="AS107" s="16">
        <f>IF(ISNA(VLOOKUP(A107,'Données projet'!$A$61:$I$81,6,0)),0%,VLOOKUP(A107,'Données projet'!$A$61:$I$81,6,0)*VLOOKUP('Données projet'!$B$10,Paramètres!$A$1:$I$88,7,0))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projet'!$B$10,Paramètres!$A$1:$I$88,3,0)*0.475*44/12</f>
        <v>0</v>
      </c>
      <c r="AV107" s="21">
        <f>EXP(-LN(2)/25)*AV106+(1-EXP(-LN(2)/25))/(LN(2)/25)*Calculateur!AQ107*Calculateur!AS107*VLOOKUP('Données projet'!$B$10,Paramètres!$A$1:$I$88,3,0)*0.475*44/12</f>
        <v>1.651313190000635</v>
      </c>
      <c r="AW107" s="21">
        <f>EXP(-LN(2)/2)*AW106+(1-EXP(-LN(2)/2))/(LN(2)/2)*AQ107*AT107*VLOOKUP('Données projet'!$B$10,Paramètres!$A$1:$I$88,3,0)*0.475*44/12</f>
        <v>1.726538166536118E-10</v>
      </c>
      <c r="AX107" s="21">
        <f t="shared" si="60"/>
        <v>1.6513131901732889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-5.6843418860808015E-13</v>
      </c>
      <c r="BE107" s="13">
        <f>BD107*VLOOKUP('Données projet'!$B$11,Paramètres!$A$1:$I$88,3,0)*VLOOKUP('Données projet'!$B$11,Paramètres!$A$1:$I$88,5,0)</f>
        <v>-3.177547114319168E-13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355.96253323046608</v>
      </c>
      <c r="BJ107" s="59">
        <f t="shared" si="92"/>
        <v>366.8380442809696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projet'!$B$11,Paramètres!$A$1:$I$88,7,0))</f>
        <v>0</v>
      </c>
      <c r="BN107" s="16">
        <f>IF(ISNA(VLOOKUP(A107,'Données projet'!$A$87:$I$107,6,0)),0%,VLOOKUP(A107,'Données projet'!$A$87:$I$107,6,0)*VLOOKUP('Données projet'!$B$11,Paramètres!$A$1:$I$88,7,0))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projet'!$B$11,Paramètres!$A$1:$I$88,3,0)*0.475*44/12</f>
        <v>0</v>
      </c>
      <c r="BQ107" s="21">
        <f>EXP(-LN(2)/25)*BQ106+(1-EXP(-LN(2)/25))/(LN(2)/25)*Calculateur!BL107*Calculateur!BN107*VLOOKUP('Données projet'!$B$11,Paramètres!$A$1:$I$88,3,0)*0.475*44/12</f>
        <v>2.923672585617517</v>
      </c>
      <c r="BR107" s="21">
        <f>EXP(-LN(2)/2)*BR106+(1-EXP(-LN(2)/2))/(LN(2)/2)*BL107*BO107*VLOOKUP('Données projet'!$B$11,Paramètres!$A$1:$I$88,3,0)*0.475*44/12</f>
        <v>2.6695093305501845E-10</v>
      </c>
      <c r="BS107" s="22">
        <f t="shared" si="63"/>
        <v>2.9236725858844679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5.6843418860808015E-14</v>
      </c>
      <c r="BZ107" s="13">
        <f>BY107*VLOOKUP('Données projet'!$B$12,Paramètres!$A$1:$I$88,3,0)*VLOOKUP('Données projet'!$B$12,Paramètres!$A$1:$I$88,5,0)</f>
        <v>3.7243808037601412E-14</v>
      </c>
      <c r="CA107" s="13">
        <f t="shared" si="93"/>
        <v>6.2767589361185393E-13</v>
      </c>
      <c r="CB107" s="20">
        <f t="shared" si="64"/>
        <v>1.1580684803728015E-12</v>
      </c>
      <c r="CC107" s="59">
        <f t="shared" si="65"/>
        <v>293.33333333333445</v>
      </c>
      <c r="CD107" s="59">
        <f ca="1">AVERAGE(OFFSET($CC$3,0,0,'Données projet'!$E$12+1,1))-AVERAGE(OFFSET($H$3,0,0,'Données projet'!$E$12+1,1))</f>
        <v>180.90147430936133</v>
      </c>
      <c r="CE107" s="59">
        <f t="shared" si="94"/>
        <v>226.87949199830018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projet'!$B$12,Paramètres!$A$1:$I$88,7,0))</f>
        <v>0</v>
      </c>
      <c r="CI107" s="16">
        <f>IF(ISNA(VLOOKUP(A107,'Données projet'!$A$113:$I$133,6,0)),0%,VLOOKUP(A107,'Données projet'!$A$113:$I$133,6,0)*VLOOKUP('Données projet'!$B$12,Paramètres!$A$1:$I$88,7,0))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projet'!$B$12,Paramètres!$A$1:$I$88,3,0)*0.475*44/12</f>
        <v>0</v>
      </c>
      <c r="CL107" s="21">
        <f>EXP(-LN(2)/25)*CL106+(1-EXP(-LN(2)/25))/(LN(2)/25)*Calculateur!CG107*Calculateur!CI107*VLOOKUP('Données projet'!$B$12,Paramètres!$A$1:$I$88,3,0)*0.475*44/12</f>
        <v>0.88296147516697188</v>
      </c>
      <c r="CM107" s="21">
        <f>EXP(-LN(2)/2)*CM106+(1-EXP(-LN(2)/2))/(LN(2)/2)*CG107*CJ107*VLOOKUP('Données projet'!$B$12,Paramètres!$A$1:$I$88,3,0)*0.475*44/12</f>
        <v>6.4482882249577739E-11</v>
      </c>
      <c r="CN107" s="22">
        <f t="shared" si="66"/>
        <v>0.88296147523145474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5.6843418860808015E-14</v>
      </c>
      <c r="CU107" s="17">
        <f>CT107*VLOOKUP('Données projet'!$B$13,Paramètres!$A$1:$I$88,3,0)*VLOOKUP('Données projet'!$B$13,Paramètres!$A$1:$I$88,5,0)</f>
        <v>2.8908289095852525E-14</v>
      </c>
      <c r="CV107" s="13">
        <f t="shared" si="95"/>
        <v>5.0177780569126974E-13</v>
      </c>
      <c r="CW107" s="20">
        <f t="shared" si="67"/>
        <v>9.2427828175423786E-13</v>
      </c>
      <c r="CX107" s="59">
        <f t="shared" si="68"/>
        <v>293.33333333333422</v>
      </c>
      <c r="CY107" s="59">
        <f ca="1">AVERAGE(OFFSET($CX$3,0,0,'Données projet'!$E$13+1,1))-AVERAGE(OFFSET($H$3,0,0,'Données projet'!$E$13+1,1))</f>
        <v>133.08385802816008</v>
      </c>
      <c r="CZ107" s="59">
        <f t="shared" si="96"/>
        <v>316.59112511251385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projet'!$B$13,Paramètres!$A$1:$I$88,7,0))</f>
        <v>0</v>
      </c>
      <c r="DD107" s="16">
        <f>IF(ISNA(VLOOKUP(A107,'Données projet'!$A$139:$I$159,6,0)),0%,VLOOKUP(A107,'Données projet'!$A$139:$I$159,6,0)*VLOOKUP('Données projet'!$B$13,Paramètres!$A$1:$I$88,7,0))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projet'!$B$13,Paramètres!$A$1:$I$88,3,0)*0.475*44/12</f>
        <v>16.676698834937547</v>
      </c>
      <c r="DG107" s="21">
        <f>EXP(-LN(2)/25)*DG106+(1-EXP(-LN(2)/25))/(LN(2)/25)*Calculateur!DB107*Calculateur!DD107*VLOOKUP('Données projet'!$B$13,Paramètres!$A$1:$I$88,3,0)*0.475*44/12</f>
        <v>0</v>
      </c>
      <c r="DH107" s="21">
        <f>EXP(-LN(2)/2)*DH106+(1-EXP(-LN(2)/2))/(LN(2)/2)*DB107*DE107*VLOOKUP('Données projet'!$B$13,Paramètres!$A$1:$I$88,3,0)*0.475*44/12</f>
        <v>4.1141201629522911E-11</v>
      </c>
      <c r="DI107" s="22">
        <f t="shared" si="69"/>
        <v>16.676698834978687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projet'!$B$14,Paramètres!$A$1:$I$88,3,0)*VLOOKUP('Données projet'!$B$14,Paramètres!$A$1:$I$88,5,0)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projet'!$B$14,Paramètres!$A$1:$I$88,7,0))</f>
        <v>0</v>
      </c>
      <c r="DY107" s="16">
        <f>IF(ISNA(VLOOKUP(A107,'Données projet'!$A$165:$I$185,6,0)),0%,VLOOKUP(A107,'Données projet'!$A$165:$I$185,6,0)*VLOOKUP('Données projet'!$B$14,Paramètres!$A$1:$I$88,7,0))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projet'!$B$14,Paramètres!$A$1:$I$88,3,0)*0.475*44/12</f>
        <v>#N/A</v>
      </c>
      <c r="EB107" s="21" t="e">
        <f>EXP(-LN(2)/25)*EB106+(1-EXP(-LN(2)/25))/(LN(2)/25)*Calculateur!DW107*Calculateur!DY107*VLOOKUP('Données projet'!$B$14,Paramètres!$A$1:$I$88,3,0)*0.475*44/12</f>
        <v>#N/A</v>
      </c>
      <c r="EC107" s="21" t="e">
        <f>EXP(-LN(2)/2)*EC106+(1-EXP(-LN(2)/2))/(LN(2)/2)*DW107*DZ107*VLOOKUP('Données projet'!$B$14,Paramètres!$A$1:$I$88,3,0)*0.475*44/12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projet'!$B$15,Paramètres!$A$1:$I$88,3,0)*VLOOKUP('Données projet'!$B$15,Paramètres!$A$1:$I$88,5,0)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projet'!$B$15,Paramètres!$A$1:$I$88,7,0))</f>
        <v>0</v>
      </c>
      <c r="ET107" s="16">
        <f>IF(ISNA(VLOOKUP(A107,'Données projet'!$A$191:$I$211,6,0)),0%,VLOOKUP(A107,'Données projet'!$A$191:$I$211,6,0)*VLOOKUP('Données projet'!$B$15,Paramètres!$A$1:$I$88,7,0))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projet'!$B$15,Paramètres!$A$1:$I$88,3,0)*0.475*44/12</f>
        <v>#N/A</v>
      </c>
      <c r="EW107" s="21" t="e">
        <f>EXP(-LN(2)/25)*EW106+(1-EXP(-LN(2)/25))/(LN(2)/25)*Calculateur!ER107*Calculateur!ET107*VLOOKUP('Données projet'!$B$15,Paramètres!$A$1:$I$88,3,0)*0.475*44/12</f>
        <v>#N/A</v>
      </c>
      <c r="EX107" s="21" t="e">
        <f>EXP(-LN(2)/2)*EX106+(1-EXP(-LN(2)/2))/(LN(2)/2)*ER107*EU107*VLOOKUP('Données projet'!$B$15,Paramètres!$A$1:$I$88,3,0)*0.475*44/12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projet'!$B$16,Paramètres!$A$1:$I$88,3,0)*VLOOKUP('Données projet'!$B$16,Paramètres!$A$1:$I$88,5,0)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projet'!$B$16,Paramètres!$A$1:$I$88,7,0))</f>
        <v>0</v>
      </c>
      <c r="FO107" s="16">
        <f>IF(ISNA(VLOOKUP(A107,'Données projet'!$A$217:$I$237,6,0)),0%,VLOOKUP(A107,'Données projet'!$A$217:$I$237,6,0)*VLOOKUP('Données projet'!$B$16,Paramètres!$A$1:$I$88,7,0))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projet'!$B$16,Paramètres!$A$1:$I$88,3,0)*0.475*44/12</f>
        <v>#N/A</v>
      </c>
      <c r="FR107" s="21" t="e">
        <f>EXP(-LN(2)/25)*FR106+(1-EXP(-LN(2)/25))/(LN(2)/25)*Calculateur!FM107*Calculateur!FO107*VLOOKUP('Données projet'!$B$16,Paramètres!$A$1:$I$88,3,0)*0.475*44/12</f>
        <v>#N/A</v>
      </c>
      <c r="FS107" s="21" t="e">
        <f>EXP(-LN(2)/2)*FS106+(1-EXP(-LN(2)/2))/(LN(2)/2)*FM107*FP107*VLOOKUP('Données projet'!$B$16,Paramètres!$A$1:$I$88,3,0)*0.475*44/12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projet'!$B$17,Paramètres!$A$1:$I$88,3,0)*VLOOKUP('Données projet'!$B$17,Paramètres!$A$1:$I$88,5,0)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projet'!$B$17,Paramètres!$A$1:$I$88,7,0))</f>
        <v>0</v>
      </c>
      <c r="GJ107" s="16">
        <f>IF(ISNA(VLOOKUP(A107,'Données projet'!$A$243:$I$263,6,0)),0%,VLOOKUP(A107,'Données projet'!$A$243:$I$263,6,0)*VLOOKUP('Données projet'!$B$17,Paramètres!$A$1:$I$88,7,0))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projet'!$B$17,Paramètres!$A$1:$I$88,3,0)*0.475*44/12</f>
        <v>#N/A</v>
      </c>
      <c r="GM107" s="21" t="e">
        <f>EXP(-LN(2)/25)*GM106+(1-EXP(-LN(2)/25))/(LN(2)/25)*Calculateur!GH107*Calculateur!GJ107*VLOOKUP('Données projet'!$B$17,Paramètres!$A$1:$I$88,3,0)*0.475*44/12</f>
        <v>#N/A</v>
      </c>
      <c r="GN107" s="21" t="e">
        <f>EXP(-LN(2)/2)*GN106+(1-EXP(-LN(2)/2))/(LN(2)/2)*GH107*GK107*VLOOKUP('Données projet'!$B$17,Paramètres!$A$1:$I$88,3,0)*0.475*44/12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projet'!$B$18,Paramètres!$A$1:$I$88,3,0)*VLOOKUP('Données projet'!$B$18,Paramètres!$A$1:$I$88,5,0)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projet'!$B$18,Paramètres!$A$1:$I$88,7,0))</f>
        <v>0</v>
      </c>
      <c r="HE107" s="16">
        <f>IF(ISNA(VLOOKUP(A107,'Données projet'!$A$269:$I$289,6,0)),0%,VLOOKUP(A107,'Données projet'!$A$269:$I$289,6,0)*VLOOKUP('Données projet'!$B$18,Paramètres!$A$1:$I$88,7,0))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projet'!$B$18,Paramètres!$A$1:$I$88,3,0)*0.475*44/12</f>
        <v>#N/A</v>
      </c>
      <c r="HH107" s="21" t="e">
        <f>EXP(-LN(2)/25)*HH106+(1-EXP(-LN(2)/25))/(LN(2)/25)*Calculateur!HC107*Calculateur!HE107*VLOOKUP('Données projet'!$B$18,Paramètres!$A$1:$I$88,3,0)*0.475*44/12</f>
        <v>#N/A</v>
      </c>
      <c r="HI107" s="21" t="e">
        <f>EXP(-LN(2)/2)*HI106+(1-EXP(-LN(2)/2))/(LN(2)/2)*HC107*HF107*VLOOKUP('Données projet'!$B$18,Paramètres!$A$1:$I$88,3,0)*0.475*44/12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projet'!$B$9,Paramètres!$A$1:$I$88,3,0)*VLOOKUP('Données projet'!$B$9,Paramètres!$A$1:$I$88,5,0)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195.73441209602686</v>
      </c>
      <c r="T108" s="59">
        <f t="shared" si="88"/>
        <v>219.19129224309006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projet'!$B$9,Paramètres!$A$1:$I$88,7,0))</f>
        <v>0</v>
      </c>
      <c r="X108" s="16">
        <f>IF(ISNA(VLOOKUP(A108,'Données projet'!$A$35:$I$55,6,0)),0%,VLOOKUP(A108,'Données projet'!$A$35:$I$55,6,0)*VLOOKUP('Données projet'!$B$9,Paramètres!$A$1:$I$88,7,0))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projet'!$B$9,Paramètres!$A$1:$I$88,3,0)*0.475*44/12</f>
        <v>3.4536001133400669</v>
      </c>
      <c r="AA108" s="21">
        <f>EXP(-LN(2)/25)*AA107+(1-EXP(-LN(2)/25))/(LN(2)/25)*Calculateur!V108*Calculateur!X108*VLOOKUP('Données projet'!$B$9,Paramètres!$A$1:$I$88,3,0)*0.475*44/12</f>
        <v>1.7697061152550631</v>
      </c>
      <c r="AB108" s="21">
        <f>EXP(-LN(2)/2)*AB107+(1-EXP(-LN(2)/2))/(LN(2)/2)*V108*Y108*VLOOKUP('Données projet'!$B$9,Paramètres!$A$1:$I$88,3,0)*0.475*44/12</f>
        <v>2.0410948153172281E-13</v>
      </c>
      <c r="AC108" s="22">
        <f t="shared" si="57"/>
        <v>5.2233062285953338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-4.5474735088646412E-13</v>
      </c>
      <c r="AJ108" s="13">
        <f>AI108*VLOOKUP('Données projet'!$B$10,Paramètres!$A$1:$I$88,3,0)*VLOOKUP('Données projet'!$B$10,Paramètres!$A$1:$I$88,5,0)</f>
        <v>-2.7193891583010558E-13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246.59447135626942</v>
      </c>
      <c r="AO108" s="59">
        <f t="shared" si="90"/>
        <v>262.00382544285367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projet'!$B$10,Paramètres!$A$1:$I$88,7,0))</f>
        <v>0</v>
      </c>
      <c r="AS108" s="16">
        <f>IF(ISNA(VLOOKUP(A108,'Données projet'!$A$61:$I$81,6,0)),0%,VLOOKUP(A108,'Données projet'!$A$61:$I$81,6,0)*VLOOKUP('Données projet'!$B$10,Paramètres!$A$1:$I$88,7,0))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projet'!$B$10,Paramètres!$A$1:$I$88,3,0)*0.475*44/12</f>
        <v>0</v>
      </c>
      <c r="AV108" s="21">
        <f>EXP(-LN(2)/25)*AV107+(1-EXP(-LN(2)/25))/(LN(2)/25)*Calculateur!AQ108*Calculateur!AS108*VLOOKUP('Données projet'!$B$10,Paramètres!$A$1:$I$88,3,0)*0.475*44/12</f>
        <v>1.6061579439812812</v>
      </c>
      <c r="AW108" s="21">
        <f>EXP(-LN(2)/2)*AW107+(1-EXP(-LN(2)/2))/(LN(2)/2)*AQ108*AT108*VLOOKUP('Données projet'!$B$10,Paramètres!$A$1:$I$88,3,0)*0.475*44/12</f>
        <v>1.2208468455350777E-10</v>
      </c>
      <c r="AX108" s="21">
        <f t="shared" si="60"/>
        <v>1.606157944103366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-5.6843418860808015E-13</v>
      </c>
      <c r="BE108" s="13">
        <f>BD108*VLOOKUP('Données projet'!$B$11,Paramètres!$A$1:$I$88,3,0)*VLOOKUP('Données projet'!$B$11,Paramètres!$A$1:$I$88,5,0)</f>
        <v>-3.177547114319168E-13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355.96253323046608</v>
      </c>
      <c r="BJ108" s="59">
        <f t="shared" si="92"/>
        <v>366.8380442809696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projet'!$B$11,Paramètres!$A$1:$I$88,7,0))</f>
        <v>0</v>
      </c>
      <c r="BN108" s="16">
        <f>IF(ISNA(VLOOKUP(A108,'Données projet'!$A$87:$I$107,6,0)),0%,VLOOKUP(A108,'Données projet'!$A$87:$I$107,6,0)*VLOOKUP('Données projet'!$B$11,Paramètres!$A$1:$I$88,7,0))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projet'!$B$11,Paramètres!$A$1:$I$88,3,0)*0.475*44/12</f>
        <v>0</v>
      </c>
      <c r="BQ108" s="21">
        <f>EXP(-LN(2)/25)*BQ107+(1-EXP(-LN(2)/25))/(LN(2)/25)*Calculateur!BL108*Calculateur!BN108*VLOOKUP('Données projet'!$B$11,Paramètres!$A$1:$I$88,3,0)*0.475*44/12</f>
        <v>2.8437246050145468</v>
      </c>
      <c r="BR108" s="21">
        <f>EXP(-LN(2)/2)*BR107+(1-EXP(-LN(2)/2))/(LN(2)/2)*BL108*BO108*VLOOKUP('Données projet'!$B$11,Paramètres!$A$1:$I$88,3,0)*0.475*44/12</f>
        <v>1.8876281500727963E-10</v>
      </c>
      <c r="BS108" s="22">
        <f t="shared" si="63"/>
        <v>2.8437246052033096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5.6843418860808015E-14</v>
      </c>
      <c r="BZ108" s="13">
        <f>BY108*VLOOKUP('Données projet'!$B$12,Paramètres!$A$1:$I$88,3,0)*VLOOKUP('Données projet'!$B$12,Paramètres!$A$1:$I$88,5,0)</f>
        <v>3.7243808037601412E-14</v>
      </c>
      <c r="CA108" s="13">
        <f t="shared" si="93"/>
        <v>6.2767589361185393E-13</v>
      </c>
      <c r="CB108" s="20">
        <f t="shared" si="64"/>
        <v>1.1580684803728015E-12</v>
      </c>
      <c r="CC108" s="59">
        <f t="shared" si="65"/>
        <v>293.33333333333445</v>
      </c>
      <c r="CD108" s="59">
        <f ca="1">AVERAGE(OFFSET($CC$3,0,0,'Données projet'!$E$12+1,1))-AVERAGE(OFFSET($H$3,0,0,'Données projet'!$E$12+1,1))</f>
        <v>180.90147430936133</v>
      </c>
      <c r="CE108" s="59">
        <f t="shared" si="94"/>
        <v>226.87949199830018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projet'!$B$12,Paramètres!$A$1:$I$88,7,0))</f>
        <v>0</v>
      </c>
      <c r="CI108" s="16">
        <f>IF(ISNA(VLOOKUP(A108,'Données projet'!$A$113:$I$133,6,0)),0%,VLOOKUP(A108,'Données projet'!$A$113:$I$133,6,0)*VLOOKUP('Données projet'!$B$12,Paramètres!$A$1:$I$88,7,0))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projet'!$B$12,Paramètres!$A$1:$I$88,3,0)*0.475*44/12</f>
        <v>0</v>
      </c>
      <c r="CL108" s="21">
        <f>EXP(-LN(2)/25)*CL107+(1-EXP(-LN(2)/25))/(LN(2)/25)*Calculateur!CG108*Calculateur!CI108*VLOOKUP('Données projet'!$B$12,Paramètres!$A$1:$I$88,3,0)*0.475*44/12</f>
        <v>0.85881684719560514</v>
      </c>
      <c r="CM108" s="21">
        <f>EXP(-LN(2)/2)*CM107+(1-EXP(-LN(2)/2))/(LN(2)/2)*CG108*CJ108*VLOOKUP('Données projet'!$B$12,Paramètres!$A$1:$I$88,3,0)*0.475*44/12</f>
        <v>4.5596283309130077E-11</v>
      </c>
      <c r="CN108" s="22">
        <f t="shared" si="66"/>
        <v>0.85881684724120144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5.6843418860808015E-14</v>
      </c>
      <c r="CU108" s="17">
        <f>CT108*VLOOKUP('Données projet'!$B$13,Paramètres!$A$1:$I$88,3,0)*VLOOKUP('Données projet'!$B$13,Paramètres!$A$1:$I$88,5,0)</f>
        <v>2.8908289095852525E-14</v>
      </c>
      <c r="CV108" s="13">
        <f t="shared" si="95"/>
        <v>5.0177780569126974E-13</v>
      </c>
      <c r="CW108" s="20">
        <f t="shared" si="67"/>
        <v>9.2427828175423786E-13</v>
      </c>
      <c r="CX108" s="59">
        <f t="shared" si="68"/>
        <v>293.33333333333422</v>
      </c>
      <c r="CY108" s="59">
        <f ca="1">AVERAGE(OFFSET($CX$3,0,0,'Données projet'!$E$13+1,1))-AVERAGE(OFFSET($H$3,0,0,'Données projet'!$E$13+1,1))</f>
        <v>133.08385802816008</v>
      </c>
      <c r="CZ108" s="59">
        <f t="shared" si="96"/>
        <v>316.59112511251385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projet'!$B$13,Paramètres!$A$1:$I$88,7,0))</f>
        <v>0</v>
      </c>
      <c r="DD108" s="16">
        <f>IF(ISNA(VLOOKUP(A108,'Données projet'!$A$139:$I$159,6,0)),0%,VLOOKUP(A108,'Données projet'!$A$139:$I$159,6,0)*VLOOKUP('Données projet'!$B$13,Paramètres!$A$1:$I$88,7,0))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projet'!$B$13,Paramètres!$A$1:$I$88,3,0)*0.475*44/12</f>
        <v>16.349678942566332</v>
      </c>
      <c r="DG108" s="21">
        <f>EXP(-LN(2)/25)*DG107+(1-EXP(-LN(2)/25))/(LN(2)/25)*Calculateur!DB108*Calculateur!DD108*VLOOKUP('Données projet'!$B$13,Paramètres!$A$1:$I$88,3,0)*0.475*44/12</f>
        <v>0</v>
      </c>
      <c r="DH108" s="21">
        <f>EXP(-LN(2)/2)*DH107+(1-EXP(-LN(2)/2))/(LN(2)/2)*DB108*DE108*VLOOKUP('Données projet'!$B$13,Paramètres!$A$1:$I$88,3,0)*0.475*44/12</f>
        <v>2.9091222658398691E-11</v>
      </c>
      <c r="DI108" s="22">
        <f t="shared" si="69"/>
        <v>16.349678942595421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projet'!$B$14,Paramètres!$A$1:$I$88,3,0)*VLOOKUP('Données projet'!$B$14,Paramètres!$A$1:$I$88,5,0)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projet'!$B$14,Paramètres!$A$1:$I$88,7,0))</f>
        <v>0</v>
      </c>
      <c r="DY108" s="16">
        <f>IF(ISNA(VLOOKUP(A108,'Données projet'!$A$165:$I$185,6,0)),0%,VLOOKUP(A108,'Données projet'!$A$165:$I$185,6,0)*VLOOKUP('Données projet'!$B$14,Paramètres!$A$1:$I$88,7,0))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projet'!$B$14,Paramètres!$A$1:$I$88,3,0)*0.475*44/12</f>
        <v>#N/A</v>
      </c>
      <c r="EB108" s="21" t="e">
        <f>EXP(-LN(2)/25)*EB107+(1-EXP(-LN(2)/25))/(LN(2)/25)*Calculateur!DW108*Calculateur!DY108*VLOOKUP('Données projet'!$B$14,Paramètres!$A$1:$I$88,3,0)*0.475*44/12</f>
        <v>#N/A</v>
      </c>
      <c r="EC108" s="21" t="e">
        <f>EXP(-LN(2)/2)*EC107+(1-EXP(-LN(2)/2))/(LN(2)/2)*DW108*DZ108*VLOOKUP('Données projet'!$B$14,Paramètres!$A$1:$I$88,3,0)*0.475*44/12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projet'!$B$15,Paramètres!$A$1:$I$88,3,0)*VLOOKUP('Données projet'!$B$15,Paramètres!$A$1:$I$88,5,0)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projet'!$B$15,Paramètres!$A$1:$I$88,7,0))</f>
        <v>0</v>
      </c>
      <c r="ET108" s="16">
        <f>IF(ISNA(VLOOKUP(A108,'Données projet'!$A$191:$I$211,6,0)),0%,VLOOKUP(A108,'Données projet'!$A$191:$I$211,6,0)*VLOOKUP('Données projet'!$B$15,Paramètres!$A$1:$I$88,7,0))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projet'!$B$15,Paramètres!$A$1:$I$88,3,0)*0.475*44/12</f>
        <v>#N/A</v>
      </c>
      <c r="EW108" s="21" t="e">
        <f>EXP(-LN(2)/25)*EW107+(1-EXP(-LN(2)/25))/(LN(2)/25)*Calculateur!ER108*Calculateur!ET108*VLOOKUP('Données projet'!$B$15,Paramètres!$A$1:$I$88,3,0)*0.475*44/12</f>
        <v>#N/A</v>
      </c>
      <c r="EX108" s="21" t="e">
        <f>EXP(-LN(2)/2)*EX107+(1-EXP(-LN(2)/2))/(LN(2)/2)*ER108*EU108*VLOOKUP('Données projet'!$B$15,Paramètres!$A$1:$I$88,3,0)*0.475*44/12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projet'!$B$16,Paramètres!$A$1:$I$88,3,0)*VLOOKUP('Données projet'!$B$16,Paramètres!$A$1:$I$88,5,0)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projet'!$B$16,Paramètres!$A$1:$I$88,7,0))</f>
        <v>0</v>
      </c>
      <c r="FO108" s="16">
        <f>IF(ISNA(VLOOKUP(A108,'Données projet'!$A$217:$I$237,6,0)),0%,VLOOKUP(A108,'Données projet'!$A$217:$I$237,6,0)*VLOOKUP('Données projet'!$B$16,Paramètres!$A$1:$I$88,7,0))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projet'!$B$16,Paramètres!$A$1:$I$88,3,0)*0.475*44/12</f>
        <v>#N/A</v>
      </c>
      <c r="FR108" s="21" t="e">
        <f>EXP(-LN(2)/25)*FR107+(1-EXP(-LN(2)/25))/(LN(2)/25)*Calculateur!FM108*Calculateur!FO108*VLOOKUP('Données projet'!$B$16,Paramètres!$A$1:$I$88,3,0)*0.475*44/12</f>
        <v>#N/A</v>
      </c>
      <c r="FS108" s="21" t="e">
        <f>EXP(-LN(2)/2)*FS107+(1-EXP(-LN(2)/2))/(LN(2)/2)*FM108*FP108*VLOOKUP('Données projet'!$B$16,Paramètres!$A$1:$I$88,3,0)*0.475*44/12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projet'!$B$17,Paramètres!$A$1:$I$88,3,0)*VLOOKUP('Données projet'!$B$17,Paramètres!$A$1:$I$88,5,0)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projet'!$B$17,Paramètres!$A$1:$I$88,7,0))</f>
        <v>0</v>
      </c>
      <c r="GJ108" s="16">
        <f>IF(ISNA(VLOOKUP(A108,'Données projet'!$A$243:$I$263,6,0)),0%,VLOOKUP(A108,'Données projet'!$A$243:$I$263,6,0)*VLOOKUP('Données projet'!$B$17,Paramètres!$A$1:$I$88,7,0))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projet'!$B$17,Paramètres!$A$1:$I$88,3,0)*0.475*44/12</f>
        <v>#N/A</v>
      </c>
      <c r="GM108" s="21" t="e">
        <f>EXP(-LN(2)/25)*GM107+(1-EXP(-LN(2)/25))/(LN(2)/25)*Calculateur!GH108*Calculateur!GJ108*VLOOKUP('Données projet'!$B$17,Paramètres!$A$1:$I$88,3,0)*0.475*44/12</f>
        <v>#N/A</v>
      </c>
      <c r="GN108" s="21" t="e">
        <f>EXP(-LN(2)/2)*GN107+(1-EXP(-LN(2)/2))/(LN(2)/2)*GH108*GK108*VLOOKUP('Données projet'!$B$17,Paramètres!$A$1:$I$88,3,0)*0.475*44/12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projet'!$B$18,Paramètres!$A$1:$I$88,3,0)*VLOOKUP('Données projet'!$B$18,Paramètres!$A$1:$I$88,5,0)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projet'!$B$18,Paramètres!$A$1:$I$88,7,0))</f>
        <v>0</v>
      </c>
      <c r="HE108" s="16">
        <f>IF(ISNA(VLOOKUP(A108,'Données projet'!$A$269:$I$289,6,0)),0%,VLOOKUP(A108,'Données projet'!$A$269:$I$289,6,0)*VLOOKUP('Données projet'!$B$18,Paramètres!$A$1:$I$88,7,0))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projet'!$B$18,Paramètres!$A$1:$I$88,3,0)*0.475*44/12</f>
        <v>#N/A</v>
      </c>
      <c r="HH108" s="21" t="e">
        <f>EXP(-LN(2)/25)*HH107+(1-EXP(-LN(2)/25))/(LN(2)/25)*Calculateur!HC108*Calculateur!HE108*VLOOKUP('Données projet'!$B$18,Paramètres!$A$1:$I$88,3,0)*0.475*44/12</f>
        <v>#N/A</v>
      </c>
      <c r="HI108" s="21" t="e">
        <f>EXP(-LN(2)/2)*HI107+(1-EXP(-LN(2)/2))/(LN(2)/2)*HC108*HF108*VLOOKUP('Données projet'!$B$18,Paramètres!$A$1:$I$88,3,0)*0.475*44/12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projet'!$B$9,Paramètres!$A$1:$I$88,3,0)*VLOOKUP('Données projet'!$B$9,Paramètres!$A$1:$I$88,5,0)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195.73441209602686</v>
      </c>
      <c r="T109" s="59">
        <f t="shared" si="88"/>
        <v>219.19129224309006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projet'!$B$9,Paramètres!$A$1:$I$88,7,0))</f>
        <v>0</v>
      </c>
      <c r="X109" s="16">
        <f>IF(ISNA(VLOOKUP(A109,'Données projet'!$A$35:$I$55,6,0)),0%,VLOOKUP(A109,'Données projet'!$A$35:$I$55,6,0)*VLOOKUP('Données projet'!$B$9,Paramètres!$A$1:$I$88,7,0))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projet'!$B$9,Paramètres!$A$1:$I$88,3,0)*0.475*44/12</f>
        <v>3.3858771216055388</v>
      </c>
      <c r="AA109" s="21">
        <f>EXP(-LN(2)/25)*AA108+(1-EXP(-LN(2)/25))/(LN(2)/25)*Calculateur!V109*Calculateur!X109*VLOOKUP('Données projet'!$B$9,Paramètres!$A$1:$I$88,3,0)*0.475*44/12</f>
        <v>1.7213134084686135</v>
      </c>
      <c r="AB109" s="21">
        <f>EXP(-LN(2)/2)*AB108+(1-EXP(-LN(2)/2))/(LN(2)/2)*V109*Y109*VLOOKUP('Données projet'!$B$9,Paramètres!$A$1:$I$88,3,0)*0.475*44/12</f>
        <v>1.4432719849555158E-13</v>
      </c>
      <c r="AC109" s="22">
        <f t="shared" si="57"/>
        <v>5.1071905300742966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-4.5474735088646412E-13</v>
      </c>
      <c r="AJ109" s="13">
        <f>AI109*VLOOKUP('Données projet'!$B$10,Paramètres!$A$1:$I$88,3,0)*VLOOKUP('Données projet'!$B$10,Paramètres!$A$1:$I$88,5,0)</f>
        <v>-2.7193891583010558E-13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246.59447135626942</v>
      </c>
      <c r="AO109" s="59">
        <f t="shared" si="90"/>
        <v>262.00382544285367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projet'!$B$10,Paramètres!$A$1:$I$88,7,0))</f>
        <v>0</v>
      </c>
      <c r="AS109" s="16">
        <f>IF(ISNA(VLOOKUP(A109,'Données projet'!$A$61:$I$81,6,0)),0%,VLOOKUP(A109,'Données projet'!$A$61:$I$81,6,0)*VLOOKUP('Données projet'!$B$10,Paramètres!$A$1:$I$88,7,0))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projet'!$B$10,Paramètres!$A$1:$I$88,3,0)*0.475*44/12</f>
        <v>0</v>
      </c>
      <c r="AV109" s="21">
        <f>EXP(-LN(2)/25)*AV108+(1-EXP(-LN(2)/25))/(LN(2)/25)*Calculateur!AQ109*Calculateur!AS109*VLOOKUP('Données projet'!$B$10,Paramètres!$A$1:$I$88,3,0)*0.475*44/12</f>
        <v>1.5622374705389377</v>
      </c>
      <c r="AW109" s="21">
        <f>EXP(-LN(2)/2)*AW108+(1-EXP(-LN(2)/2))/(LN(2)/2)*AQ109*AT109*VLOOKUP('Données projet'!$B$10,Paramètres!$A$1:$I$88,3,0)*0.475*44/12</f>
        <v>8.6326908326805902E-11</v>
      </c>
      <c r="AX109" s="21">
        <f t="shared" si="60"/>
        <v>1.5622374706252646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-5.6843418860808015E-13</v>
      </c>
      <c r="BE109" s="13">
        <f>BD109*VLOOKUP('Données projet'!$B$11,Paramètres!$A$1:$I$88,3,0)*VLOOKUP('Données projet'!$B$11,Paramètres!$A$1:$I$88,5,0)</f>
        <v>-3.177547114319168E-13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355.96253323046608</v>
      </c>
      <c r="BJ109" s="59">
        <f t="shared" si="92"/>
        <v>366.8380442809696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projet'!$B$11,Paramètres!$A$1:$I$88,7,0))</f>
        <v>0</v>
      </c>
      <c r="BN109" s="16">
        <f>IF(ISNA(VLOOKUP(A109,'Données projet'!$A$87:$I$107,6,0)),0%,VLOOKUP(A109,'Données projet'!$A$87:$I$107,6,0)*VLOOKUP('Données projet'!$B$11,Paramètres!$A$1:$I$88,7,0))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projet'!$B$11,Paramètres!$A$1:$I$88,3,0)*0.475*44/12</f>
        <v>0</v>
      </c>
      <c r="BQ109" s="21">
        <f>EXP(-LN(2)/25)*BQ108+(1-EXP(-LN(2)/25))/(LN(2)/25)*Calculateur!BL109*Calculateur!BN109*VLOOKUP('Données projet'!$B$11,Paramètres!$A$1:$I$88,3,0)*0.475*44/12</f>
        <v>2.7659628061454464</v>
      </c>
      <c r="BR109" s="21">
        <f>EXP(-LN(2)/2)*BR108+(1-EXP(-LN(2)/2))/(LN(2)/2)*BL109*BO109*VLOOKUP('Données projet'!$B$11,Paramètres!$A$1:$I$88,3,0)*0.475*44/12</f>
        <v>1.3347546652750923E-10</v>
      </c>
      <c r="BS109" s="22">
        <f t="shared" si="63"/>
        <v>2.7659628062789219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5.6843418860808015E-14</v>
      </c>
      <c r="BZ109" s="13">
        <f>BY109*VLOOKUP('Données projet'!$B$12,Paramètres!$A$1:$I$88,3,0)*VLOOKUP('Données projet'!$B$12,Paramètres!$A$1:$I$88,5,0)</f>
        <v>3.7243808037601412E-14</v>
      </c>
      <c r="CA109" s="13">
        <f t="shared" si="93"/>
        <v>6.2767589361185393E-13</v>
      </c>
      <c r="CB109" s="20">
        <f t="shared" si="64"/>
        <v>1.1580684803728015E-12</v>
      </c>
      <c r="CC109" s="59">
        <f t="shared" si="65"/>
        <v>293.33333333333445</v>
      </c>
      <c r="CD109" s="59">
        <f ca="1">AVERAGE(OFFSET($CC$3,0,0,'Données projet'!$E$12+1,1))-AVERAGE(OFFSET($H$3,0,0,'Données projet'!$E$12+1,1))</f>
        <v>180.90147430936133</v>
      </c>
      <c r="CE109" s="59">
        <f t="shared" si="94"/>
        <v>226.87949199830018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projet'!$B$12,Paramètres!$A$1:$I$88,7,0))</f>
        <v>0</v>
      </c>
      <c r="CI109" s="16">
        <f>IF(ISNA(VLOOKUP(A109,'Données projet'!$A$113:$I$133,6,0)),0%,VLOOKUP(A109,'Données projet'!$A$113:$I$133,6,0)*VLOOKUP('Données projet'!$B$12,Paramètres!$A$1:$I$88,7,0))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projet'!$B$12,Paramètres!$A$1:$I$88,3,0)*0.475*44/12</f>
        <v>0</v>
      </c>
      <c r="CL109" s="21">
        <f>EXP(-LN(2)/25)*CL108+(1-EXP(-LN(2)/25))/(LN(2)/25)*Calculateur!CG109*Calculateur!CI109*VLOOKUP('Données projet'!$B$12,Paramètres!$A$1:$I$88,3,0)*0.475*44/12</f>
        <v>0.83533245534582612</v>
      </c>
      <c r="CM109" s="21">
        <f>EXP(-LN(2)/2)*CM108+(1-EXP(-LN(2)/2))/(LN(2)/2)*CG109*CJ109*VLOOKUP('Données projet'!$B$12,Paramètres!$A$1:$I$88,3,0)*0.475*44/12</f>
        <v>3.2241441124788869E-11</v>
      </c>
      <c r="CN109" s="22">
        <f t="shared" si="66"/>
        <v>0.83533245537806755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5.6843418860808015E-14</v>
      </c>
      <c r="CU109" s="17">
        <f>CT109*VLOOKUP('Données projet'!$B$13,Paramètres!$A$1:$I$88,3,0)*VLOOKUP('Données projet'!$B$13,Paramètres!$A$1:$I$88,5,0)</f>
        <v>2.8908289095852525E-14</v>
      </c>
      <c r="CV109" s="13">
        <f t="shared" si="95"/>
        <v>5.0177780569126974E-13</v>
      </c>
      <c r="CW109" s="20">
        <f t="shared" si="67"/>
        <v>9.2427828175423786E-13</v>
      </c>
      <c r="CX109" s="59">
        <f t="shared" si="68"/>
        <v>293.33333333333422</v>
      </c>
      <c r="CY109" s="59">
        <f ca="1">AVERAGE(OFFSET($CX$3,0,0,'Données projet'!$E$13+1,1))-AVERAGE(OFFSET($H$3,0,0,'Données projet'!$E$13+1,1))</f>
        <v>133.08385802816008</v>
      </c>
      <c r="CZ109" s="59">
        <f t="shared" si="96"/>
        <v>316.59112511251385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projet'!$B$13,Paramètres!$A$1:$I$88,7,0))</f>
        <v>0</v>
      </c>
      <c r="DD109" s="16">
        <f>IF(ISNA(VLOOKUP(A109,'Données projet'!$A$139:$I$159,6,0)),0%,VLOOKUP(A109,'Données projet'!$A$139:$I$159,6,0)*VLOOKUP('Données projet'!$B$13,Paramètres!$A$1:$I$88,7,0))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projet'!$B$13,Paramètres!$A$1:$I$88,3,0)*0.475*44/12</f>
        <v>16.029071710822077</v>
      </c>
      <c r="DG109" s="21">
        <f>EXP(-LN(2)/25)*DG108+(1-EXP(-LN(2)/25))/(LN(2)/25)*Calculateur!DB109*Calculateur!DD109*VLOOKUP('Données projet'!$B$13,Paramètres!$A$1:$I$88,3,0)*0.475*44/12</f>
        <v>0</v>
      </c>
      <c r="DH109" s="21">
        <f>EXP(-LN(2)/2)*DH108+(1-EXP(-LN(2)/2))/(LN(2)/2)*DB109*DE109*VLOOKUP('Données projet'!$B$13,Paramètres!$A$1:$I$88,3,0)*0.475*44/12</f>
        <v>2.0570600814761459E-11</v>
      </c>
      <c r="DI109" s="22">
        <f t="shared" si="69"/>
        <v>16.029071710842647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projet'!$B$14,Paramètres!$A$1:$I$88,3,0)*VLOOKUP('Données projet'!$B$14,Paramètres!$A$1:$I$88,5,0)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projet'!$B$14,Paramètres!$A$1:$I$88,7,0))</f>
        <v>0</v>
      </c>
      <c r="DY109" s="16">
        <f>IF(ISNA(VLOOKUP(A109,'Données projet'!$A$165:$I$185,6,0)),0%,VLOOKUP(A109,'Données projet'!$A$165:$I$185,6,0)*VLOOKUP('Données projet'!$B$14,Paramètres!$A$1:$I$88,7,0))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projet'!$B$14,Paramètres!$A$1:$I$88,3,0)*0.475*44/12</f>
        <v>#N/A</v>
      </c>
      <c r="EB109" s="21" t="e">
        <f>EXP(-LN(2)/25)*EB108+(1-EXP(-LN(2)/25))/(LN(2)/25)*Calculateur!DW109*Calculateur!DY109*VLOOKUP('Données projet'!$B$14,Paramètres!$A$1:$I$88,3,0)*0.475*44/12</f>
        <v>#N/A</v>
      </c>
      <c r="EC109" s="21" t="e">
        <f>EXP(-LN(2)/2)*EC108+(1-EXP(-LN(2)/2))/(LN(2)/2)*DW109*DZ109*VLOOKUP('Données projet'!$B$14,Paramètres!$A$1:$I$88,3,0)*0.475*44/12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projet'!$B$15,Paramètres!$A$1:$I$88,3,0)*VLOOKUP('Données projet'!$B$15,Paramètres!$A$1:$I$88,5,0)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projet'!$B$15,Paramètres!$A$1:$I$88,7,0))</f>
        <v>0</v>
      </c>
      <c r="ET109" s="16">
        <f>IF(ISNA(VLOOKUP(A109,'Données projet'!$A$191:$I$211,6,0)),0%,VLOOKUP(A109,'Données projet'!$A$191:$I$211,6,0)*VLOOKUP('Données projet'!$B$15,Paramètres!$A$1:$I$88,7,0))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projet'!$B$15,Paramètres!$A$1:$I$88,3,0)*0.475*44/12</f>
        <v>#N/A</v>
      </c>
      <c r="EW109" s="21" t="e">
        <f>EXP(-LN(2)/25)*EW108+(1-EXP(-LN(2)/25))/(LN(2)/25)*Calculateur!ER109*Calculateur!ET109*VLOOKUP('Données projet'!$B$15,Paramètres!$A$1:$I$88,3,0)*0.475*44/12</f>
        <v>#N/A</v>
      </c>
      <c r="EX109" s="21" t="e">
        <f>EXP(-LN(2)/2)*EX108+(1-EXP(-LN(2)/2))/(LN(2)/2)*ER109*EU109*VLOOKUP('Données projet'!$B$15,Paramètres!$A$1:$I$88,3,0)*0.475*44/12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projet'!$B$16,Paramètres!$A$1:$I$88,3,0)*VLOOKUP('Données projet'!$B$16,Paramètres!$A$1:$I$88,5,0)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projet'!$B$16,Paramètres!$A$1:$I$88,7,0))</f>
        <v>0</v>
      </c>
      <c r="FO109" s="16">
        <f>IF(ISNA(VLOOKUP(A109,'Données projet'!$A$217:$I$237,6,0)),0%,VLOOKUP(A109,'Données projet'!$A$217:$I$237,6,0)*VLOOKUP('Données projet'!$B$16,Paramètres!$A$1:$I$88,7,0))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projet'!$B$16,Paramètres!$A$1:$I$88,3,0)*0.475*44/12</f>
        <v>#N/A</v>
      </c>
      <c r="FR109" s="21" t="e">
        <f>EXP(-LN(2)/25)*FR108+(1-EXP(-LN(2)/25))/(LN(2)/25)*Calculateur!FM109*Calculateur!FO109*VLOOKUP('Données projet'!$B$16,Paramètres!$A$1:$I$88,3,0)*0.475*44/12</f>
        <v>#N/A</v>
      </c>
      <c r="FS109" s="21" t="e">
        <f>EXP(-LN(2)/2)*FS108+(1-EXP(-LN(2)/2))/(LN(2)/2)*FM109*FP109*VLOOKUP('Données projet'!$B$16,Paramètres!$A$1:$I$88,3,0)*0.475*44/12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projet'!$B$17,Paramètres!$A$1:$I$88,3,0)*VLOOKUP('Données projet'!$B$17,Paramètres!$A$1:$I$88,5,0)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projet'!$B$17,Paramètres!$A$1:$I$88,7,0))</f>
        <v>0</v>
      </c>
      <c r="GJ109" s="16">
        <f>IF(ISNA(VLOOKUP(A109,'Données projet'!$A$243:$I$263,6,0)),0%,VLOOKUP(A109,'Données projet'!$A$243:$I$263,6,0)*VLOOKUP('Données projet'!$B$17,Paramètres!$A$1:$I$88,7,0))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projet'!$B$17,Paramètres!$A$1:$I$88,3,0)*0.475*44/12</f>
        <v>#N/A</v>
      </c>
      <c r="GM109" s="21" t="e">
        <f>EXP(-LN(2)/25)*GM108+(1-EXP(-LN(2)/25))/(LN(2)/25)*Calculateur!GH109*Calculateur!GJ109*VLOOKUP('Données projet'!$B$17,Paramètres!$A$1:$I$88,3,0)*0.475*44/12</f>
        <v>#N/A</v>
      </c>
      <c r="GN109" s="21" t="e">
        <f>EXP(-LN(2)/2)*GN108+(1-EXP(-LN(2)/2))/(LN(2)/2)*GH109*GK109*VLOOKUP('Données projet'!$B$17,Paramètres!$A$1:$I$88,3,0)*0.475*44/12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projet'!$B$18,Paramètres!$A$1:$I$88,3,0)*VLOOKUP('Données projet'!$B$18,Paramètres!$A$1:$I$88,5,0)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projet'!$B$18,Paramètres!$A$1:$I$88,7,0))</f>
        <v>0</v>
      </c>
      <c r="HE109" s="16">
        <f>IF(ISNA(VLOOKUP(A109,'Données projet'!$A$269:$I$289,6,0)),0%,VLOOKUP(A109,'Données projet'!$A$269:$I$289,6,0)*VLOOKUP('Données projet'!$B$18,Paramètres!$A$1:$I$88,7,0))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projet'!$B$18,Paramètres!$A$1:$I$88,3,0)*0.475*44/12</f>
        <v>#N/A</v>
      </c>
      <c r="HH109" s="21" t="e">
        <f>EXP(-LN(2)/25)*HH108+(1-EXP(-LN(2)/25))/(LN(2)/25)*Calculateur!HC109*Calculateur!HE109*VLOOKUP('Données projet'!$B$18,Paramètres!$A$1:$I$88,3,0)*0.475*44/12</f>
        <v>#N/A</v>
      </c>
      <c r="HI109" s="21" t="e">
        <f>EXP(-LN(2)/2)*HI108+(1-EXP(-LN(2)/2))/(LN(2)/2)*HC109*HF109*VLOOKUP('Données projet'!$B$18,Paramètres!$A$1:$I$88,3,0)*0.475*44/12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projet'!$B$9,Paramètres!$A$1:$I$88,3,0)*VLOOKUP('Données projet'!$B$9,Paramètres!$A$1:$I$88,5,0)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195.73441209602686</v>
      </c>
      <c r="T110" s="59">
        <f t="shared" si="88"/>
        <v>219.19129224309006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projet'!$B$9,Paramètres!$A$1:$I$88,7,0))</f>
        <v>0</v>
      </c>
      <c r="X110" s="16">
        <f>IF(ISNA(VLOOKUP(A110,'Données projet'!$A$35:$I$55,6,0)),0%,VLOOKUP(A110,'Données projet'!$A$35:$I$55,6,0)*VLOOKUP('Données projet'!$B$9,Paramètres!$A$1:$I$88,7,0))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projet'!$B$9,Paramètres!$A$1:$I$88,3,0)*0.475*44/12</f>
        <v>3.3194821364319784</v>
      </c>
      <c r="AA110" s="21">
        <f>EXP(-LN(2)/25)*AA109+(1-EXP(-LN(2)/25))/(LN(2)/25)*Calculateur!V110*Calculateur!X110*VLOOKUP('Données projet'!$B$9,Paramètres!$A$1:$I$88,3,0)*0.475*44/12</f>
        <v>1.6742440027941012</v>
      </c>
      <c r="AB110" s="21">
        <f>EXP(-LN(2)/2)*AB109+(1-EXP(-LN(2)/2))/(LN(2)/2)*V110*Y110*VLOOKUP('Données projet'!$B$9,Paramètres!$A$1:$I$88,3,0)*0.475*44/12</f>
        <v>1.020547407658614E-13</v>
      </c>
      <c r="AC110" s="22">
        <f t="shared" si="57"/>
        <v>4.9937261392261822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-4.5474735088646412E-13</v>
      </c>
      <c r="AJ110" s="13">
        <f>AI110*VLOOKUP('Données projet'!$B$10,Paramètres!$A$1:$I$88,3,0)*VLOOKUP('Données projet'!$B$10,Paramètres!$A$1:$I$88,5,0)</f>
        <v>-2.7193891583010558E-13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246.59447135626942</v>
      </c>
      <c r="AO110" s="59">
        <f t="shared" si="90"/>
        <v>262.00382544285367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projet'!$B$10,Paramètres!$A$1:$I$88,7,0))</f>
        <v>0</v>
      </c>
      <c r="AS110" s="16">
        <f>IF(ISNA(VLOOKUP(A110,'Données projet'!$A$61:$I$81,6,0)),0%,VLOOKUP(A110,'Données projet'!$A$61:$I$81,6,0)*VLOOKUP('Données projet'!$B$10,Paramètres!$A$1:$I$88,7,0))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projet'!$B$10,Paramètres!$A$1:$I$88,3,0)*0.475*44/12</f>
        <v>0</v>
      </c>
      <c r="AV110" s="21">
        <f>EXP(-LN(2)/25)*AV109+(1-EXP(-LN(2)/25))/(LN(2)/25)*Calculateur!AQ110*Calculateur!AS110*VLOOKUP('Données projet'!$B$10,Paramètres!$A$1:$I$88,3,0)*0.475*44/12</f>
        <v>1.5195180047525525</v>
      </c>
      <c r="AW110" s="21">
        <f>EXP(-LN(2)/2)*AW109+(1-EXP(-LN(2)/2))/(LN(2)/2)*AQ110*AT110*VLOOKUP('Données projet'!$B$10,Paramètres!$A$1:$I$88,3,0)*0.475*44/12</f>
        <v>6.1042342276753887E-11</v>
      </c>
      <c r="AX110" s="21">
        <f t="shared" si="60"/>
        <v>1.5195180048135948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-5.6843418860808015E-13</v>
      </c>
      <c r="BE110" s="13">
        <f>BD110*VLOOKUP('Données projet'!$B$11,Paramètres!$A$1:$I$88,3,0)*VLOOKUP('Données projet'!$B$11,Paramètres!$A$1:$I$88,5,0)</f>
        <v>-3.177547114319168E-13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355.96253323046608</v>
      </c>
      <c r="BJ110" s="59">
        <f t="shared" si="92"/>
        <v>366.8380442809696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projet'!$B$11,Paramètres!$A$1:$I$88,7,0))</f>
        <v>0</v>
      </c>
      <c r="BN110" s="16">
        <f>IF(ISNA(VLOOKUP(A110,'Données projet'!$A$87:$I$107,6,0)),0%,VLOOKUP(A110,'Données projet'!$A$87:$I$107,6,0)*VLOOKUP('Données projet'!$B$11,Paramètres!$A$1:$I$88,7,0))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projet'!$B$11,Paramètres!$A$1:$I$88,3,0)*0.475*44/12</f>
        <v>0</v>
      </c>
      <c r="BQ110" s="21">
        <f>EXP(-LN(2)/25)*BQ109+(1-EXP(-LN(2)/25))/(LN(2)/25)*Calculateur!BL110*Calculateur!BN110*VLOOKUP('Données projet'!$B$11,Paramètres!$A$1:$I$88,3,0)*0.475*44/12</f>
        <v>2.6903274077557371</v>
      </c>
      <c r="BR110" s="21">
        <f>EXP(-LN(2)/2)*BR109+(1-EXP(-LN(2)/2))/(LN(2)/2)*BL110*BO110*VLOOKUP('Données projet'!$B$11,Paramètres!$A$1:$I$88,3,0)*0.475*44/12</f>
        <v>9.4381407503639817E-11</v>
      </c>
      <c r="BS110" s="22">
        <f t="shared" si="63"/>
        <v>2.6903274078501185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>
        <f>BY110*VLOOKUP('Données projet'!$B$12,Paramètres!$A$1:$I$88,3,0)*VLOOKUP('Données projet'!$B$12,Paramètres!$A$1:$I$88,5,0)</f>
        <v>3.7243808037601412E-14</v>
      </c>
      <c r="CA110" s="13">
        <f t="shared" si="93"/>
        <v>6.2767589361185393E-13</v>
      </c>
      <c r="CB110" s="20">
        <f t="shared" si="64"/>
        <v>1.1580684803728015E-12</v>
      </c>
      <c r="CC110" s="59">
        <f t="shared" si="65"/>
        <v>293.33333333333445</v>
      </c>
      <c r="CD110" s="59">
        <f ca="1">AVERAGE(OFFSET($CC$3,0,0,'Données projet'!$E$12+1,1))-AVERAGE(OFFSET($H$3,0,0,'Données projet'!$E$12+1,1))</f>
        <v>180.90147430936133</v>
      </c>
      <c r="CE110" s="59">
        <f t="shared" si="94"/>
        <v>226.87949199830018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projet'!$B$12,Paramètres!$A$1:$I$88,7,0))</f>
        <v>0</v>
      </c>
      <c r="CI110" s="16">
        <f>IF(ISNA(VLOOKUP(A110,'Données projet'!$A$113:$I$133,6,0)),0%,VLOOKUP(A110,'Données projet'!$A$113:$I$133,6,0)*VLOOKUP('Données projet'!$B$12,Paramètres!$A$1:$I$88,7,0))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projet'!$B$12,Paramètres!$A$1:$I$88,3,0)*0.475*44/12</f>
        <v>0</v>
      </c>
      <c r="CL110" s="21">
        <f>EXP(-LN(2)/25)*CL109+(1-EXP(-LN(2)/25))/(LN(2)/25)*Calculateur!CG110*Calculateur!CI110*VLOOKUP('Données projet'!$B$12,Paramètres!$A$1:$I$88,3,0)*0.475*44/12</f>
        <v>0.81249024542616988</v>
      </c>
      <c r="CM110" s="21">
        <f>EXP(-LN(2)/2)*CM109+(1-EXP(-LN(2)/2))/(LN(2)/2)*CG110*CJ110*VLOOKUP('Données projet'!$B$12,Paramètres!$A$1:$I$88,3,0)*0.475*44/12</f>
        <v>2.2798141654565038E-11</v>
      </c>
      <c r="CN110" s="22">
        <f t="shared" si="66"/>
        <v>0.81249024544896797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5.6843418860808015E-14</v>
      </c>
      <c r="CU110" s="17">
        <f>CT110*VLOOKUP('Données projet'!$B$13,Paramètres!$A$1:$I$88,3,0)*VLOOKUP('Données projet'!$B$13,Paramètres!$A$1:$I$88,5,0)</f>
        <v>2.8908289095852525E-14</v>
      </c>
      <c r="CV110" s="13">
        <f t="shared" si="95"/>
        <v>5.0177780569126974E-13</v>
      </c>
      <c r="CW110" s="20">
        <f t="shared" si="67"/>
        <v>9.2427828175423786E-13</v>
      </c>
      <c r="CX110" s="59">
        <f t="shared" si="68"/>
        <v>293.33333333333422</v>
      </c>
      <c r="CY110" s="59">
        <f ca="1">AVERAGE(OFFSET($CX$3,0,0,'Données projet'!$E$13+1,1))-AVERAGE(OFFSET($H$3,0,0,'Données projet'!$E$13+1,1))</f>
        <v>133.08385802816008</v>
      </c>
      <c r="CZ110" s="59">
        <f t="shared" si="96"/>
        <v>316.59112511251385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projet'!$B$13,Paramètres!$A$1:$I$88,7,0))</f>
        <v>0</v>
      </c>
      <c r="DD110" s="16">
        <f>IF(ISNA(VLOOKUP(A110,'Données projet'!$A$139:$I$159,6,0)),0%,VLOOKUP(A110,'Données projet'!$A$139:$I$159,6,0)*VLOOKUP('Données projet'!$B$13,Paramètres!$A$1:$I$88,7,0))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projet'!$B$13,Paramètres!$A$1:$I$88,3,0)*0.475*44/12</f>
        <v>15.714751391341224</v>
      </c>
      <c r="DG110" s="21">
        <f>EXP(-LN(2)/25)*DG109+(1-EXP(-LN(2)/25))/(LN(2)/25)*Calculateur!DB110*Calculateur!DD110*VLOOKUP('Données projet'!$B$13,Paramètres!$A$1:$I$88,3,0)*0.475*44/12</f>
        <v>0</v>
      </c>
      <c r="DH110" s="21">
        <f>EXP(-LN(2)/2)*DH109+(1-EXP(-LN(2)/2))/(LN(2)/2)*DB110*DE110*VLOOKUP('Données projet'!$B$13,Paramètres!$A$1:$I$88,3,0)*0.475*44/12</f>
        <v>1.4545611329199349E-11</v>
      </c>
      <c r="DI110" s="22">
        <f t="shared" si="69"/>
        <v>15.714751391355769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projet'!$B$14,Paramètres!$A$1:$I$88,3,0)*VLOOKUP('Données projet'!$B$14,Paramètres!$A$1:$I$88,5,0)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projet'!$B$14,Paramètres!$A$1:$I$88,7,0))</f>
        <v>0</v>
      </c>
      <c r="DY110" s="16">
        <f>IF(ISNA(VLOOKUP(A110,'Données projet'!$A$165:$I$185,6,0)),0%,VLOOKUP(A110,'Données projet'!$A$165:$I$185,6,0)*VLOOKUP('Données projet'!$B$14,Paramètres!$A$1:$I$88,7,0))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projet'!$B$14,Paramètres!$A$1:$I$88,3,0)*0.475*44/12</f>
        <v>#N/A</v>
      </c>
      <c r="EB110" s="21" t="e">
        <f>EXP(-LN(2)/25)*EB109+(1-EXP(-LN(2)/25))/(LN(2)/25)*Calculateur!DW110*Calculateur!DY110*VLOOKUP('Données projet'!$B$14,Paramètres!$A$1:$I$88,3,0)*0.475*44/12</f>
        <v>#N/A</v>
      </c>
      <c r="EC110" s="21" t="e">
        <f>EXP(-LN(2)/2)*EC109+(1-EXP(-LN(2)/2))/(LN(2)/2)*DW110*DZ110*VLOOKUP('Données projet'!$B$14,Paramètres!$A$1:$I$88,3,0)*0.475*44/12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projet'!$B$15,Paramètres!$A$1:$I$88,3,0)*VLOOKUP('Données projet'!$B$15,Paramètres!$A$1:$I$88,5,0)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projet'!$B$15,Paramètres!$A$1:$I$88,7,0))</f>
        <v>0</v>
      </c>
      <c r="ET110" s="16">
        <f>IF(ISNA(VLOOKUP(A110,'Données projet'!$A$191:$I$211,6,0)),0%,VLOOKUP(A110,'Données projet'!$A$191:$I$211,6,0)*VLOOKUP('Données projet'!$B$15,Paramètres!$A$1:$I$88,7,0))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projet'!$B$15,Paramètres!$A$1:$I$88,3,0)*0.475*44/12</f>
        <v>#N/A</v>
      </c>
      <c r="EW110" s="21" t="e">
        <f>EXP(-LN(2)/25)*EW109+(1-EXP(-LN(2)/25))/(LN(2)/25)*Calculateur!ER110*Calculateur!ET110*VLOOKUP('Données projet'!$B$15,Paramètres!$A$1:$I$88,3,0)*0.475*44/12</f>
        <v>#N/A</v>
      </c>
      <c r="EX110" s="21" t="e">
        <f>EXP(-LN(2)/2)*EX109+(1-EXP(-LN(2)/2))/(LN(2)/2)*ER110*EU110*VLOOKUP('Données projet'!$B$15,Paramètres!$A$1:$I$88,3,0)*0.475*44/12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projet'!$B$16,Paramètres!$A$1:$I$88,3,0)*VLOOKUP('Données projet'!$B$16,Paramètres!$A$1:$I$88,5,0)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projet'!$B$16,Paramètres!$A$1:$I$88,7,0))</f>
        <v>0</v>
      </c>
      <c r="FO110" s="16">
        <f>IF(ISNA(VLOOKUP(A110,'Données projet'!$A$217:$I$237,6,0)),0%,VLOOKUP(A110,'Données projet'!$A$217:$I$237,6,0)*VLOOKUP('Données projet'!$B$16,Paramètres!$A$1:$I$88,7,0))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projet'!$B$16,Paramètres!$A$1:$I$88,3,0)*0.475*44/12</f>
        <v>#N/A</v>
      </c>
      <c r="FR110" s="21" t="e">
        <f>EXP(-LN(2)/25)*FR109+(1-EXP(-LN(2)/25))/(LN(2)/25)*Calculateur!FM110*Calculateur!FO110*VLOOKUP('Données projet'!$B$16,Paramètres!$A$1:$I$88,3,0)*0.475*44/12</f>
        <v>#N/A</v>
      </c>
      <c r="FS110" s="21" t="e">
        <f>EXP(-LN(2)/2)*FS109+(1-EXP(-LN(2)/2))/(LN(2)/2)*FM110*FP110*VLOOKUP('Données projet'!$B$16,Paramètres!$A$1:$I$88,3,0)*0.475*44/12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projet'!$B$17,Paramètres!$A$1:$I$88,3,0)*VLOOKUP('Données projet'!$B$17,Paramètres!$A$1:$I$88,5,0)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projet'!$B$17,Paramètres!$A$1:$I$88,7,0))</f>
        <v>0</v>
      </c>
      <c r="GJ110" s="16">
        <f>IF(ISNA(VLOOKUP(A110,'Données projet'!$A$243:$I$263,6,0)),0%,VLOOKUP(A110,'Données projet'!$A$243:$I$263,6,0)*VLOOKUP('Données projet'!$B$17,Paramètres!$A$1:$I$88,7,0))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projet'!$B$17,Paramètres!$A$1:$I$88,3,0)*0.475*44/12</f>
        <v>#N/A</v>
      </c>
      <c r="GM110" s="21" t="e">
        <f>EXP(-LN(2)/25)*GM109+(1-EXP(-LN(2)/25))/(LN(2)/25)*Calculateur!GH110*Calculateur!GJ110*VLOOKUP('Données projet'!$B$17,Paramètres!$A$1:$I$88,3,0)*0.475*44/12</f>
        <v>#N/A</v>
      </c>
      <c r="GN110" s="21" t="e">
        <f>EXP(-LN(2)/2)*GN109+(1-EXP(-LN(2)/2))/(LN(2)/2)*GH110*GK110*VLOOKUP('Données projet'!$B$17,Paramètres!$A$1:$I$88,3,0)*0.475*44/12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projet'!$B$18,Paramètres!$A$1:$I$88,3,0)*VLOOKUP('Données projet'!$B$18,Paramètres!$A$1:$I$88,5,0)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projet'!$B$18,Paramètres!$A$1:$I$88,7,0))</f>
        <v>0</v>
      </c>
      <c r="HE110" s="16">
        <f>IF(ISNA(VLOOKUP(A110,'Données projet'!$A$269:$I$289,6,0)),0%,VLOOKUP(A110,'Données projet'!$A$269:$I$289,6,0)*VLOOKUP('Données projet'!$B$18,Paramètres!$A$1:$I$88,7,0))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projet'!$B$18,Paramètres!$A$1:$I$88,3,0)*0.475*44/12</f>
        <v>#N/A</v>
      </c>
      <c r="HH110" s="21" t="e">
        <f>EXP(-LN(2)/25)*HH109+(1-EXP(-LN(2)/25))/(LN(2)/25)*Calculateur!HC110*Calculateur!HE110*VLOOKUP('Données projet'!$B$18,Paramètres!$A$1:$I$88,3,0)*0.475*44/12</f>
        <v>#N/A</v>
      </c>
      <c r="HI110" s="21" t="e">
        <f>EXP(-LN(2)/2)*HI109+(1-EXP(-LN(2)/2))/(LN(2)/2)*HC110*HF110*VLOOKUP('Données projet'!$B$18,Paramètres!$A$1:$I$88,3,0)*0.475*44/12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projet'!$B$9,Paramètres!$A$1:$I$88,3,0)*VLOOKUP('Données projet'!$B$9,Paramètres!$A$1:$I$88,5,0)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195.73441209602686</v>
      </c>
      <c r="T111" s="59">
        <f t="shared" si="88"/>
        <v>219.19129224309006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projet'!$B$9,Paramètres!$A$1:$I$88,7,0))</f>
        <v>0</v>
      </c>
      <c r="X111" s="16">
        <f>IF(ISNA(VLOOKUP(A111,'Données projet'!$A$35:$I$55,6,0)),0%,VLOOKUP(A111,'Données projet'!$A$35:$I$55,6,0)*VLOOKUP('Données projet'!$B$9,Paramètres!$A$1:$I$88,7,0))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projet'!$B$9,Paramètres!$A$1:$I$88,3,0)*0.475*44/12</f>
        <v>3.2543891164207297</v>
      </c>
      <c r="AA111" s="21">
        <f>EXP(-LN(2)/25)*AA110+(1-EXP(-LN(2)/25))/(LN(2)/25)*Calculateur!V111*Calculateur!X111*VLOOKUP('Données projet'!$B$9,Paramètres!$A$1:$I$88,3,0)*0.475*44/12</f>
        <v>1.628461712493031</v>
      </c>
      <c r="AB111" s="21">
        <f>EXP(-LN(2)/2)*AB110+(1-EXP(-LN(2)/2))/(LN(2)/2)*V111*Y111*VLOOKUP('Données projet'!$B$9,Paramètres!$A$1:$I$88,3,0)*0.475*44/12</f>
        <v>7.216359924777579E-14</v>
      </c>
      <c r="AC111" s="22">
        <f t="shared" si="57"/>
        <v>4.8828508289138322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-4.5474735088646412E-13</v>
      </c>
      <c r="AJ111" s="13">
        <f>AI111*VLOOKUP('Données projet'!$B$10,Paramètres!$A$1:$I$88,3,0)*VLOOKUP('Données projet'!$B$10,Paramètres!$A$1:$I$88,5,0)</f>
        <v>-2.7193891583010558E-13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246.59447135626942</v>
      </c>
      <c r="AO111" s="59">
        <f t="shared" si="90"/>
        <v>262.00382544285367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projet'!$B$10,Paramètres!$A$1:$I$88,7,0))</f>
        <v>0</v>
      </c>
      <c r="AS111" s="16">
        <f>IF(ISNA(VLOOKUP(A111,'Données projet'!$A$61:$I$81,6,0)),0%,VLOOKUP(A111,'Données projet'!$A$61:$I$81,6,0)*VLOOKUP('Données projet'!$B$10,Paramètres!$A$1:$I$88,7,0))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projet'!$B$10,Paramètres!$A$1:$I$88,3,0)*0.475*44/12</f>
        <v>0</v>
      </c>
      <c r="AV111" s="21">
        <f>EXP(-LN(2)/25)*AV110+(1-EXP(-LN(2)/25))/(LN(2)/25)*Calculateur!AQ111*Calculateur!AS111*VLOOKUP('Données projet'!$B$10,Paramètres!$A$1:$I$88,3,0)*0.475*44/12</f>
        <v>1.477966705004615</v>
      </c>
      <c r="AW111" s="21">
        <f>EXP(-LN(2)/2)*AW110+(1-EXP(-LN(2)/2))/(LN(2)/2)*AQ111*AT111*VLOOKUP('Données projet'!$B$10,Paramètres!$A$1:$I$88,3,0)*0.475*44/12</f>
        <v>4.3163454163402951E-11</v>
      </c>
      <c r="AX111" s="21">
        <f t="shared" si="60"/>
        <v>1.4779667050477785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-5.6843418860808015E-13</v>
      </c>
      <c r="BE111" s="13">
        <f>BD111*VLOOKUP('Données projet'!$B$11,Paramètres!$A$1:$I$88,3,0)*VLOOKUP('Données projet'!$B$11,Paramètres!$A$1:$I$88,5,0)</f>
        <v>-3.177547114319168E-13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355.96253323046608</v>
      </c>
      <c r="BJ111" s="59">
        <f t="shared" si="92"/>
        <v>366.8380442809696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projet'!$B$11,Paramètres!$A$1:$I$88,7,0))</f>
        <v>0</v>
      </c>
      <c r="BN111" s="16">
        <f>IF(ISNA(VLOOKUP(A111,'Données projet'!$A$87:$I$107,6,0)),0%,VLOOKUP(A111,'Données projet'!$A$87:$I$107,6,0)*VLOOKUP('Données projet'!$B$11,Paramètres!$A$1:$I$88,7,0))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projet'!$B$11,Paramètres!$A$1:$I$88,3,0)*0.475*44/12</f>
        <v>0</v>
      </c>
      <c r="BQ111" s="21">
        <f>EXP(-LN(2)/25)*BQ110+(1-EXP(-LN(2)/25))/(LN(2)/25)*Calculateur!BL111*Calculateur!BN111*VLOOKUP('Données projet'!$B$11,Paramètres!$A$1:$I$88,3,0)*0.475*44/12</f>
        <v>2.6167602633124871</v>
      </c>
      <c r="BR111" s="21">
        <f>EXP(-LN(2)/2)*BR110+(1-EXP(-LN(2)/2))/(LN(2)/2)*BL111*BO111*VLOOKUP('Données projet'!$B$11,Paramètres!$A$1:$I$88,3,0)*0.475*44/12</f>
        <v>6.6737733263754613E-11</v>
      </c>
      <c r="BS111" s="22">
        <f t="shared" si="63"/>
        <v>2.6167602633792248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>
        <f>BY111*VLOOKUP('Données projet'!$B$12,Paramètres!$A$1:$I$88,3,0)*VLOOKUP('Données projet'!$B$12,Paramètres!$A$1:$I$88,5,0)</f>
        <v>3.7243808037601412E-14</v>
      </c>
      <c r="CA111" s="13">
        <f t="shared" si="93"/>
        <v>6.2767589361185393E-13</v>
      </c>
      <c r="CB111" s="20">
        <f t="shared" si="64"/>
        <v>1.1580684803728015E-12</v>
      </c>
      <c r="CC111" s="59">
        <f t="shared" si="65"/>
        <v>293.33333333333445</v>
      </c>
      <c r="CD111" s="59">
        <f ca="1">AVERAGE(OFFSET($CC$3,0,0,'Données projet'!$E$12+1,1))-AVERAGE(OFFSET($H$3,0,0,'Données projet'!$E$12+1,1))</f>
        <v>180.90147430936133</v>
      </c>
      <c r="CE111" s="59">
        <f t="shared" si="94"/>
        <v>226.87949199830018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projet'!$B$12,Paramètres!$A$1:$I$88,7,0))</f>
        <v>0</v>
      </c>
      <c r="CI111" s="16">
        <f>IF(ISNA(VLOOKUP(A111,'Données projet'!$A$113:$I$133,6,0)),0%,VLOOKUP(A111,'Données projet'!$A$113:$I$133,6,0)*VLOOKUP('Données projet'!$B$12,Paramètres!$A$1:$I$88,7,0))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projet'!$B$12,Paramètres!$A$1:$I$88,3,0)*0.475*44/12</f>
        <v>0</v>
      </c>
      <c r="CL111" s="21">
        <f>EXP(-LN(2)/25)*CL110+(1-EXP(-LN(2)/25))/(LN(2)/25)*Calculateur!CG111*Calculateur!CI111*VLOOKUP('Données projet'!$B$12,Paramètres!$A$1:$I$88,3,0)*0.475*44/12</f>
        <v>0.79027265693798621</v>
      </c>
      <c r="CM111" s="21">
        <f>EXP(-LN(2)/2)*CM110+(1-EXP(-LN(2)/2))/(LN(2)/2)*CG111*CJ111*VLOOKUP('Données projet'!$B$12,Paramètres!$A$1:$I$88,3,0)*0.475*44/12</f>
        <v>1.6120720562394435E-11</v>
      </c>
      <c r="CN111" s="22">
        <f t="shared" si="66"/>
        <v>0.79027265695410698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5.6843418860808015E-14</v>
      </c>
      <c r="CU111" s="17">
        <f>CT111*VLOOKUP('Données projet'!$B$13,Paramètres!$A$1:$I$88,3,0)*VLOOKUP('Données projet'!$B$13,Paramètres!$A$1:$I$88,5,0)</f>
        <v>2.8908289095852525E-14</v>
      </c>
      <c r="CV111" s="13">
        <f t="shared" si="95"/>
        <v>5.0177780569126974E-13</v>
      </c>
      <c r="CW111" s="20">
        <f t="shared" si="67"/>
        <v>9.2427828175423786E-13</v>
      </c>
      <c r="CX111" s="59">
        <f t="shared" si="68"/>
        <v>293.33333333333422</v>
      </c>
      <c r="CY111" s="59">
        <f ca="1">AVERAGE(OFFSET($CX$3,0,0,'Données projet'!$E$13+1,1))-AVERAGE(OFFSET($H$3,0,0,'Données projet'!$E$13+1,1))</f>
        <v>133.08385802816008</v>
      </c>
      <c r="CZ111" s="59">
        <f t="shared" si="96"/>
        <v>316.59112511251385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projet'!$B$13,Paramètres!$A$1:$I$88,7,0))</f>
        <v>0</v>
      </c>
      <c r="DD111" s="16">
        <f>IF(ISNA(VLOOKUP(A111,'Données projet'!$A$139:$I$159,6,0)),0%,VLOOKUP(A111,'Données projet'!$A$139:$I$159,6,0)*VLOOKUP('Données projet'!$B$13,Paramètres!$A$1:$I$88,7,0))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projet'!$B$13,Paramètres!$A$1:$I$88,3,0)*0.475*44/12</f>
        <v>15.406594701608926</v>
      </c>
      <c r="DG111" s="21">
        <f>EXP(-LN(2)/25)*DG110+(1-EXP(-LN(2)/25))/(LN(2)/25)*Calculateur!DB111*Calculateur!DD111*VLOOKUP('Données projet'!$B$13,Paramètres!$A$1:$I$88,3,0)*0.475*44/12</f>
        <v>0</v>
      </c>
      <c r="DH111" s="21">
        <f>EXP(-LN(2)/2)*DH110+(1-EXP(-LN(2)/2))/(LN(2)/2)*DB111*DE111*VLOOKUP('Données projet'!$B$13,Paramètres!$A$1:$I$88,3,0)*0.475*44/12</f>
        <v>1.0285300407380731E-11</v>
      </c>
      <c r="DI111" s="22">
        <f t="shared" si="69"/>
        <v>15.406594701619211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projet'!$B$14,Paramètres!$A$1:$I$88,3,0)*VLOOKUP('Données projet'!$B$14,Paramètres!$A$1:$I$88,5,0)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projet'!$B$14,Paramètres!$A$1:$I$88,7,0))</f>
        <v>0</v>
      </c>
      <c r="DY111" s="16">
        <f>IF(ISNA(VLOOKUP(A111,'Données projet'!$A$165:$I$185,6,0)),0%,VLOOKUP(A111,'Données projet'!$A$165:$I$185,6,0)*VLOOKUP('Données projet'!$B$14,Paramètres!$A$1:$I$88,7,0))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projet'!$B$14,Paramètres!$A$1:$I$88,3,0)*0.475*44/12</f>
        <v>#N/A</v>
      </c>
      <c r="EB111" s="21" t="e">
        <f>EXP(-LN(2)/25)*EB110+(1-EXP(-LN(2)/25))/(LN(2)/25)*Calculateur!DW111*Calculateur!DY111*VLOOKUP('Données projet'!$B$14,Paramètres!$A$1:$I$88,3,0)*0.475*44/12</f>
        <v>#N/A</v>
      </c>
      <c r="EC111" s="21" t="e">
        <f>EXP(-LN(2)/2)*EC110+(1-EXP(-LN(2)/2))/(LN(2)/2)*DW111*DZ111*VLOOKUP('Données projet'!$B$14,Paramètres!$A$1:$I$88,3,0)*0.475*44/12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projet'!$B$15,Paramètres!$A$1:$I$88,3,0)*VLOOKUP('Données projet'!$B$15,Paramètres!$A$1:$I$88,5,0)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projet'!$B$15,Paramètres!$A$1:$I$88,7,0))</f>
        <v>0</v>
      </c>
      <c r="ET111" s="16">
        <f>IF(ISNA(VLOOKUP(A111,'Données projet'!$A$191:$I$211,6,0)),0%,VLOOKUP(A111,'Données projet'!$A$191:$I$211,6,0)*VLOOKUP('Données projet'!$B$15,Paramètres!$A$1:$I$88,7,0))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projet'!$B$15,Paramètres!$A$1:$I$88,3,0)*0.475*44/12</f>
        <v>#N/A</v>
      </c>
      <c r="EW111" s="21" t="e">
        <f>EXP(-LN(2)/25)*EW110+(1-EXP(-LN(2)/25))/(LN(2)/25)*Calculateur!ER111*Calculateur!ET111*VLOOKUP('Données projet'!$B$15,Paramètres!$A$1:$I$88,3,0)*0.475*44/12</f>
        <v>#N/A</v>
      </c>
      <c r="EX111" s="21" t="e">
        <f>EXP(-LN(2)/2)*EX110+(1-EXP(-LN(2)/2))/(LN(2)/2)*ER111*EU111*VLOOKUP('Données projet'!$B$15,Paramètres!$A$1:$I$88,3,0)*0.475*44/12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projet'!$B$16,Paramètres!$A$1:$I$88,3,0)*VLOOKUP('Données projet'!$B$16,Paramètres!$A$1:$I$88,5,0)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projet'!$B$16,Paramètres!$A$1:$I$88,7,0))</f>
        <v>0</v>
      </c>
      <c r="FO111" s="16">
        <f>IF(ISNA(VLOOKUP(A111,'Données projet'!$A$217:$I$237,6,0)),0%,VLOOKUP(A111,'Données projet'!$A$217:$I$237,6,0)*VLOOKUP('Données projet'!$B$16,Paramètres!$A$1:$I$88,7,0))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projet'!$B$16,Paramètres!$A$1:$I$88,3,0)*0.475*44/12</f>
        <v>#N/A</v>
      </c>
      <c r="FR111" s="21" t="e">
        <f>EXP(-LN(2)/25)*FR110+(1-EXP(-LN(2)/25))/(LN(2)/25)*Calculateur!FM111*Calculateur!FO111*VLOOKUP('Données projet'!$B$16,Paramètres!$A$1:$I$88,3,0)*0.475*44/12</f>
        <v>#N/A</v>
      </c>
      <c r="FS111" s="21" t="e">
        <f>EXP(-LN(2)/2)*FS110+(1-EXP(-LN(2)/2))/(LN(2)/2)*FM111*FP111*VLOOKUP('Données projet'!$B$16,Paramètres!$A$1:$I$88,3,0)*0.475*44/12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projet'!$B$17,Paramètres!$A$1:$I$88,3,0)*VLOOKUP('Données projet'!$B$17,Paramètres!$A$1:$I$88,5,0)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projet'!$B$17,Paramètres!$A$1:$I$88,7,0))</f>
        <v>0</v>
      </c>
      <c r="GJ111" s="16">
        <f>IF(ISNA(VLOOKUP(A111,'Données projet'!$A$243:$I$263,6,0)),0%,VLOOKUP(A111,'Données projet'!$A$243:$I$263,6,0)*VLOOKUP('Données projet'!$B$17,Paramètres!$A$1:$I$88,7,0))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projet'!$B$17,Paramètres!$A$1:$I$88,3,0)*0.475*44/12</f>
        <v>#N/A</v>
      </c>
      <c r="GM111" s="21" t="e">
        <f>EXP(-LN(2)/25)*GM110+(1-EXP(-LN(2)/25))/(LN(2)/25)*Calculateur!GH111*Calculateur!GJ111*VLOOKUP('Données projet'!$B$17,Paramètres!$A$1:$I$88,3,0)*0.475*44/12</f>
        <v>#N/A</v>
      </c>
      <c r="GN111" s="21" t="e">
        <f>EXP(-LN(2)/2)*GN110+(1-EXP(-LN(2)/2))/(LN(2)/2)*GH111*GK111*VLOOKUP('Données projet'!$B$17,Paramètres!$A$1:$I$88,3,0)*0.475*44/12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projet'!$B$18,Paramètres!$A$1:$I$88,3,0)*VLOOKUP('Données projet'!$B$18,Paramètres!$A$1:$I$88,5,0)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projet'!$B$18,Paramètres!$A$1:$I$88,7,0))</f>
        <v>0</v>
      </c>
      <c r="HE111" s="16">
        <f>IF(ISNA(VLOOKUP(A111,'Données projet'!$A$269:$I$289,6,0)),0%,VLOOKUP(A111,'Données projet'!$A$269:$I$289,6,0)*VLOOKUP('Données projet'!$B$18,Paramètres!$A$1:$I$88,7,0))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projet'!$B$18,Paramètres!$A$1:$I$88,3,0)*0.475*44/12</f>
        <v>#N/A</v>
      </c>
      <c r="HH111" s="21" t="e">
        <f>EXP(-LN(2)/25)*HH110+(1-EXP(-LN(2)/25))/(LN(2)/25)*Calculateur!HC111*Calculateur!HE111*VLOOKUP('Données projet'!$B$18,Paramètres!$A$1:$I$88,3,0)*0.475*44/12</f>
        <v>#N/A</v>
      </c>
      <c r="HI111" s="21" t="e">
        <f>EXP(-LN(2)/2)*HI110+(1-EXP(-LN(2)/2))/(LN(2)/2)*HC111*HF111*VLOOKUP('Données projet'!$B$18,Paramètres!$A$1:$I$88,3,0)*0.475*44/12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projet'!$B$9,Paramètres!$A$1:$I$88,3,0)*VLOOKUP('Données projet'!$B$9,Paramètres!$A$1:$I$88,5,0)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195.73441209602686</v>
      </c>
      <c r="T112" s="59">
        <f t="shared" si="88"/>
        <v>219.19129224309006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projet'!$B$9,Paramètres!$A$1:$I$88,7,0))</f>
        <v>0</v>
      </c>
      <c r="X112" s="16">
        <f>IF(ISNA(VLOOKUP(A112,'Données projet'!$A$35:$I$55,6,0)),0%,VLOOKUP(A112,'Données projet'!$A$35:$I$55,6,0)*VLOOKUP('Données projet'!$B$9,Paramètres!$A$1:$I$88,7,0))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projet'!$B$9,Paramètres!$A$1:$I$88,3,0)*0.475*44/12</f>
        <v>3.1905725308290798</v>
      </c>
      <c r="AA112" s="21">
        <f>EXP(-LN(2)/25)*AA111+(1-EXP(-LN(2)/25))/(LN(2)/25)*Calculateur!V112*Calculateur!X112*VLOOKUP('Données projet'!$B$9,Paramètres!$A$1:$I$88,3,0)*0.475*44/12</f>
        <v>1.5839313413278295</v>
      </c>
      <c r="AB112" s="21">
        <f>EXP(-LN(2)/2)*AB111+(1-EXP(-LN(2)/2))/(LN(2)/2)*V112*Y112*VLOOKUP('Données projet'!$B$9,Paramètres!$A$1:$I$88,3,0)*0.475*44/12</f>
        <v>5.1027370382930702E-14</v>
      </c>
      <c r="AC112" s="22">
        <f t="shared" si="57"/>
        <v>4.7745038721569601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-4.5474735088646412E-13</v>
      </c>
      <c r="AJ112" s="13">
        <f>AI112*VLOOKUP('Données projet'!$B$10,Paramètres!$A$1:$I$88,3,0)*VLOOKUP('Données projet'!$B$10,Paramètres!$A$1:$I$88,5,0)</f>
        <v>-2.7193891583010558E-13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246.59447135626942</v>
      </c>
      <c r="AO112" s="59">
        <f t="shared" si="90"/>
        <v>262.00382544285367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projet'!$B$10,Paramètres!$A$1:$I$88,7,0))</f>
        <v>0</v>
      </c>
      <c r="AS112" s="16">
        <f>IF(ISNA(VLOOKUP(A112,'Données projet'!$A$61:$I$81,6,0)),0%,VLOOKUP(A112,'Données projet'!$A$61:$I$81,6,0)*VLOOKUP('Données projet'!$B$10,Paramètres!$A$1:$I$88,7,0))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projet'!$B$10,Paramètres!$A$1:$I$88,3,0)*0.475*44/12</f>
        <v>0</v>
      </c>
      <c r="AV112" s="21">
        <f>EXP(-LN(2)/25)*AV111+(1-EXP(-LN(2)/25))/(LN(2)/25)*Calculateur!AQ112*Calculateur!AS112*VLOOKUP('Données projet'!$B$10,Paramètres!$A$1:$I$88,3,0)*0.475*44/12</f>
        <v>1.4375516277333726</v>
      </c>
      <c r="AW112" s="21">
        <f>EXP(-LN(2)/2)*AW111+(1-EXP(-LN(2)/2))/(LN(2)/2)*AQ112*AT112*VLOOKUP('Données projet'!$B$10,Paramètres!$A$1:$I$88,3,0)*0.475*44/12</f>
        <v>3.0521171138376943E-11</v>
      </c>
      <c r="AX112" s="21">
        <f t="shared" si="60"/>
        <v>1.4375516277638938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-5.6843418860808015E-13</v>
      </c>
      <c r="BE112" s="13">
        <f>BD112*VLOOKUP('Données projet'!$B$11,Paramètres!$A$1:$I$88,3,0)*VLOOKUP('Données projet'!$B$11,Paramètres!$A$1:$I$88,5,0)</f>
        <v>-3.177547114319168E-13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355.96253323046608</v>
      </c>
      <c r="BJ112" s="59">
        <f t="shared" si="92"/>
        <v>366.8380442809696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projet'!$B$11,Paramètres!$A$1:$I$88,7,0))</f>
        <v>0</v>
      </c>
      <c r="BN112" s="16">
        <f>IF(ISNA(VLOOKUP(A112,'Données projet'!$A$87:$I$107,6,0)),0%,VLOOKUP(A112,'Données projet'!$A$87:$I$107,6,0)*VLOOKUP('Données projet'!$B$11,Paramètres!$A$1:$I$88,7,0))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projet'!$B$11,Paramètres!$A$1:$I$88,3,0)*0.475*44/12</f>
        <v>0</v>
      </c>
      <c r="BQ112" s="21">
        <f>EXP(-LN(2)/25)*BQ111+(1-EXP(-LN(2)/25))/(LN(2)/25)*Calculateur!BL112*Calculateur!BN112*VLOOKUP('Données projet'!$B$11,Paramètres!$A$1:$I$88,3,0)*0.475*44/12</f>
        <v>2.5452048163027654</v>
      </c>
      <c r="BR112" s="21">
        <f>EXP(-LN(2)/2)*BR111+(1-EXP(-LN(2)/2))/(LN(2)/2)*BL112*BO112*VLOOKUP('Données projet'!$B$11,Paramètres!$A$1:$I$88,3,0)*0.475*44/12</f>
        <v>4.7190703751819909E-11</v>
      </c>
      <c r="BS112" s="22">
        <f t="shared" si="63"/>
        <v>2.5452048163499561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>
        <f>BY112*VLOOKUP('Données projet'!$B$12,Paramètres!$A$1:$I$88,3,0)*VLOOKUP('Données projet'!$B$12,Paramètres!$A$1:$I$88,5,0)</f>
        <v>3.7243808037601412E-14</v>
      </c>
      <c r="CA112" s="13">
        <f t="shared" si="93"/>
        <v>6.2767589361185393E-13</v>
      </c>
      <c r="CB112" s="20">
        <f t="shared" si="64"/>
        <v>1.1580684803728015E-12</v>
      </c>
      <c r="CC112" s="59">
        <f t="shared" si="65"/>
        <v>293.33333333333445</v>
      </c>
      <c r="CD112" s="59">
        <f ca="1">AVERAGE(OFFSET($CC$3,0,0,'Données projet'!$E$12+1,1))-AVERAGE(OFFSET($H$3,0,0,'Données projet'!$E$12+1,1))</f>
        <v>180.90147430936133</v>
      </c>
      <c r="CE112" s="59">
        <f t="shared" si="94"/>
        <v>226.87949199830018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projet'!$B$12,Paramètres!$A$1:$I$88,7,0))</f>
        <v>0</v>
      </c>
      <c r="CI112" s="16">
        <f>IF(ISNA(VLOOKUP(A112,'Données projet'!$A$113:$I$133,6,0)),0%,VLOOKUP(A112,'Données projet'!$A$113:$I$133,6,0)*VLOOKUP('Données projet'!$B$12,Paramètres!$A$1:$I$88,7,0))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projet'!$B$12,Paramètres!$A$1:$I$88,3,0)*0.475*44/12</f>
        <v>0</v>
      </c>
      <c r="CL112" s="21">
        <f>EXP(-LN(2)/25)*CL111+(1-EXP(-LN(2)/25))/(LN(2)/25)*Calculateur!CG112*Calculateur!CI112*VLOOKUP('Données projet'!$B$12,Paramètres!$A$1:$I$88,3,0)*0.475*44/12</f>
        <v>0.76866260957538413</v>
      </c>
      <c r="CM112" s="21">
        <f>EXP(-LN(2)/2)*CM111+(1-EXP(-LN(2)/2))/(LN(2)/2)*CG112*CJ112*VLOOKUP('Données projet'!$B$12,Paramètres!$A$1:$I$88,3,0)*0.475*44/12</f>
        <v>1.1399070827282519E-11</v>
      </c>
      <c r="CN112" s="22">
        <f t="shared" si="66"/>
        <v>0.76866260958678323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5.6843418860808015E-14</v>
      </c>
      <c r="CU112" s="17">
        <f>CT112*VLOOKUP('Données projet'!$B$13,Paramètres!$A$1:$I$88,3,0)*VLOOKUP('Données projet'!$B$13,Paramètres!$A$1:$I$88,5,0)</f>
        <v>2.8908289095852525E-14</v>
      </c>
      <c r="CV112" s="13">
        <f t="shared" si="95"/>
        <v>5.0177780569126974E-13</v>
      </c>
      <c r="CW112" s="20">
        <f t="shared" si="67"/>
        <v>9.2427828175423786E-13</v>
      </c>
      <c r="CX112" s="59">
        <f t="shared" si="68"/>
        <v>293.33333333333422</v>
      </c>
      <c r="CY112" s="59">
        <f ca="1">AVERAGE(OFFSET($CX$3,0,0,'Données projet'!$E$13+1,1))-AVERAGE(OFFSET($H$3,0,0,'Données projet'!$E$13+1,1))</f>
        <v>133.08385802816008</v>
      </c>
      <c r="CZ112" s="59">
        <f t="shared" si="96"/>
        <v>316.59112511251385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projet'!$B$13,Paramètres!$A$1:$I$88,7,0))</f>
        <v>0</v>
      </c>
      <c r="DD112" s="16">
        <f>IF(ISNA(VLOOKUP(A112,'Données projet'!$A$139:$I$159,6,0)),0%,VLOOKUP(A112,'Données projet'!$A$139:$I$159,6,0)*VLOOKUP('Données projet'!$B$13,Paramètres!$A$1:$I$88,7,0))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projet'!$B$13,Paramètres!$A$1:$I$88,3,0)*0.475*44/12</f>
        <v>15.104480776605257</v>
      </c>
      <c r="DG112" s="21">
        <f>EXP(-LN(2)/25)*DG111+(1-EXP(-LN(2)/25))/(LN(2)/25)*Calculateur!DB112*Calculateur!DD112*VLOOKUP('Données projet'!$B$13,Paramètres!$A$1:$I$88,3,0)*0.475*44/12</f>
        <v>0</v>
      </c>
      <c r="DH112" s="21">
        <f>EXP(-LN(2)/2)*DH111+(1-EXP(-LN(2)/2))/(LN(2)/2)*DB112*DE112*VLOOKUP('Données projet'!$B$13,Paramètres!$A$1:$I$88,3,0)*0.475*44/12</f>
        <v>7.2728056645996751E-12</v>
      </c>
      <c r="DI112" s="22">
        <f t="shared" si="69"/>
        <v>15.10448077661253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projet'!$B$14,Paramètres!$A$1:$I$88,3,0)*VLOOKUP('Données projet'!$B$14,Paramètres!$A$1:$I$88,5,0)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projet'!$B$14,Paramètres!$A$1:$I$88,7,0))</f>
        <v>0</v>
      </c>
      <c r="DY112" s="16">
        <f>IF(ISNA(VLOOKUP(A112,'Données projet'!$A$165:$I$185,6,0)),0%,VLOOKUP(A112,'Données projet'!$A$165:$I$185,6,0)*VLOOKUP('Données projet'!$B$14,Paramètres!$A$1:$I$88,7,0))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projet'!$B$14,Paramètres!$A$1:$I$88,3,0)*0.475*44/12</f>
        <v>#N/A</v>
      </c>
      <c r="EB112" s="21" t="e">
        <f>EXP(-LN(2)/25)*EB111+(1-EXP(-LN(2)/25))/(LN(2)/25)*Calculateur!DW112*Calculateur!DY112*VLOOKUP('Données projet'!$B$14,Paramètres!$A$1:$I$88,3,0)*0.475*44/12</f>
        <v>#N/A</v>
      </c>
      <c r="EC112" s="21" t="e">
        <f>EXP(-LN(2)/2)*EC111+(1-EXP(-LN(2)/2))/(LN(2)/2)*DW112*DZ112*VLOOKUP('Données projet'!$B$14,Paramètres!$A$1:$I$88,3,0)*0.475*44/12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projet'!$B$15,Paramètres!$A$1:$I$88,3,0)*VLOOKUP('Données projet'!$B$15,Paramètres!$A$1:$I$88,5,0)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projet'!$B$15,Paramètres!$A$1:$I$88,7,0))</f>
        <v>0</v>
      </c>
      <c r="ET112" s="16">
        <f>IF(ISNA(VLOOKUP(A112,'Données projet'!$A$191:$I$211,6,0)),0%,VLOOKUP(A112,'Données projet'!$A$191:$I$211,6,0)*VLOOKUP('Données projet'!$B$15,Paramètres!$A$1:$I$88,7,0))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projet'!$B$15,Paramètres!$A$1:$I$88,3,0)*0.475*44/12</f>
        <v>#N/A</v>
      </c>
      <c r="EW112" s="21" t="e">
        <f>EXP(-LN(2)/25)*EW111+(1-EXP(-LN(2)/25))/(LN(2)/25)*Calculateur!ER112*Calculateur!ET112*VLOOKUP('Données projet'!$B$15,Paramètres!$A$1:$I$88,3,0)*0.475*44/12</f>
        <v>#N/A</v>
      </c>
      <c r="EX112" s="21" t="e">
        <f>EXP(-LN(2)/2)*EX111+(1-EXP(-LN(2)/2))/(LN(2)/2)*ER112*EU112*VLOOKUP('Données projet'!$B$15,Paramètres!$A$1:$I$88,3,0)*0.475*44/12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projet'!$B$16,Paramètres!$A$1:$I$88,3,0)*VLOOKUP('Données projet'!$B$16,Paramètres!$A$1:$I$88,5,0)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projet'!$B$16,Paramètres!$A$1:$I$88,7,0))</f>
        <v>0</v>
      </c>
      <c r="FO112" s="16">
        <f>IF(ISNA(VLOOKUP(A112,'Données projet'!$A$217:$I$237,6,0)),0%,VLOOKUP(A112,'Données projet'!$A$217:$I$237,6,0)*VLOOKUP('Données projet'!$B$16,Paramètres!$A$1:$I$88,7,0))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projet'!$B$16,Paramètres!$A$1:$I$88,3,0)*0.475*44/12</f>
        <v>#N/A</v>
      </c>
      <c r="FR112" s="21" t="e">
        <f>EXP(-LN(2)/25)*FR111+(1-EXP(-LN(2)/25))/(LN(2)/25)*Calculateur!FM112*Calculateur!FO112*VLOOKUP('Données projet'!$B$16,Paramètres!$A$1:$I$88,3,0)*0.475*44/12</f>
        <v>#N/A</v>
      </c>
      <c r="FS112" s="21" t="e">
        <f>EXP(-LN(2)/2)*FS111+(1-EXP(-LN(2)/2))/(LN(2)/2)*FM112*FP112*VLOOKUP('Données projet'!$B$16,Paramètres!$A$1:$I$88,3,0)*0.475*44/12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projet'!$B$17,Paramètres!$A$1:$I$88,3,0)*VLOOKUP('Données projet'!$B$17,Paramètres!$A$1:$I$88,5,0)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projet'!$B$17,Paramètres!$A$1:$I$88,7,0))</f>
        <v>0</v>
      </c>
      <c r="GJ112" s="16">
        <f>IF(ISNA(VLOOKUP(A112,'Données projet'!$A$243:$I$263,6,0)),0%,VLOOKUP(A112,'Données projet'!$A$243:$I$263,6,0)*VLOOKUP('Données projet'!$B$17,Paramètres!$A$1:$I$88,7,0))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projet'!$B$17,Paramètres!$A$1:$I$88,3,0)*0.475*44/12</f>
        <v>#N/A</v>
      </c>
      <c r="GM112" s="21" t="e">
        <f>EXP(-LN(2)/25)*GM111+(1-EXP(-LN(2)/25))/(LN(2)/25)*Calculateur!GH112*Calculateur!GJ112*VLOOKUP('Données projet'!$B$17,Paramètres!$A$1:$I$88,3,0)*0.475*44/12</f>
        <v>#N/A</v>
      </c>
      <c r="GN112" s="21" t="e">
        <f>EXP(-LN(2)/2)*GN111+(1-EXP(-LN(2)/2))/(LN(2)/2)*GH112*GK112*VLOOKUP('Données projet'!$B$17,Paramètres!$A$1:$I$88,3,0)*0.475*44/12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projet'!$B$18,Paramètres!$A$1:$I$88,3,0)*VLOOKUP('Données projet'!$B$18,Paramètres!$A$1:$I$88,5,0)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projet'!$B$18,Paramètres!$A$1:$I$88,7,0))</f>
        <v>0</v>
      </c>
      <c r="HE112" s="16">
        <f>IF(ISNA(VLOOKUP(A112,'Données projet'!$A$269:$I$289,6,0)),0%,VLOOKUP(A112,'Données projet'!$A$269:$I$289,6,0)*VLOOKUP('Données projet'!$B$18,Paramètres!$A$1:$I$88,7,0))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projet'!$B$18,Paramètres!$A$1:$I$88,3,0)*0.475*44/12</f>
        <v>#N/A</v>
      </c>
      <c r="HH112" s="21" t="e">
        <f>EXP(-LN(2)/25)*HH111+(1-EXP(-LN(2)/25))/(LN(2)/25)*Calculateur!HC112*Calculateur!HE112*VLOOKUP('Données projet'!$B$18,Paramètres!$A$1:$I$88,3,0)*0.475*44/12</f>
        <v>#N/A</v>
      </c>
      <c r="HI112" s="21" t="e">
        <f>EXP(-LN(2)/2)*HI111+(1-EXP(-LN(2)/2))/(LN(2)/2)*HC112*HF112*VLOOKUP('Données projet'!$B$18,Paramètres!$A$1:$I$88,3,0)*0.475*44/12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projet'!$B$9,Paramètres!$A$1:$I$88,3,0)*VLOOKUP('Données projet'!$B$9,Paramètres!$A$1:$I$88,5,0)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195.73441209602686</v>
      </c>
      <c r="T113" s="59">
        <f t="shared" si="88"/>
        <v>219.19129224309006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projet'!$B$9,Paramètres!$A$1:$I$88,7,0))</f>
        <v>0</v>
      </c>
      <c r="X113" s="16">
        <f>IF(ISNA(VLOOKUP(A113,'Données projet'!$A$35:$I$55,6,0)),0%,VLOOKUP(A113,'Données projet'!$A$35:$I$55,6,0)*VLOOKUP('Données projet'!$B$9,Paramètres!$A$1:$I$88,7,0))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projet'!$B$9,Paramètres!$A$1:$I$88,3,0)*0.475*44/12</f>
        <v>3.1280073495566083</v>
      </c>
      <c r="AA113" s="21">
        <f>EXP(-LN(2)/25)*AA112+(1-EXP(-LN(2)/25))/(LN(2)/25)*Calculateur!V113*Calculateur!X113*VLOOKUP('Données projet'!$B$9,Paramètres!$A$1:$I$88,3,0)*0.475*44/12</f>
        <v>1.540618655503891</v>
      </c>
      <c r="AB113" s="21">
        <f>EXP(-LN(2)/2)*AB112+(1-EXP(-LN(2)/2))/(LN(2)/2)*V113*Y113*VLOOKUP('Données projet'!$B$9,Paramètres!$A$1:$I$88,3,0)*0.475*44/12</f>
        <v>3.6081799623887895E-14</v>
      </c>
      <c r="AC113" s="22">
        <f t="shared" si="57"/>
        <v>4.6686260050605357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-4.5474735088646412E-13</v>
      </c>
      <c r="AJ113" s="13">
        <f>AI113*VLOOKUP('Données projet'!$B$10,Paramètres!$A$1:$I$88,3,0)*VLOOKUP('Données projet'!$B$10,Paramètres!$A$1:$I$88,5,0)</f>
        <v>-2.7193891583010558E-13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246.59447135626942</v>
      </c>
      <c r="AO113" s="59">
        <f t="shared" si="90"/>
        <v>262.00382544285367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projet'!$B$10,Paramètres!$A$1:$I$88,7,0))</f>
        <v>0</v>
      </c>
      <c r="AS113" s="16">
        <f>IF(ISNA(VLOOKUP(A113,'Données projet'!$A$61:$I$81,6,0)),0%,VLOOKUP(A113,'Données projet'!$A$61:$I$81,6,0)*VLOOKUP('Données projet'!$B$10,Paramètres!$A$1:$I$88,7,0))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projet'!$B$10,Paramètres!$A$1:$I$88,3,0)*0.475*44/12</f>
        <v>0</v>
      </c>
      <c r="AV113" s="21">
        <f>EXP(-LN(2)/25)*AV112+(1-EXP(-LN(2)/25))/(LN(2)/25)*Calculateur!AQ113*Calculateur!AS113*VLOOKUP('Données projet'!$B$10,Paramètres!$A$1:$I$88,3,0)*0.475*44/12</f>
        <v>1.398241702875449</v>
      </c>
      <c r="AW113" s="21">
        <f>EXP(-LN(2)/2)*AW112+(1-EXP(-LN(2)/2))/(LN(2)/2)*AQ113*AT113*VLOOKUP('Données projet'!$B$10,Paramètres!$A$1:$I$88,3,0)*0.475*44/12</f>
        <v>2.1581727081701476E-11</v>
      </c>
      <c r="AX113" s="21">
        <f t="shared" si="60"/>
        <v>1.3982417028970306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-5.6843418860808015E-13</v>
      </c>
      <c r="BE113" s="13">
        <f>BD113*VLOOKUP('Données projet'!$B$11,Paramètres!$A$1:$I$88,3,0)*VLOOKUP('Données projet'!$B$11,Paramètres!$A$1:$I$88,5,0)</f>
        <v>-3.177547114319168E-13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355.96253323046608</v>
      </c>
      <c r="BJ113" s="59">
        <f t="shared" si="92"/>
        <v>366.8380442809696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projet'!$B$11,Paramètres!$A$1:$I$88,7,0))</f>
        <v>0</v>
      </c>
      <c r="BN113" s="16">
        <f>IF(ISNA(VLOOKUP(A113,'Données projet'!$A$87:$I$107,6,0)),0%,VLOOKUP(A113,'Données projet'!$A$87:$I$107,6,0)*VLOOKUP('Données projet'!$B$11,Paramètres!$A$1:$I$88,7,0))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projet'!$B$11,Paramètres!$A$1:$I$88,3,0)*0.475*44/12</f>
        <v>0</v>
      </c>
      <c r="BQ113" s="21">
        <f>EXP(-LN(2)/25)*BQ112+(1-EXP(-LN(2)/25))/(LN(2)/25)*Calculateur!BL113*Calculateur!BN113*VLOOKUP('Données projet'!$B$11,Paramètres!$A$1:$I$88,3,0)*0.475*44/12</f>
        <v>2.475606056754462</v>
      </c>
      <c r="BR113" s="21">
        <f>EXP(-LN(2)/2)*BR112+(1-EXP(-LN(2)/2))/(LN(2)/2)*BL113*BO113*VLOOKUP('Données projet'!$B$11,Paramètres!$A$1:$I$88,3,0)*0.475*44/12</f>
        <v>3.3368866631877307E-11</v>
      </c>
      <c r="BS113" s="22">
        <f t="shared" si="63"/>
        <v>2.4756060567878309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>
        <f>BY113*VLOOKUP('Données projet'!$B$12,Paramètres!$A$1:$I$88,3,0)*VLOOKUP('Données projet'!$B$12,Paramètres!$A$1:$I$88,5,0)</f>
        <v>3.7243808037601412E-14</v>
      </c>
      <c r="CA113" s="13">
        <f t="shared" si="93"/>
        <v>6.2767589361185393E-13</v>
      </c>
      <c r="CB113" s="20">
        <f t="shared" si="64"/>
        <v>1.1580684803728015E-12</v>
      </c>
      <c r="CC113" s="59">
        <f t="shared" si="65"/>
        <v>293.33333333333445</v>
      </c>
      <c r="CD113" s="59">
        <f ca="1">AVERAGE(OFFSET($CC$3,0,0,'Données projet'!$E$12+1,1))-AVERAGE(OFFSET($H$3,0,0,'Données projet'!$E$12+1,1))</f>
        <v>180.90147430936133</v>
      </c>
      <c r="CE113" s="59">
        <f t="shared" si="94"/>
        <v>226.87949199830018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projet'!$B$12,Paramètres!$A$1:$I$88,7,0))</f>
        <v>0</v>
      </c>
      <c r="CI113" s="16">
        <f>IF(ISNA(VLOOKUP(A113,'Données projet'!$A$113:$I$133,6,0)),0%,VLOOKUP(A113,'Données projet'!$A$113:$I$133,6,0)*VLOOKUP('Données projet'!$B$12,Paramètres!$A$1:$I$88,7,0))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projet'!$B$12,Paramètres!$A$1:$I$88,3,0)*0.475*44/12</f>
        <v>0</v>
      </c>
      <c r="CL113" s="21">
        <f>EXP(-LN(2)/25)*CL112+(1-EXP(-LN(2)/25))/(LN(2)/25)*Calculateur!CG113*Calculateur!CI113*VLOOKUP('Données projet'!$B$12,Paramètres!$A$1:$I$88,3,0)*0.475*44/12</f>
        <v>0.74764349009433539</v>
      </c>
      <c r="CM113" s="21">
        <f>EXP(-LN(2)/2)*CM112+(1-EXP(-LN(2)/2))/(LN(2)/2)*CG113*CJ113*VLOOKUP('Données projet'!$B$12,Paramètres!$A$1:$I$88,3,0)*0.475*44/12</f>
        <v>8.0603602811972173E-12</v>
      </c>
      <c r="CN113" s="22">
        <f t="shared" si="66"/>
        <v>0.74764349010239572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5.6843418860808015E-14</v>
      </c>
      <c r="CU113" s="17">
        <f>CT113*VLOOKUP('Données projet'!$B$13,Paramètres!$A$1:$I$88,3,0)*VLOOKUP('Données projet'!$B$13,Paramètres!$A$1:$I$88,5,0)</f>
        <v>2.8908289095852525E-14</v>
      </c>
      <c r="CV113" s="13">
        <f t="shared" si="95"/>
        <v>5.0177780569126974E-13</v>
      </c>
      <c r="CW113" s="20">
        <f t="shared" si="67"/>
        <v>9.2427828175423786E-13</v>
      </c>
      <c r="CX113" s="59">
        <f t="shared" si="68"/>
        <v>293.33333333333422</v>
      </c>
      <c r="CY113" s="59">
        <f ca="1">AVERAGE(OFFSET($CX$3,0,0,'Données projet'!$E$13+1,1))-AVERAGE(OFFSET($H$3,0,0,'Données projet'!$E$13+1,1))</f>
        <v>133.08385802816008</v>
      </c>
      <c r="CZ113" s="59">
        <f t="shared" si="96"/>
        <v>316.59112511251385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projet'!$B$13,Paramètres!$A$1:$I$88,7,0))</f>
        <v>0</v>
      </c>
      <c r="DD113" s="16">
        <f>IF(ISNA(VLOOKUP(A113,'Données projet'!$A$139:$I$159,6,0)),0%,VLOOKUP(A113,'Données projet'!$A$139:$I$159,6,0)*VLOOKUP('Données projet'!$B$13,Paramètres!$A$1:$I$88,7,0))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projet'!$B$13,Paramètres!$A$1:$I$88,3,0)*0.475*44/12</f>
        <v>14.808291121399611</v>
      </c>
      <c r="DG113" s="21">
        <f>EXP(-LN(2)/25)*DG112+(1-EXP(-LN(2)/25))/(LN(2)/25)*Calculateur!DB113*Calculateur!DD113*VLOOKUP('Données projet'!$B$13,Paramètres!$A$1:$I$88,3,0)*0.475*44/12</f>
        <v>0</v>
      </c>
      <c r="DH113" s="21">
        <f>EXP(-LN(2)/2)*DH112+(1-EXP(-LN(2)/2))/(LN(2)/2)*DB113*DE113*VLOOKUP('Données projet'!$B$13,Paramètres!$A$1:$I$88,3,0)*0.475*44/12</f>
        <v>5.1426502036903664E-12</v>
      </c>
      <c r="DI113" s="22">
        <f t="shared" si="69"/>
        <v>14.808291121404753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projet'!$B$14,Paramètres!$A$1:$I$88,3,0)*VLOOKUP('Données projet'!$B$14,Paramètres!$A$1:$I$88,5,0)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projet'!$B$14,Paramètres!$A$1:$I$88,7,0))</f>
        <v>0</v>
      </c>
      <c r="DY113" s="16">
        <f>IF(ISNA(VLOOKUP(A113,'Données projet'!$A$165:$I$185,6,0)),0%,VLOOKUP(A113,'Données projet'!$A$165:$I$185,6,0)*VLOOKUP('Données projet'!$B$14,Paramètres!$A$1:$I$88,7,0))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projet'!$B$14,Paramètres!$A$1:$I$88,3,0)*0.475*44/12</f>
        <v>#N/A</v>
      </c>
      <c r="EB113" s="21" t="e">
        <f>EXP(-LN(2)/25)*EB112+(1-EXP(-LN(2)/25))/(LN(2)/25)*Calculateur!DW113*Calculateur!DY113*VLOOKUP('Données projet'!$B$14,Paramètres!$A$1:$I$88,3,0)*0.475*44/12</f>
        <v>#N/A</v>
      </c>
      <c r="EC113" s="21" t="e">
        <f>EXP(-LN(2)/2)*EC112+(1-EXP(-LN(2)/2))/(LN(2)/2)*DW113*DZ113*VLOOKUP('Données projet'!$B$14,Paramètres!$A$1:$I$88,3,0)*0.475*44/12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projet'!$B$15,Paramètres!$A$1:$I$88,3,0)*VLOOKUP('Données projet'!$B$15,Paramètres!$A$1:$I$88,5,0)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projet'!$B$15,Paramètres!$A$1:$I$88,7,0))</f>
        <v>0</v>
      </c>
      <c r="ET113" s="16">
        <f>IF(ISNA(VLOOKUP(A113,'Données projet'!$A$191:$I$211,6,0)),0%,VLOOKUP(A113,'Données projet'!$A$191:$I$211,6,0)*VLOOKUP('Données projet'!$B$15,Paramètres!$A$1:$I$88,7,0))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projet'!$B$15,Paramètres!$A$1:$I$88,3,0)*0.475*44/12</f>
        <v>#N/A</v>
      </c>
      <c r="EW113" s="21" t="e">
        <f>EXP(-LN(2)/25)*EW112+(1-EXP(-LN(2)/25))/(LN(2)/25)*Calculateur!ER113*Calculateur!ET113*VLOOKUP('Données projet'!$B$15,Paramètres!$A$1:$I$88,3,0)*0.475*44/12</f>
        <v>#N/A</v>
      </c>
      <c r="EX113" s="21" t="e">
        <f>EXP(-LN(2)/2)*EX112+(1-EXP(-LN(2)/2))/(LN(2)/2)*ER113*EU113*VLOOKUP('Données projet'!$B$15,Paramètres!$A$1:$I$88,3,0)*0.475*44/12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projet'!$B$16,Paramètres!$A$1:$I$88,3,0)*VLOOKUP('Données projet'!$B$16,Paramètres!$A$1:$I$88,5,0)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projet'!$B$16,Paramètres!$A$1:$I$88,7,0))</f>
        <v>0</v>
      </c>
      <c r="FO113" s="16">
        <f>IF(ISNA(VLOOKUP(A113,'Données projet'!$A$217:$I$237,6,0)),0%,VLOOKUP(A113,'Données projet'!$A$217:$I$237,6,0)*VLOOKUP('Données projet'!$B$16,Paramètres!$A$1:$I$88,7,0))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projet'!$B$16,Paramètres!$A$1:$I$88,3,0)*0.475*44/12</f>
        <v>#N/A</v>
      </c>
      <c r="FR113" s="21" t="e">
        <f>EXP(-LN(2)/25)*FR112+(1-EXP(-LN(2)/25))/(LN(2)/25)*Calculateur!FM113*Calculateur!FO113*VLOOKUP('Données projet'!$B$16,Paramètres!$A$1:$I$88,3,0)*0.475*44/12</f>
        <v>#N/A</v>
      </c>
      <c r="FS113" s="21" t="e">
        <f>EXP(-LN(2)/2)*FS112+(1-EXP(-LN(2)/2))/(LN(2)/2)*FM113*FP113*VLOOKUP('Données projet'!$B$16,Paramètres!$A$1:$I$88,3,0)*0.475*44/12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projet'!$B$17,Paramètres!$A$1:$I$88,3,0)*VLOOKUP('Données projet'!$B$17,Paramètres!$A$1:$I$88,5,0)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projet'!$B$17,Paramètres!$A$1:$I$88,7,0))</f>
        <v>0</v>
      </c>
      <c r="GJ113" s="16">
        <f>IF(ISNA(VLOOKUP(A113,'Données projet'!$A$243:$I$263,6,0)),0%,VLOOKUP(A113,'Données projet'!$A$243:$I$263,6,0)*VLOOKUP('Données projet'!$B$17,Paramètres!$A$1:$I$88,7,0))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projet'!$B$17,Paramètres!$A$1:$I$88,3,0)*0.475*44/12</f>
        <v>#N/A</v>
      </c>
      <c r="GM113" s="21" t="e">
        <f>EXP(-LN(2)/25)*GM112+(1-EXP(-LN(2)/25))/(LN(2)/25)*Calculateur!GH113*Calculateur!GJ113*VLOOKUP('Données projet'!$B$17,Paramètres!$A$1:$I$88,3,0)*0.475*44/12</f>
        <v>#N/A</v>
      </c>
      <c r="GN113" s="21" t="e">
        <f>EXP(-LN(2)/2)*GN112+(1-EXP(-LN(2)/2))/(LN(2)/2)*GH113*GK113*VLOOKUP('Données projet'!$B$17,Paramètres!$A$1:$I$88,3,0)*0.475*44/12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projet'!$B$18,Paramètres!$A$1:$I$88,3,0)*VLOOKUP('Données projet'!$B$18,Paramètres!$A$1:$I$88,5,0)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projet'!$B$18,Paramètres!$A$1:$I$88,7,0))</f>
        <v>0</v>
      </c>
      <c r="HE113" s="16">
        <f>IF(ISNA(VLOOKUP(A113,'Données projet'!$A$269:$I$289,6,0)),0%,VLOOKUP(A113,'Données projet'!$A$269:$I$289,6,0)*VLOOKUP('Données projet'!$B$18,Paramètres!$A$1:$I$88,7,0))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projet'!$B$18,Paramètres!$A$1:$I$88,3,0)*0.475*44/12</f>
        <v>#N/A</v>
      </c>
      <c r="HH113" s="21" t="e">
        <f>EXP(-LN(2)/25)*HH112+(1-EXP(-LN(2)/25))/(LN(2)/25)*Calculateur!HC113*Calculateur!HE113*VLOOKUP('Données projet'!$B$18,Paramètres!$A$1:$I$88,3,0)*0.475*44/12</f>
        <v>#N/A</v>
      </c>
      <c r="HI113" s="21" t="e">
        <f>EXP(-LN(2)/2)*HI112+(1-EXP(-LN(2)/2))/(LN(2)/2)*HC113*HF113*VLOOKUP('Données projet'!$B$18,Paramètres!$A$1:$I$88,3,0)*0.475*44/12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projet'!$B$9,Paramètres!$A$1:$I$88,3,0)*VLOOKUP('Données projet'!$B$9,Paramètres!$A$1:$I$88,5,0)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195.73441209602686</v>
      </c>
      <c r="T114" s="59">
        <f t="shared" si="88"/>
        <v>219.19129224309006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projet'!$B$9,Paramètres!$A$1:$I$88,7,0))</f>
        <v>0</v>
      </c>
      <c r="X114" s="16">
        <f>IF(ISNA(VLOOKUP(A114,'Données projet'!$A$35:$I$55,6,0)),0%,VLOOKUP(A114,'Données projet'!$A$35:$I$55,6,0)*VLOOKUP('Données projet'!$B$9,Paramètres!$A$1:$I$88,7,0))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projet'!$B$9,Paramètres!$A$1:$I$88,3,0)*0.475*44/12</f>
        <v>3.0666690333278974</v>
      </c>
      <c r="AA114" s="21">
        <f>EXP(-LN(2)/25)*AA113+(1-EXP(-LN(2)/25))/(LN(2)/25)*Calculateur!V114*Calculateur!X114*VLOOKUP('Données projet'!$B$9,Paramètres!$A$1:$I$88,3,0)*0.475*44/12</f>
        <v>1.4984903573515231</v>
      </c>
      <c r="AB114" s="21">
        <f>EXP(-LN(2)/2)*AB113+(1-EXP(-LN(2)/2))/(LN(2)/2)*V114*Y114*VLOOKUP('Données projet'!$B$9,Paramètres!$A$1:$I$88,3,0)*0.475*44/12</f>
        <v>2.5513685191465351E-14</v>
      </c>
      <c r="AC114" s="22">
        <f t="shared" si="57"/>
        <v>4.5651593906794465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-4.5474735088646412E-13</v>
      </c>
      <c r="AJ114" s="13">
        <f>AI114*VLOOKUP('Données projet'!$B$10,Paramètres!$A$1:$I$88,3,0)*VLOOKUP('Données projet'!$B$10,Paramètres!$A$1:$I$88,5,0)</f>
        <v>-2.7193891583010558E-13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246.59447135626942</v>
      </c>
      <c r="AO114" s="59">
        <f t="shared" si="90"/>
        <v>262.00382544285367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projet'!$B$10,Paramètres!$A$1:$I$88,7,0))</f>
        <v>0</v>
      </c>
      <c r="AS114" s="16">
        <f>IF(ISNA(VLOOKUP(A114,'Données projet'!$A$61:$I$81,6,0)),0%,VLOOKUP(A114,'Données projet'!$A$61:$I$81,6,0)*VLOOKUP('Données projet'!$B$10,Paramètres!$A$1:$I$88,7,0))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projet'!$B$10,Paramètres!$A$1:$I$88,3,0)*0.475*44/12</f>
        <v>0</v>
      </c>
      <c r="AV114" s="21">
        <f>EXP(-LN(2)/25)*AV113+(1-EXP(-LN(2)/25))/(LN(2)/25)*Calculateur!AQ114*Calculateur!AS114*VLOOKUP('Données projet'!$B$10,Paramètres!$A$1:$I$88,3,0)*0.475*44/12</f>
        <v>1.3600067099799844</v>
      </c>
      <c r="AW114" s="21">
        <f>EXP(-LN(2)/2)*AW113+(1-EXP(-LN(2)/2))/(LN(2)/2)*AQ114*AT114*VLOOKUP('Données projet'!$B$10,Paramètres!$A$1:$I$88,3,0)*0.475*44/12</f>
        <v>1.5260585569188472E-11</v>
      </c>
      <c r="AX114" s="21">
        <f t="shared" si="60"/>
        <v>1.3600067099952451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-5.6843418860808015E-13</v>
      </c>
      <c r="BE114" s="13">
        <f>BD114*VLOOKUP('Données projet'!$B$11,Paramètres!$A$1:$I$88,3,0)*VLOOKUP('Données projet'!$B$11,Paramètres!$A$1:$I$88,5,0)</f>
        <v>-3.177547114319168E-13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355.96253323046608</v>
      </c>
      <c r="BJ114" s="59">
        <f t="shared" si="92"/>
        <v>366.8380442809696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projet'!$B$11,Paramètres!$A$1:$I$88,7,0))</f>
        <v>0</v>
      </c>
      <c r="BN114" s="16">
        <f>IF(ISNA(VLOOKUP(A114,'Données projet'!$A$87:$I$107,6,0)),0%,VLOOKUP(A114,'Données projet'!$A$87:$I$107,6,0)*VLOOKUP('Données projet'!$B$11,Paramètres!$A$1:$I$88,7,0))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projet'!$B$11,Paramètres!$A$1:$I$88,3,0)*0.475*44/12</f>
        <v>0</v>
      </c>
      <c r="BQ114" s="21">
        <f>EXP(-LN(2)/25)*BQ113+(1-EXP(-LN(2)/25))/(LN(2)/25)*Calculateur!BL114*Calculateur!BN114*VLOOKUP('Données projet'!$B$11,Paramètres!$A$1:$I$88,3,0)*0.475*44/12</f>
        <v>2.4079104789460466</v>
      </c>
      <c r="BR114" s="21">
        <f>EXP(-LN(2)/2)*BR113+(1-EXP(-LN(2)/2))/(LN(2)/2)*BL114*BO114*VLOOKUP('Données projet'!$B$11,Paramètres!$A$1:$I$88,3,0)*0.475*44/12</f>
        <v>2.3595351875909954E-11</v>
      </c>
      <c r="BS114" s="22">
        <f t="shared" si="63"/>
        <v>2.4079104789696419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>
        <f>BY114*VLOOKUP('Données projet'!$B$12,Paramètres!$A$1:$I$88,3,0)*VLOOKUP('Données projet'!$B$12,Paramètres!$A$1:$I$88,5,0)</f>
        <v>3.7243808037601412E-14</v>
      </c>
      <c r="CA114" s="13">
        <f t="shared" si="93"/>
        <v>6.2767589361185393E-13</v>
      </c>
      <c r="CB114" s="20">
        <f t="shared" si="64"/>
        <v>1.1580684803728015E-12</v>
      </c>
      <c r="CC114" s="59">
        <f t="shared" si="65"/>
        <v>293.33333333333445</v>
      </c>
      <c r="CD114" s="59">
        <f ca="1">AVERAGE(OFFSET($CC$3,0,0,'Données projet'!$E$12+1,1))-AVERAGE(OFFSET($H$3,0,0,'Données projet'!$E$12+1,1))</f>
        <v>180.90147430936133</v>
      </c>
      <c r="CE114" s="59">
        <f t="shared" si="94"/>
        <v>226.87949199830018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projet'!$B$12,Paramètres!$A$1:$I$88,7,0))</f>
        <v>0</v>
      </c>
      <c r="CI114" s="16">
        <f>IF(ISNA(VLOOKUP(A114,'Données projet'!$A$113:$I$133,6,0)),0%,VLOOKUP(A114,'Données projet'!$A$113:$I$133,6,0)*VLOOKUP('Données projet'!$B$12,Paramètres!$A$1:$I$88,7,0))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projet'!$B$12,Paramètres!$A$1:$I$88,3,0)*0.475*44/12</f>
        <v>0</v>
      </c>
      <c r="CL114" s="21">
        <f>EXP(-LN(2)/25)*CL113+(1-EXP(-LN(2)/25))/(LN(2)/25)*Calculateur!CG114*Calculateur!CI114*VLOOKUP('Données projet'!$B$12,Paramètres!$A$1:$I$88,3,0)*0.475*44/12</f>
        <v>0.72719913954084336</v>
      </c>
      <c r="CM114" s="21">
        <f>EXP(-LN(2)/2)*CM113+(1-EXP(-LN(2)/2))/(LN(2)/2)*CG114*CJ114*VLOOKUP('Données projet'!$B$12,Paramètres!$A$1:$I$88,3,0)*0.475*44/12</f>
        <v>5.6995354136412596E-12</v>
      </c>
      <c r="CN114" s="22">
        <f t="shared" si="66"/>
        <v>0.72719913954654292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5.6843418860808015E-14</v>
      </c>
      <c r="CU114" s="17">
        <f>CT114*VLOOKUP('Données projet'!$B$13,Paramètres!$A$1:$I$88,3,0)*VLOOKUP('Données projet'!$B$13,Paramètres!$A$1:$I$88,5,0)</f>
        <v>2.8908289095852525E-14</v>
      </c>
      <c r="CV114" s="13">
        <f t="shared" si="95"/>
        <v>5.0177780569126974E-13</v>
      </c>
      <c r="CW114" s="20">
        <f t="shared" si="67"/>
        <v>9.2427828175423786E-13</v>
      </c>
      <c r="CX114" s="59">
        <f t="shared" si="68"/>
        <v>293.33333333333422</v>
      </c>
      <c r="CY114" s="59">
        <f ca="1">AVERAGE(OFFSET($CX$3,0,0,'Données projet'!$E$13+1,1))-AVERAGE(OFFSET($H$3,0,0,'Données projet'!$E$13+1,1))</f>
        <v>133.08385802816008</v>
      </c>
      <c r="CZ114" s="59">
        <f t="shared" si="96"/>
        <v>316.59112511251385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projet'!$B$13,Paramètres!$A$1:$I$88,7,0))</f>
        <v>0</v>
      </c>
      <c r="DD114" s="16">
        <f>IF(ISNA(VLOOKUP(A114,'Données projet'!$A$139:$I$159,6,0)),0%,VLOOKUP(A114,'Données projet'!$A$139:$I$159,6,0)*VLOOKUP('Données projet'!$B$13,Paramètres!$A$1:$I$88,7,0))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projet'!$B$13,Paramètres!$A$1:$I$88,3,0)*0.475*44/12</f>
        <v>14.517909564674696</v>
      </c>
      <c r="DG114" s="21">
        <f>EXP(-LN(2)/25)*DG113+(1-EXP(-LN(2)/25))/(LN(2)/25)*Calculateur!DB114*Calculateur!DD114*VLOOKUP('Données projet'!$B$13,Paramètres!$A$1:$I$88,3,0)*0.475*44/12</f>
        <v>0</v>
      </c>
      <c r="DH114" s="21">
        <f>EXP(-LN(2)/2)*DH113+(1-EXP(-LN(2)/2))/(LN(2)/2)*DB114*DE114*VLOOKUP('Données projet'!$B$13,Paramètres!$A$1:$I$88,3,0)*0.475*44/12</f>
        <v>3.6364028322998384E-12</v>
      </c>
      <c r="DI114" s="22">
        <f t="shared" si="69"/>
        <v>14.517909564678332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projet'!$B$14,Paramètres!$A$1:$I$88,3,0)*VLOOKUP('Données projet'!$B$14,Paramètres!$A$1:$I$88,5,0)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projet'!$B$14,Paramètres!$A$1:$I$88,7,0))</f>
        <v>0</v>
      </c>
      <c r="DY114" s="16">
        <f>IF(ISNA(VLOOKUP(A114,'Données projet'!$A$165:$I$185,6,0)),0%,VLOOKUP(A114,'Données projet'!$A$165:$I$185,6,0)*VLOOKUP('Données projet'!$B$14,Paramètres!$A$1:$I$88,7,0))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projet'!$B$14,Paramètres!$A$1:$I$88,3,0)*0.475*44/12</f>
        <v>#N/A</v>
      </c>
      <c r="EB114" s="21" t="e">
        <f>EXP(-LN(2)/25)*EB113+(1-EXP(-LN(2)/25))/(LN(2)/25)*Calculateur!DW114*Calculateur!DY114*VLOOKUP('Données projet'!$B$14,Paramètres!$A$1:$I$88,3,0)*0.475*44/12</f>
        <v>#N/A</v>
      </c>
      <c r="EC114" s="21" t="e">
        <f>EXP(-LN(2)/2)*EC113+(1-EXP(-LN(2)/2))/(LN(2)/2)*DW114*DZ114*VLOOKUP('Données projet'!$B$14,Paramètres!$A$1:$I$88,3,0)*0.475*44/12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projet'!$B$15,Paramètres!$A$1:$I$88,3,0)*VLOOKUP('Données projet'!$B$15,Paramètres!$A$1:$I$88,5,0)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projet'!$B$15,Paramètres!$A$1:$I$88,7,0))</f>
        <v>0</v>
      </c>
      <c r="ET114" s="16">
        <f>IF(ISNA(VLOOKUP(A114,'Données projet'!$A$191:$I$211,6,0)),0%,VLOOKUP(A114,'Données projet'!$A$191:$I$211,6,0)*VLOOKUP('Données projet'!$B$15,Paramètres!$A$1:$I$88,7,0))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projet'!$B$15,Paramètres!$A$1:$I$88,3,0)*0.475*44/12</f>
        <v>#N/A</v>
      </c>
      <c r="EW114" s="21" t="e">
        <f>EXP(-LN(2)/25)*EW113+(1-EXP(-LN(2)/25))/(LN(2)/25)*Calculateur!ER114*Calculateur!ET114*VLOOKUP('Données projet'!$B$15,Paramètres!$A$1:$I$88,3,0)*0.475*44/12</f>
        <v>#N/A</v>
      </c>
      <c r="EX114" s="21" t="e">
        <f>EXP(-LN(2)/2)*EX113+(1-EXP(-LN(2)/2))/(LN(2)/2)*ER114*EU114*VLOOKUP('Données projet'!$B$15,Paramètres!$A$1:$I$88,3,0)*0.475*44/12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projet'!$B$16,Paramètres!$A$1:$I$88,3,0)*VLOOKUP('Données projet'!$B$16,Paramètres!$A$1:$I$88,5,0)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projet'!$B$16,Paramètres!$A$1:$I$88,7,0))</f>
        <v>0</v>
      </c>
      <c r="FO114" s="16">
        <f>IF(ISNA(VLOOKUP(A114,'Données projet'!$A$217:$I$237,6,0)),0%,VLOOKUP(A114,'Données projet'!$A$217:$I$237,6,0)*VLOOKUP('Données projet'!$B$16,Paramètres!$A$1:$I$88,7,0))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projet'!$B$16,Paramètres!$A$1:$I$88,3,0)*0.475*44/12</f>
        <v>#N/A</v>
      </c>
      <c r="FR114" s="21" t="e">
        <f>EXP(-LN(2)/25)*FR113+(1-EXP(-LN(2)/25))/(LN(2)/25)*Calculateur!FM114*Calculateur!FO114*VLOOKUP('Données projet'!$B$16,Paramètres!$A$1:$I$88,3,0)*0.475*44/12</f>
        <v>#N/A</v>
      </c>
      <c r="FS114" s="21" t="e">
        <f>EXP(-LN(2)/2)*FS113+(1-EXP(-LN(2)/2))/(LN(2)/2)*FM114*FP114*VLOOKUP('Données projet'!$B$16,Paramètres!$A$1:$I$88,3,0)*0.475*44/12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projet'!$B$17,Paramètres!$A$1:$I$88,3,0)*VLOOKUP('Données projet'!$B$17,Paramètres!$A$1:$I$88,5,0)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projet'!$B$17,Paramètres!$A$1:$I$88,7,0))</f>
        <v>0</v>
      </c>
      <c r="GJ114" s="16">
        <f>IF(ISNA(VLOOKUP(A114,'Données projet'!$A$243:$I$263,6,0)),0%,VLOOKUP(A114,'Données projet'!$A$243:$I$263,6,0)*VLOOKUP('Données projet'!$B$17,Paramètres!$A$1:$I$88,7,0))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projet'!$B$17,Paramètres!$A$1:$I$88,3,0)*0.475*44/12</f>
        <v>#N/A</v>
      </c>
      <c r="GM114" s="21" t="e">
        <f>EXP(-LN(2)/25)*GM113+(1-EXP(-LN(2)/25))/(LN(2)/25)*Calculateur!GH114*Calculateur!GJ114*VLOOKUP('Données projet'!$B$17,Paramètres!$A$1:$I$88,3,0)*0.475*44/12</f>
        <v>#N/A</v>
      </c>
      <c r="GN114" s="21" t="e">
        <f>EXP(-LN(2)/2)*GN113+(1-EXP(-LN(2)/2))/(LN(2)/2)*GH114*GK114*VLOOKUP('Données projet'!$B$17,Paramètres!$A$1:$I$88,3,0)*0.475*44/12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projet'!$B$18,Paramètres!$A$1:$I$88,3,0)*VLOOKUP('Données projet'!$B$18,Paramètres!$A$1:$I$88,5,0)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projet'!$B$18,Paramètres!$A$1:$I$88,7,0))</f>
        <v>0</v>
      </c>
      <c r="HE114" s="16">
        <f>IF(ISNA(VLOOKUP(A114,'Données projet'!$A$269:$I$289,6,0)),0%,VLOOKUP(A114,'Données projet'!$A$269:$I$289,6,0)*VLOOKUP('Données projet'!$B$18,Paramètres!$A$1:$I$88,7,0))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projet'!$B$18,Paramètres!$A$1:$I$88,3,0)*0.475*44/12</f>
        <v>#N/A</v>
      </c>
      <c r="HH114" s="21" t="e">
        <f>EXP(-LN(2)/25)*HH113+(1-EXP(-LN(2)/25))/(LN(2)/25)*Calculateur!HC114*Calculateur!HE114*VLOOKUP('Données projet'!$B$18,Paramètres!$A$1:$I$88,3,0)*0.475*44/12</f>
        <v>#N/A</v>
      </c>
      <c r="HI114" s="21" t="e">
        <f>EXP(-LN(2)/2)*HI113+(1-EXP(-LN(2)/2))/(LN(2)/2)*HC114*HF114*VLOOKUP('Données projet'!$B$18,Paramètres!$A$1:$I$88,3,0)*0.475*44/12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projet'!$B$9,Paramètres!$A$1:$I$88,3,0)*VLOOKUP('Données projet'!$B$9,Paramètres!$A$1:$I$88,5,0)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195.73441209602686</v>
      </c>
      <c r="T115" s="59">
        <f t="shared" si="88"/>
        <v>219.19129224309006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projet'!$B$9,Paramètres!$A$1:$I$88,7,0))</f>
        <v>0</v>
      </c>
      <c r="X115" s="16">
        <f>IF(ISNA(VLOOKUP(A115,'Données projet'!$A$35:$I$55,6,0)),0%,VLOOKUP(A115,'Données projet'!$A$35:$I$55,6,0)*VLOOKUP('Données projet'!$B$9,Paramètres!$A$1:$I$88,7,0))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projet'!$B$9,Paramètres!$A$1:$I$88,3,0)*0.475*44/12</f>
        <v>3.0065335240677529</v>
      </c>
      <c r="AA115" s="21">
        <f>EXP(-LN(2)/25)*AA114+(1-EXP(-LN(2)/25))/(LN(2)/25)*Calculateur!V115*Calculateur!X115*VLOOKUP('Données projet'!$B$9,Paramètres!$A$1:$I$88,3,0)*0.475*44/12</f>
        <v>1.4575140597275626</v>
      </c>
      <c r="AB115" s="21">
        <f>EXP(-LN(2)/2)*AB114+(1-EXP(-LN(2)/2))/(LN(2)/2)*V115*Y115*VLOOKUP('Données projet'!$B$9,Paramètres!$A$1:$I$88,3,0)*0.475*44/12</f>
        <v>1.8040899811943948E-14</v>
      </c>
      <c r="AC115" s="22">
        <f t="shared" si="57"/>
        <v>4.4640475837953328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-4.5474735088646412E-13</v>
      </c>
      <c r="AJ115" s="13">
        <f>AI115*VLOOKUP('Données projet'!$B$10,Paramètres!$A$1:$I$88,3,0)*VLOOKUP('Données projet'!$B$10,Paramètres!$A$1:$I$88,5,0)</f>
        <v>-2.7193891583010558E-13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246.59447135626942</v>
      </c>
      <c r="AO115" s="59">
        <f t="shared" si="90"/>
        <v>262.00382544285367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projet'!$B$10,Paramètres!$A$1:$I$88,7,0))</f>
        <v>0</v>
      </c>
      <c r="AS115" s="16">
        <f>IF(ISNA(VLOOKUP(A115,'Données projet'!$A$61:$I$81,6,0)),0%,VLOOKUP(A115,'Données projet'!$A$61:$I$81,6,0)*VLOOKUP('Données projet'!$B$10,Paramètres!$A$1:$I$88,7,0))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projet'!$B$10,Paramètres!$A$1:$I$88,3,0)*0.475*44/12</f>
        <v>0</v>
      </c>
      <c r="AV115" s="21">
        <f>EXP(-LN(2)/25)*AV114+(1-EXP(-LN(2)/25))/(LN(2)/25)*Calculateur!AQ115*Calculateur!AS115*VLOOKUP('Données projet'!$B$10,Paramètres!$A$1:$I$88,3,0)*0.475*44/12</f>
        <v>1.3228172549759372</v>
      </c>
      <c r="AW115" s="21">
        <f>EXP(-LN(2)/2)*AW114+(1-EXP(-LN(2)/2))/(LN(2)/2)*AQ115*AT115*VLOOKUP('Données projet'!$B$10,Paramètres!$A$1:$I$88,3,0)*0.475*44/12</f>
        <v>1.0790863540850738E-11</v>
      </c>
      <c r="AX115" s="21">
        <f t="shared" si="60"/>
        <v>1.3228172549867281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-5.6843418860808015E-13</v>
      </c>
      <c r="BE115" s="13">
        <f>BD115*VLOOKUP('Données projet'!$B$11,Paramètres!$A$1:$I$88,3,0)*VLOOKUP('Données projet'!$B$11,Paramètres!$A$1:$I$88,5,0)</f>
        <v>-3.177547114319168E-13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355.96253323046608</v>
      </c>
      <c r="BJ115" s="59">
        <f t="shared" si="92"/>
        <v>366.8380442809696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projet'!$B$11,Paramètres!$A$1:$I$88,7,0))</f>
        <v>0</v>
      </c>
      <c r="BN115" s="16">
        <f>IF(ISNA(VLOOKUP(A115,'Données projet'!$A$87:$I$107,6,0)),0%,VLOOKUP(A115,'Données projet'!$A$87:$I$107,6,0)*VLOOKUP('Données projet'!$B$11,Paramètres!$A$1:$I$88,7,0))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projet'!$B$11,Paramètres!$A$1:$I$88,3,0)*0.475*44/12</f>
        <v>0</v>
      </c>
      <c r="BQ115" s="21">
        <f>EXP(-LN(2)/25)*BQ114+(1-EXP(-LN(2)/25))/(LN(2)/25)*Calculateur!BL115*Calculateur!BN115*VLOOKUP('Données projet'!$B$11,Paramètres!$A$1:$I$88,3,0)*0.475*44/12</f>
        <v>2.342066040272758</v>
      </c>
      <c r="BR115" s="21">
        <f>EXP(-LN(2)/2)*BR114+(1-EXP(-LN(2)/2))/(LN(2)/2)*BL115*BO115*VLOOKUP('Données projet'!$B$11,Paramètres!$A$1:$I$88,3,0)*0.475*44/12</f>
        <v>1.6684433315938653E-11</v>
      </c>
      <c r="BS115" s="22">
        <f t="shared" si="63"/>
        <v>2.3420660402894424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>
        <f>BY115*VLOOKUP('Données projet'!$B$12,Paramètres!$A$1:$I$88,3,0)*VLOOKUP('Données projet'!$B$12,Paramètres!$A$1:$I$88,5,0)</f>
        <v>3.7243808037601412E-14</v>
      </c>
      <c r="CA115" s="13">
        <f t="shared" si="93"/>
        <v>6.2767589361185393E-13</v>
      </c>
      <c r="CB115" s="20">
        <f t="shared" si="64"/>
        <v>1.1580684803728015E-12</v>
      </c>
      <c r="CC115" s="59">
        <f t="shared" si="65"/>
        <v>293.33333333333445</v>
      </c>
      <c r="CD115" s="59">
        <f ca="1">AVERAGE(OFFSET($CC$3,0,0,'Données projet'!$E$12+1,1))-AVERAGE(OFFSET($H$3,0,0,'Données projet'!$E$12+1,1))</f>
        <v>180.90147430936133</v>
      </c>
      <c r="CE115" s="59">
        <f t="shared" si="94"/>
        <v>226.87949199830018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projet'!$B$12,Paramètres!$A$1:$I$88,7,0))</f>
        <v>0</v>
      </c>
      <c r="CI115" s="16">
        <f>IF(ISNA(VLOOKUP(A115,'Données projet'!$A$113:$I$133,6,0)),0%,VLOOKUP(A115,'Données projet'!$A$113:$I$133,6,0)*VLOOKUP('Données projet'!$B$12,Paramètres!$A$1:$I$88,7,0))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projet'!$B$12,Paramètres!$A$1:$I$88,3,0)*0.475*44/12</f>
        <v>0</v>
      </c>
      <c r="CL115" s="21">
        <f>EXP(-LN(2)/25)*CL114+(1-EXP(-LN(2)/25))/(LN(2)/25)*Calculateur!CG115*Calculateur!CI115*VLOOKUP('Données projet'!$B$12,Paramètres!$A$1:$I$88,3,0)*0.475*44/12</f>
        <v>0.70731384082835824</v>
      </c>
      <c r="CM115" s="21">
        <f>EXP(-LN(2)/2)*CM114+(1-EXP(-LN(2)/2))/(LN(2)/2)*CG115*CJ115*VLOOKUP('Données projet'!$B$12,Paramètres!$A$1:$I$88,3,0)*0.475*44/12</f>
        <v>4.0301801405986087E-12</v>
      </c>
      <c r="CN115" s="22">
        <f t="shared" si="66"/>
        <v>0.70731384083238846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5.6843418860808015E-14</v>
      </c>
      <c r="CU115" s="17">
        <f>CT115*VLOOKUP('Données projet'!$B$13,Paramètres!$A$1:$I$88,3,0)*VLOOKUP('Données projet'!$B$13,Paramètres!$A$1:$I$88,5,0)</f>
        <v>2.8908289095852525E-14</v>
      </c>
      <c r="CV115" s="13">
        <f t="shared" si="95"/>
        <v>5.0177780569126974E-13</v>
      </c>
      <c r="CW115" s="20">
        <f t="shared" si="67"/>
        <v>9.2427828175423786E-13</v>
      </c>
      <c r="CX115" s="59">
        <f t="shared" si="68"/>
        <v>293.33333333333422</v>
      </c>
      <c r="CY115" s="59">
        <f ca="1">AVERAGE(OFFSET($CX$3,0,0,'Données projet'!$E$13+1,1))-AVERAGE(OFFSET($H$3,0,0,'Données projet'!$E$13+1,1))</f>
        <v>133.08385802816008</v>
      </c>
      <c r="CZ115" s="59">
        <f t="shared" si="96"/>
        <v>316.59112511251385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projet'!$B$13,Paramètres!$A$1:$I$88,7,0))</f>
        <v>0</v>
      </c>
      <c r="DD115" s="16">
        <f>IF(ISNA(VLOOKUP(A115,'Données projet'!$A$139:$I$159,6,0)),0%,VLOOKUP(A115,'Données projet'!$A$139:$I$159,6,0)*VLOOKUP('Données projet'!$B$13,Paramètres!$A$1:$I$88,7,0))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projet'!$B$13,Paramètres!$A$1:$I$88,3,0)*0.475*44/12</f>
        <v>14.233222213161897</v>
      </c>
      <c r="DG115" s="21">
        <f>EXP(-LN(2)/25)*DG114+(1-EXP(-LN(2)/25))/(LN(2)/25)*Calculateur!DB115*Calculateur!DD115*VLOOKUP('Données projet'!$B$13,Paramètres!$A$1:$I$88,3,0)*0.475*44/12</f>
        <v>0</v>
      </c>
      <c r="DH115" s="21">
        <f>EXP(-LN(2)/2)*DH114+(1-EXP(-LN(2)/2))/(LN(2)/2)*DB115*DE115*VLOOKUP('Données projet'!$B$13,Paramètres!$A$1:$I$88,3,0)*0.475*44/12</f>
        <v>2.5713251018451836E-12</v>
      </c>
      <c r="DI115" s="22">
        <f t="shared" si="69"/>
        <v>14.233222213164469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projet'!$B$14,Paramètres!$A$1:$I$88,3,0)*VLOOKUP('Données projet'!$B$14,Paramètres!$A$1:$I$88,5,0)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projet'!$B$14,Paramètres!$A$1:$I$88,7,0))</f>
        <v>0</v>
      </c>
      <c r="DY115" s="16">
        <f>IF(ISNA(VLOOKUP(A115,'Données projet'!$A$165:$I$185,6,0)),0%,VLOOKUP(A115,'Données projet'!$A$165:$I$185,6,0)*VLOOKUP('Données projet'!$B$14,Paramètres!$A$1:$I$88,7,0))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projet'!$B$14,Paramètres!$A$1:$I$88,3,0)*0.475*44/12</f>
        <v>#N/A</v>
      </c>
      <c r="EB115" s="21" t="e">
        <f>EXP(-LN(2)/25)*EB114+(1-EXP(-LN(2)/25))/(LN(2)/25)*Calculateur!DW115*Calculateur!DY115*VLOOKUP('Données projet'!$B$14,Paramètres!$A$1:$I$88,3,0)*0.475*44/12</f>
        <v>#N/A</v>
      </c>
      <c r="EC115" s="21" t="e">
        <f>EXP(-LN(2)/2)*EC114+(1-EXP(-LN(2)/2))/(LN(2)/2)*DW115*DZ115*VLOOKUP('Données projet'!$B$14,Paramètres!$A$1:$I$88,3,0)*0.475*44/12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projet'!$B$15,Paramètres!$A$1:$I$88,3,0)*VLOOKUP('Données projet'!$B$15,Paramètres!$A$1:$I$88,5,0)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projet'!$B$15,Paramètres!$A$1:$I$88,7,0))</f>
        <v>0</v>
      </c>
      <c r="ET115" s="16">
        <f>IF(ISNA(VLOOKUP(A115,'Données projet'!$A$191:$I$211,6,0)),0%,VLOOKUP(A115,'Données projet'!$A$191:$I$211,6,0)*VLOOKUP('Données projet'!$B$15,Paramètres!$A$1:$I$88,7,0))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projet'!$B$15,Paramètres!$A$1:$I$88,3,0)*0.475*44/12</f>
        <v>#N/A</v>
      </c>
      <c r="EW115" s="21" t="e">
        <f>EXP(-LN(2)/25)*EW114+(1-EXP(-LN(2)/25))/(LN(2)/25)*Calculateur!ER115*Calculateur!ET115*VLOOKUP('Données projet'!$B$15,Paramètres!$A$1:$I$88,3,0)*0.475*44/12</f>
        <v>#N/A</v>
      </c>
      <c r="EX115" s="21" t="e">
        <f>EXP(-LN(2)/2)*EX114+(1-EXP(-LN(2)/2))/(LN(2)/2)*ER115*EU115*VLOOKUP('Données projet'!$B$15,Paramètres!$A$1:$I$88,3,0)*0.475*44/12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projet'!$B$16,Paramètres!$A$1:$I$88,3,0)*VLOOKUP('Données projet'!$B$16,Paramètres!$A$1:$I$88,5,0)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projet'!$B$16,Paramètres!$A$1:$I$88,7,0))</f>
        <v>0</v>
      </c>
      <c r="FO115" s="16">
        <f>IF(ISNA(VLOOKUP(A115,'Données projet'!$A$217:$I$237,6,0)),0%,VLOOKUP(A115,'Données projet'!$A$217:$I$237,6,0)*VLOOKUP('Données projet'!$B$16,Paramètres!$A$1:$I$88,7,0))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projet'!$B$16,Paramètres!$A$1:$I$88,3,0)*0.475*44/12</f>
        <v>#N/A</v>
      </c>
      <c r="FR115" s="21" t="e">
        <f>EXP(-LN(2)/25)*FR114+(1-EXP(-LN(2)/25))/(LN(2)/25)*Calculateur!FM115*Calculateur!FO115*VLOOKUP('Données projet'!$B$16,Paramètres!$A$1:$I$88,3,0)*0.475*44/12</f>
        <v>#N/A</v>
      </c>
      <c r="FS115" s="21" t="e">
        <f>EXP(-LN(2)/2)*FS114+(1-EXP(-LN(2)/2))/(LN(2)/2)*FM115*FP115*VLOOKUP('Données projet'!$B$16,Paramètres!$A$1:$I$88,3,0)*0.475*44/12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projet'!$B$17,Paramètres!$A$1:$I$88,3,0)*VLOOKUP('Données projet'!$B$17,Paramètres!$A$1:$I$88,5,0)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projet'!$B$17,Paramètres!$A$1:$I$88,7,0))</f>
        <v>0</v>
      </c>
      <c r="GJ115" s="16">
        <f>IF(ISNA(VLOOKUP(A115,'Données projet'!$A$243:$I$263,6,0)),0%,VLOOKUP(A115,'Données projet'!$A$243:$I$263,6,0)*VLOOKUP('Données projet'!$B$17,Paramètres!$A$1:$I$88,7,0))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projet'!$B$17,Paramètres!$A$1:$I$88,3,0)*0.475*44/12</f>
        <v>#N/A</v>
      </c>
      <c r="GM115" s="21" t="e">
        <f>EXP(-LN(2)/25)*GM114+(1-EXP(-LN(2)/25))/(LN(2)/25)*Calculateur!GH115*Calculateur!GJ115*VLOOKUP('Données projet'!$B$17,Paramètres!$A$1:$I$88,3,0)*0.475*44/12</f>
        <v>#N/A</v>
      </c>
      <c r="GN115" s="21" t="e">
        <f>EXP(-LN(2)/2)*GN114+(1-EXP(-LN(2)/2))/(LN(2)/2)*GH115*GK115*VLOOKUP('Données projet'!$B$17,Paramètres!$A$1:$I$88,3,0)*0.475*44/12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projet'!$B$18,Paramètres!$A$1:$I$88,3,0)*VLOOKUP('Données projet'!$B$18,Paramètres!$A$1:$I$88,5,0)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projet'!$B$18,Paramètres!$A$1:$I$88,7,0))</f>
        <v>0</v>
      </c>
      <c r="HE115" s="16">
        <f>IF(ISNA(VLOOKUP(A115,'Données projet'!$A$269:$I$289,6,0)),0%,VLOOKUP(A115,'Données projet'!$A$269:$I$289,6,0)*VLOOKUP('Données projet'!$B$18,Paramètres!$A$1:$I$88,7,0))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projet'!$B$18,Paramètres!$A$1:$I$88,3,0)*0.475*44/12</f>
        <v>#N/A</v>
      </c>
      <c r="HH115" s="21" t="e">
        <f>EXP(-LN(2)/25)*HH114+(1-EXP(-LN(2)/25))/(LN(2)/25)*Calculateur!HC115*Calculateur!HE115*VLOOKUP('Données projet'!$B$18,Paramètres!$A$1:$I$88,3,0)*0.475*44/12</f>
        <v>#N/A</v>
      </c>
      <c r="HI115" s="21" t="e">
        <f>EXP(-LN(2)/2)*HI114+(1-EXP(-LN(2)/2))/(LN(2)/2)*HC115*HF115*VLOOKUP('Données projet'!$B$18,Paramètres!$A$1:$I$88,3,0)*0.475*44/12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projet'!$B$9,Paramètres!$A$1:$I$88,3,0)*VLOOKUP('Données projet'!$B$9,Paramètres!$A$1:$I$88,5,0)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195.73441209602686</v>
      </c>
      <c r="T116" s="59">
        <f t="shared" si="88"/>
        <v>219.19129224309006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projet'!$B$9,Paramètres!$A$1:$I$88,7,0))</f>
        <v>0</v>
      </c>
      <c r="X116" s="16">
        <f>IF(ISNA(VLOOKUP(A116,'Données projet'!$A$35:$I$55,6,0)),0%,VLOOKUP(A116,'Données projet'!$A$35:$I$55,6,0)*VLOOKUP('Données projet'!$B$9,Paramètres!$A$1:$I$88,7,0))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projet'!$B$9,Paramètres!$A$1:$I$88,3,0)*0.475*44/12</f>
        <v>2.9475772354651606</v>
      </c>
      <c r="AA116" s="21">
        <f>EXP(-LN(2)/25)*AA115+(1-EXP(-LN(2)/25))/(LN(2)/25)*Calculateur!V116*Calculateur!X116*VLOOKUP('Données projet'!$B$9,Paramètres!$A$1:$I$88,3,0)*0.475*44/12</f>
        <v>1.4176582611169792</v>
      </c>
      <c r="AB116" s="21">
        <f>EXP(-LN(2)/2)*AB115+(1-EXP(-LN(2)/2))/(LN(2)/2)*V116*Y116*VLOOKUP('Données projet'!$B$9,Paramètres!$A$1:$I$88,3,0)*0.475*44/12</f>
        <v>1.2756842595732675E-14</v>
      </c>
      <c r="AC116" s="22">
        <f t="shared" si="57"/>
        <v>4.3652354965821525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-4.5474735088646412E-13</v>
      </c>
      <c r="AJ116" s="13">
        <f>AI116*VLOOKUP('Données projet'!$B$10,Paramètres!$A$1:$I$88,3,0)*VLOOKUP('Données projet'!$B$10,Paramètres!$A$1:$I$88,5,0)</f>
        <v>-2.7193891583010558E-13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246.59447135626942</v>
      </c>
      <c r="AO116" s="59">
        <f t="shared" si="90"/>
        <v>262.00382544285367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projet'!$B$10,Paramètres!$A$1:$I$88,7,0))</f>
        <v>0</v>
      </c>
      <c r="AS116" s="16">
        <f>IF(ISNA(VLOOKUP(A116,'Données projet'!$A$61:$I$81,6,0)),0%,VLOOKUP(A116,'Données projet'!$A$61:$I$81,6,0)*VLOOKUP('Données projet'!$B$10,Paramètres!$A$1:$I$88,7,0))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projet'!$B$10,Paramètres!$A$1:$I$88,3,0)*0.475*44/12</f>
        <v>0</v>
      </c>
      <c r="AV116" s="21">
        <f>EXP(-LN(2)/25)*AV115+(1-EXP(-LN(2)/25))/(LN(2)/25)*Calculateur!AQ116*Calculateur!AS116*VLOOKUP('Données projet'!$B$10,Paramètres!$A$1:$I$88,3,0)*0.475*44/12</f>
        <v>1.2866447475746841</v>
      </c>
      <c r="AW116" s="21">
        <f>EXP(-LN(2)/2)*AW115+(1-EXP(-LN(2)/2))/(LN(2)/2)*AQ116*AT116*VLOOKUP('Données projet'!$B$10,Paramètres!$A$1:$I$88,3,0)*0.475*44/12</f>
        <v>7.6302927845942359E-12</v>
      </c>
      <c r="AX116" s="21">
        <f t="shared" si="60"/>
        <v>1.2866447475823144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-5.6843418860808015E-13</v>
      </c>
      <c r="BE116" s="13">
        <f>BD116*VLOOKUP('Données projet'!$B$11,Paramètres!$A$1:$I$88,3,0)*VLOOKUP('Données projet'!$B$11,Paramètres!$A$1:$I$88,5,0)</f>
        <v>-3.177547114319168E-13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355.96253323046608</v>
      </c>
      <c r="BJ116" s="59">
        <f t="shared" si="92"/>
        <v>366.8380442809696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projet'!$B$11,Paramètres!$A$1:$I$88,7,0))</f>
        <v>0</v>
      </c>
      <c r="BN116" s="16">
        <f>IF(ISNA(VLOOKUP(A116,'Données projet'!$A$87:$I$107,6,0)),0%,VLOOKUP(A116,'Données projet'!$A$87:$I$107,6,0)*VLOOKUP('Données projet'!$B$11,Paramètres!$A$1:$I$88,7,0))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projet'!$B$11,Paramètres!$A$1:$I$88,3,0)*0.475*44/12</f>
        <v>0</v>
      </c>
      <c r="BQ116" s="21">
        <f>EXP(-LN(2)/25)*BQ115+(1-EXP(-LN(2)/25))/(LN(2)/25)*Calculateur!BL116*Calculateur!BN116*VLOOKUP('Données projet'!$B$11,Paramètres!$A$1:$I$88,3,0)*0.475*44/12</f>
        <v>2.2780221212375991</v>
      </c>
      <c r="BR116" s="21">
        <f>EXP(-LN(2)/2)*BR115+(1-EXP(-LN(2)/2))/(LN(2)/2)*BL116*BO116*VLOOKUP('Données projet'!$B$11,Paramètres!$A$1:$I$88,3,0)*0.475*44/12</f>
        <v>1.1797675937954977E-11</v>
      </c>
      <c r="BS116" s="22">
        <f t="shared" si="63"/>
        <v>2.2780221212493967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>
        <f>BY116*VLOOKUP('Données projet'!$B$12,Paramètres!$A$1:$I$88,3,0)*VLOOKUP('Données projet'!$B$12,Paramètres!$A$1:$I$88,5,0)</f>
        <v>3.7243808037601412E-14</v>
      </c>
      <c r="CA116" s="13">
        <f t="shared" si="93"/>
        <v>6.2767589361185393E-13</v>
      </c>
      <c r="CB116" s="20">
        <f t="shared" si="64"/>
        <v>1.1580684803728015E-12</v>
      </c>
      <c r="CC116" s="59">
        <f t="shared" si="65"/>
        <v>293.33333333333445</v>
      </c>
      <c r="CD116" s="59">
        <f ca="1">AVERAGE(OFFSET($CC$3,0,0,'Données projet'!$E$12+1,1))-AVERAGE(OFFSET($H$3,0,0,'Données projet'!$E$12+1,1))</f>
        <v>180.90147430936133</v>
      </c>
      <c r="CE116" s="59">
        <f t="shared" si="94"/>
        <v>226.87949199830018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projet'!$B$12,Paramètres!$A$1:$I$88,7,0))</f>
        <v>0</v>
      </c>
      <c r="CI116" s="16">
        <f>IF(ISNA(VLOOKUP(A116,'Données projet'!$A$113:$I$133,6,0)),0%,VLOOKUP(A116,'Données projet'!$A$113:$I$133,6,0)*VLOOKUP('Données projet'!$B$12,Paramètres!$A$1:$I$88,7,0))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projet'!$B$12,Paramètres!$A$1:$I$88,3,0)*0.475*44/12</f>
        <v>0</v>
      </c>
      <c r="CL116" s="21">
        <f>EXP(-LN(2)/25)*CL115+(1-EXP(-LN(2)/25))/(LN(2)/25)*Calculateur!CG116*Calculateur!CI116*VLOOKUP('Données projet'!$B$12,Paramètres!$A$1:$I$88,3,0)*0.475*44/12</f>
        <v>0.68797230665488851</v>
      </c>
      <c r="CM116" s="21">
        <f>EXP(-LN(2)/2)*CM115+(1-EXP(-LN(2)/2))/(LN(2)/2)*CG116*CJ116*VLOOKUP('Données projet'!$B$12,Paramètres!$A$1:$I$88,3,0)*0.475*44/12</f>
        <v>2.8497677068206298E-12</v>
      </c>
      <c r="CN116" s="22">
        <f t="shared" si="66"/>
        <v>0.68797230665773823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5.6843418860808015E-14</v>
      </c>
      <c r="CU116" s="17">
        <f>CT116*VLOOKUP('Données projet'!$B$13,Paramètres!$A$1:$I$88,3,0)*VLOOKUP('Données projet'!$B$13,Paramètres!$A$1:$I$88,5,0)</f>
        <v>2.8908289095852525E-14</v>
      </c>
      <c r="CV116" s="13">
        <f t="shared" si="95"/>
        <v>5.0177780569126974E-13</v>
      </c>
      <c r="CW116" s="20">
        <f t="shared" si="67"/>
        <v>9.2427828175423786E-13</v>
      </c>
      <c r="CX116" s="59">
        <f t="shared" si="68"/>
        <v>293.33333333333422</v>
      </c>
      <c r="CY116" s="59">
        <f ca="1">AVERAGE(OFFSET($CX$3,0,0,'Données projet'!$E$13+1,1))-AVERAGE(OFFSET($H$3,0,0,'Données projet'!$E$13+1,1))</f>
        <v>133.08385802816008</v>
      </c>
      <c r="CZ116" s="59">
        <f t="shared" si="96"/>
        <v>316.59112511251385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projet'!$B$13,Paramètres!$A$1:$I$88,7,0))</f>
        <v>0</v>
      </c>
      <c r="DD116" s="16">
        <f>IF(ISNA(VLOOKUP(A116,'Données projet'!$A$139:$I$159,6,0)),0%,VLOOKUP(A116,'Données projet'!$A$139:$I$159,6,0)*VLOOKUP('Données projet'!$B$13,Paramètres!$A$1:$I$88,7,0))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projet'!$B$13,Paramètres!$A$1:$I$88,3,0)*0.475*44/12</f>
        <v>13.954117406970123</v>
      </c>
      <c r="DG116" s="21">
        <f>EXP(-LN(2)/25)*DG115+(1-EXP(-LN(2)/25))/(LN(2)/25)*Calculateur!DB116*Calculateur!DD116*VLOOKUP('Données projet'!$B$13,Paramètres!$A$1:$I$88,3,0)*0.475*44/12</f>
        <v>0</v>
      </c>
      <c r="DH116" s="21">
        <f>EXP(-LN(2)/2)*DH115+(1-EXP(-LN(2)/2))/(LN(2)/2)*DB116*DE116*VLOOKUP('Données projet'!$B$13,Paramètres!$A$1:$I$88,3,0)*0.475*44/12</f>
        <v>1.8182014161499194E-12</v>
      </c>
      <c r="DI116" s="22">
        <f t="shared" si="69"/>
        <v>13.954117406971942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projet'!$B$14,Paramètres!$A$1:$I$88,3,0)*VLOOKUP('Données projet'!$B$14,Paramètres!$A$1:$I$88,5,0)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projet'!$B$14,Paramètres!$A$1:$I$88,7,0))</f>
        <v>0</v>
      </c>
      <c r="DY116" s="16">
        <f>IF(ISNA(VLOOKUP(A116,'Données projet'!$A$165:$I$185,6,0)),0%,VLOOKUP(A116,'Données projet'!$A$165:$I$185,6,0)*VLOOKUP('Données projet'!$B$14,Paramètres!$A$1:$I$88,7,0))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projet'!$B$14,Paramètres!$A$1:$I$88,3,0)*0.475*44/12</f>
        <v>#N/A</v>
      </c>
      <c r="EB116" s="21" t="e">
        <f>EXP(-LN(2)/25)*EB115+(1-EXP(-LN(2)/25))/(LN(2)/25)*Calculateur!DW116*Calculateur!DY116*VLOOKUP('Données projet'!$B$14,Paramètres!$A$1:$I$88,3,0)*0.475*44/12</f>
        <v>#N/A</v>
      </c>
      <c r="EC116" s="21" t="e">
        <f>EXP(-LN(2)/2)*EC115+(1-EXP(-LN(2)/2))/(LN(2)/2)*DW116*DZ116*VLOOKUP('Données projet'!$B$14,Paramètres!$A$1:$I$88,3,0)*0.475*44/12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projet'!$B$15,Paramètres!$A$1:$I$88,3,0)*VLOOKUP('Données projet'!$B$15,Paramètres!$A$1:$I$88,5,0)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projet'!$B$15,Paramètres!$A$1:$I$88,7,0))</f>
        <v>0</v>
      </c>
      <c r="ET116" s="16">
        <f>IF(ISNA(VLOOKUP(A116,'Données projet'!$A$191:$I$211,6,0)),0%,VLOOKUP(A116,'Données projet'!$A$191:$I$211,6,0)*VLOOKUP('Données projet'!$B$15,Paramètres!$A$1:$I$88,7,0))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projet'!$B$15,Paramètres!$A$1:$I$88,3,0)*0.475*44/12</f>
        <v>#N/A</v>
      </c>
      <c r="EW116" s="21" t="e">
        <f>EXP(-LN(2)/25)*EW115+(1-EXP(-LN(2)/25))/(LN(2)/25)*Calculateur!ER116*Calculateur!ET116*VLOOKUP('Données projet'!$B$15,Paramètres!$A$1:$I$88,3,0)*0.475*44/12</f>
        <v>#N/A</v>
      </c>
      <c r="EX116" s="21" t="e">
        <f>EXP(-LN(2)/2)*EX115+(1-EXP(-LN(2)/2))/(LN(2)/2)*ER116*EU116*VLOOKUP('Données projet'!$B$15,Paramètres!$A$1:$I$88,3,0)*0.475*44/12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projet'!$B$16,Paramètres!$A$1:$I$88,3,0)*VLOOKUP('Données projet'!$B$16,Paramètres!$A$1:$I$88,5,0)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projet'!$B$16,Paramètres!$A$1:$I$88,7,0))</f>
        <v>0</v>
      </c>
      <c r="FO116" s="16">
        <f>IF(ISNA(VLOOKUP(A116,'Données projet'!$A$217:$I$237,6,0)),0%,VLOOKUP(A116,'Données projet'!$A$217:$I$237,6,0)*VLOOKUP('Données projet'!$B$16,Paramètres!$A$1:$I$88,7,0))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projet'!$B$16,Paramètres!$A$1:$I$88,3,0)*0.475*44/12</f>
        <v>#N/A</v>
      </c>
      <c r="FR116" s="21" t="e">
        <f>EXP(-LN(2)/25)*FR115+(1-EXP(-LN(2)/25))/(LN(2)/25)*Calculateur!FM116*Calculateur!FO116*VLOOKUP('Données projet'!$B$16,Paramètres!$A$1:$I$88,3,0)*0.475*44/12</f>
        <v>#N/A</v>
      </c>
      <c r="FS116" s="21" t="e">
        <f>EXP(-LN(2)/2)*FS115+(1-EXP(-LN(2)/2))/(LN(2)/2)*FM116*FP116*VLOOKUP('Données projet'!$B$16,Paramètres!$A$1:$I$88,3,0)*0.475*44/12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projet'!$B$17,Paramètres!$A$1:$I$88,3,0)*VLOOKUP('Données projet'!$B$17,Paramètres!$A$1:$I$88,5,0)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projet'!$B$17,Paramètres!$A$1:$I$88,7,0))</f>
        <v>0</v>
      </c>
      <c r="GJ116" s="16">
        <f>IF(ISNA(VLOOKUP(A116,'Données projet'!$A$243:$I$263,6,0)),0%,VLOOKUP(A116,'Données projet'!$A$243:$I$263,6,0)*VLOOKUP('Données projet'!$B$17,Paramètres!$A$1:$I$88,7,0))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projet'!$B$17,Paramètres!$A$1:$I$88,3,0)*0.475*44/12</f>
        <v>#N/A</v>
      </c>
      <c r="GM116" s="21" t="e">
        <f>EXP(-LN(2)/25)*GM115+(1-EXP(-LN(2)/25))/(LN(2)/25)*Calculateur!GH116*Calculateur!GJ116*VLOOKUP('Données projet'!$B$17,Paramètres!$A$1:$I$88,3,0)*0.475*44/12</f>
        <v>#N/A</v>
      </c>
      <c r="GN116" s="21" t="e">
        <f>EXP(-LN(2)/2)*GN115+(1-EXP(-LN(2)/2))/(LN(2)/2)*GH116*GK116*VLOOKUP('Données projet'!$B$17,Paramètres!$A$1:$I$88,3,0)*0.475*44/12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projet'!$B$18,Paramètres!$A$1:$I$88,3,0)*VLOOKUP('Données projet'!$B$18,Paramètres!$A$1:$I$88,5,0)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projet'!$B$18,Paramètres!$A$1:$I$88,7,0))</f>
        <v>0</v>
      </c>
      <c r="HE116" s="16">
        <f>IF(ISNA(VLOOKUP(A116,'Données projet'!$A$269:$I$289,6,0)),0%,VLOOKUP(A116,'Données projet'!$A$269:$I$289,6,0)*VLOOKUP('Données projet'!$B$18,Paramètres!$A$1:$I$88,7,0))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projet'!$B$18,Paramètres!$A$1:$I$88,3,0)*0.475*44/12</f>
        <v>#N/A</v>
      </c>
      <c r="HH116" s="21" t="e">
        <f>EXP(-LN(2)/25)*HH115+(1-EXP(-LN(2)/25))/(LN(2)/25)*Calculateur!HC116*Calculateur!HE116*VLOOKUP('Données projet'!$B$18,Paramètres!$A$1:$I$88,3,0)*0.475*44/12</f>
        <v>#N/A</v>
      </c>
      <c r="HI116" s="21" t="e">
        <f>EXP(-LN(2)/2)*HI115+(1-EXP(-LN(2)/2))/(LN(2)/2)*HC116*HF116*VLOOKUP('Données projet'!$B$18,Paramètres!$A$1:$I$88,3,0)*0.475*44/12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projet'!$B$9,Paramètres!$A$1:$I$88,3,0)*VLOOKUP('Données projet'!$B$9,Paramètres!$A$1:$I$88,5,0)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195.73441209602686</v>
      </c>
      <c r="T117" s="59">
        <f t="shared" si="88"/>
        <v>219.19129224309006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projet'!$B$9,Paramètres!$A$1:$I$88,7,0))</f>
        <v>0</v>
      </c>
      <c r="X117" s="16">
        <f>IF(ISNA(VLOOKUP(A117,'Données projet'!$A$35:$I$55,6,0)),0%,VLOOKUP(A117,'Données projet'!$A$35:$I$55,6,0)*VLOOKUP('Données projet'!$B$9,Paramètres!$A$1:$I$88,7,0))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projet'!$B$9,Paramètres!$A$1:$I$88,3,0)*0.475*44/12</f>
        <v>2.8897770437222801</v>
      </c>
      <c r="AA117" s="21">
        <f>EXP(-LN(2)/25)*AA116+(1-EXP(-LN(2)/25))/(LN(2)/25)*Calculateur!V117*Calculateur!X117*VLOOKUP('Données projet'!$B$9,Paramètres!$A$1:$I$88,3,0)*0.475*44/12</f>
        <v>1.3788923214153277</v>
      </c>
      <c r="AB117" s="21">
        <f>EXP(-LN(2)/2)*AB116+(1-EXP(-LN(2)/2))/(LN(2)/2)*V117*Y117*VLOOKUP('Données projet'!$B$9,Paramètres!$A$1:$I$88,3,0)*0.475*44/12</f>
        <v>9.0204499059719738E-15</v>
      </c>
      <c r="AC117" s="22">
        <f t="shared" si="57"/>
        <v>4.2686693651376171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-4.5474735088646412E-13</v>
      </c>
      <c r="AJ117" s="13">
        <f>AI117*VLOOKUP('Données projet'!$B$10,Paramètres!$A$1:$I$88,3,0)*VLOOKUP('Données projet'!$B$10,Paramètres!$A$1:$I$88,5,0)</f>
        <v>-2.7193891583010558E-13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246.59447135626942</v>
      </c>
      <c r="AO117" s="59">
        <f t="shared" si="90"/>
        <v>262.00382544285367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projet'!$B$10,Paramètres!$A$1:$I$88,7,0))</f>
        <v>0</v>
      </c>
      <c r="AS117" s="16">
        <f>IF(ISNA(VLOOKUP(A117,'Données projet'!$A$61:$I$81,6,0)),0%,VLOOKUP(A117,'Données projet'!$A$61:$I$81,6,0)*VLOOKUP('Données projet'!$B$10,Paramètres!$A$1:$I$88,7,0))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projet'!$B$10,Paramètres!$A$1:$I$88,3,0)*0.475*44/12</f>
        <v>0</v>
      </c>
      <c r="AV117" s="21">
        <f>EXP(-LN(2)/25)*AV116+(1-EXP(-LN(2)/25))/(LN(2)/25)*Calculateur!AQ117*Calculateur!AS117*VLOOKUP('Données projet'!$B$10,Paramètres!$A$1:$I$88,3,0)*0.475*44/12</f>
        <v>1.2514613792905478</v>
      </c>
      <c r="AW117" s="21">
        <f>EXP(-LN(2)/2)*AW116+(1-EXP(-LN(2)/2))/(LN(2)/2)*AQ117*AT117*VLOOKUP('Données projet'!$B$10,Paramètres!$A$1:$I$88,3,0)*0.475*44/12</f>
        <v>5.3954317704253689E-12</v>
      </c>
      <c r="AX117" s="21">
        <f t="shared" si="60"/>
        <v>1.2514613792959433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-5.6843418860808015E-13</v>
      </c>
      <c r="BE117" s="13">
        <f>BD117*VLOOKUP('Données projet'!$B$11,Paramètres!$A$1:$I$88,3,0)*VLOOKUP('Données projet'!$B$11,Paramètres!$A$1:$I$88,5,0)</f>
        <v>-3.177547114319168E-13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355.96253323046608</v>
      </c>
      <c r="BJ117" s="59">
        <f t="shared" si="92"/>
        <v>366.8380442809696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projet'!$B$11,Paramètres!$A$1:$I$88,7,0))</f>
        <v>0</v>
      </c>
      <c r="BN117" s="16">
        <f>IF(ISNA(VLOOKUP(A117,'Données projet'!$A$87:$I$107,6,0)),0%,VLOOKUP(A117,'Données projet'!$A$87:$I$107,6,0)*VLOOKUP('Données projet'!$B$11,Paramètres!$A$1:$I$88,7,0))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projet'!$B$11,Paramètres!$A$1:$I$88,3,0)*0.475*44/12</f>
        <v>0</v>
      </c>
      <c r="BQ117" s="21">
        <f>EXP(-LN(2)/25)*BQ116+(1-EXP(-LN(2)/25))/(LN(2)/25)*Calculateur!BL117*Calculateur!BN117*VLOOKUP('Données projet'!$B$11,Paramètres!$A$1:$I$88,3,0)*0.475*44/12</f>
        <v>2.2157294865363801</v>
      </c>
      <c r="BR117" s="21">
        <f>EXP(-LN(2)/2)*BR116+(1-EXP(-LN(2)/2))/(LN(2)/2)*BL117*BO117*VLOOKUP('Données projet'!$B$11,Paramètres!$A$1:$I$88,3,0)*0.475*44/12</f>
        <v>8.3422166579693267E-12</v>
      </c>
      <c r="BS117" s="22">
        <f t="shared" si="63"/>
        <v>2.2157294865447223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>
        <f>BY117*VLOOKUP('Données projet'!$B$12,Paramètres!$A$1:$I$88,3,0)*VLOOKUP('Données projet'!$B$12,Paramètres!$A$1:$I$88,5,0)</f>
        <v>3.7243808037601412E-14</v>
      </c>
      <c r="CA117" s="13">
        <f t="shared" si="93"/>
        <v>6.2767589361185393E-13</v>
      </c>
      <c r="CB117" s="20">
        <f t="shared" si="64"/>
        <v>1.1580684803728015E-12</v>
      </c>
      <c r="CC117" s="59">
        <f t="shared" si="65"/>
        <v>293.33333333333445</v>
      </c>
      <c r="CD117" s="59">
        <f ca="1">AVERAGE(OFFSET($CC$3,0,0,'Données projet'!$E$12+1,1))-AVERAGE(OFFSET($H$3,0,0,'Données projet'!$E$12+1,1))</f>
        <v>180.90147430936133</v>
      </c>
      <c r="CE117" s="59">
        <f t="shared" si="94"/>
        <v>226.87949199830018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projet'!$B$12,Paramètres!$A$1:$I$88,7,0))</f>
        <v>0</v>
      </c>
      <c r="CI117" s="16">
        <f>IF(ISNA(VLOOKUP(A117,'Données projet'!$A$113:$I$133,6,0)),0%,VLOOKUP(A117,'Données projet'!$A$113:$I$133,6,0)*VLOOKUP('Données projet'!$B$12,Paramètres!$A$1:$I$88,7,0))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projet'!$B$12,Paramètres!$A$1:$I$88,3,0)*0.475*44/12</f>
        <v>0</v>
      </c>
      <c r="CL117" s="21">
        <f>EXP(-LN(2)/25)*CL116+(1-EXP(-LN(2)/25))/(LN(2)/25)*Calculateur!CG117*Calculateur!CI117*VLOOKUP('Données projet'!$B$12,Paramètres!$A$1:$I$88,3,0)*0.475*44/12</f>
        <v>0.66915966775051938</v>
      </c>
      <c r="CM117" s="21">
        <f>EXP(-LN(2)/2)*CM116+(1-EXP(-LN(2)/2))/(LN(2)/2)*CG117*CJ117*VLOOKUP('Données projet'!$B$12,Paramètres!$A$1:$I$88,3,0)*0.475*44/12</f>
        <v>2.0150900702993043E-12</v>
      </c>
      <c r="CN117" s="22">
        <f t="shared" si="66"/>
        <v>0.66915966775253444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5.6843418860808015E-14</v>
      </c>
      <c r="CU117" s="17">
        <f>CT117*VLOOKUP('Données projet'!$B$13,Paramètres!$A$1:$I$88,3,0)*VLOOKUP('Données projet'!$B$13,Paramètres!$A$1:$I$88,5,0)</f>
        <v>2.8908289095852525E-14</v>
      </c>
      <c r="CV117" s="13">
        <f t="shared" si="95"/>
        <v>5.0177780569126974E-13</v>
      </c>
      <c r="CW117" s="20">
        <f t="shared" si="67"/>
        <v>9.2427828175423786E-13</v>
      </c>
      <c r="CX117" s="59">
        <f t="shared" si="68"/>
        <v>293.33333333333422</v>
      </c>
      <c r="CY117" s="59">
        <f ca="1">AVERAGE(OFFSET($CX$3,0,0,'Données projet'!$E$13+1,1))-AVERAGE(OFFSET($H$3,0,0,'Données projet'!$E$13+1,1))</f>
        <v>133.08385802816008</v>
      </c>
      <c r="CZ117" s="59">
        <f t="shared" si="96"/>
        <v>316.59112511251385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projet'!$B$13,Paramètres!$A$1:$I$88,7,0))</f>
        <v>0</v>
      </c>
      <c r="DD117" s="16">
        <f>IF(ISNA(VLOOKUP(A117,'Données projet'!$A$139:$I$159,6,0)),0%,VLOOKUP(A117,'Données projet'!$A$139:$I$159,6,0)*VLOOKUP('Données projet'!$B$13,Paramètres!$A$1:$I$88,7,0))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projet'!$B$13,Paramètres!$A$1:$I$88,3,0)*0.475*44/12</f>
        <v>13.680485675790649</v>
      </c>
      <c r="DG117" s="21">
        <f>EXP(-LN(2)/25)*DG116+(1-EXP(-LN(2)/25))/(LN(2)/25)*Calculateur!DB117*Calculateur!DD117*VLOOKUP('Données projet'!$B$13,Paramètres!$A$1:$I$88,3,0)*0.475*44/12</f>
        <v>0</v>
      </c>
      <c r="DH117" s="21">
        <f>EXP(-LN(2)/2)*DH116+(1-EXP(-LN(2)/2))/(LN(2)/2)*DB117*DE117*VLOOKUP('Données projet'!$B$13,Paramètres!$A$1:$I$88,3,0)*0.475*44/12</f>
        <v>1.285662550922592E-12</v>
      </c>
      <c r="DI117" s="22">
        <f t="shared" si="69"/>
        <v>13.680485675791935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projet'!$B$14,Paramètres!$A$1:$I$88,3,0)*VLOOKUP('Données projet'!$B$14,Paramètres!$A$1:$I$88,5,0)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projet'!$B$14,Paramètres!$A$1:$I$88,7,0))</f>
        <v>0</v>
      </c>
      <c r="DY117" s="16">
        <f>IF(ISNA(VLOOKUP(A117,'Données projet'!$A$165:$I$185,6,0)),0%,VLOOKUP(A117,'Données projet'!$A$165:$I$185,6,0)*VLOOKUP('Données projet'!$B$14,Paramètres!$A$1:$I$88,7,0))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projet'!$B$14,Paramètres!$A$1:$I$88,3,0)*0.475*44/12</f>
        <v>#N/A</v>
      </c>
      <c r="EB117" s="21" t="e">
        <f>EXP(-LN(2)/25)*EB116+(1-EXP(-LN(2)/25))/(LN(2)/25)*Calculateur!DW117*Calculateur!DY117*VLOOKUP('Données projet'!$B$14,Paramètres!$A$1:$I$88,3,0)*0.475*44/12</f>
        <v>#N/A</v>
      </c>
      <c r="EC117" s="21" t="e">
        <f>EXP(-LN(2)/2)*EC116+(1-EXP(-LN(2)/2))/(LN(2)/2)*DW117*DZ117*VLOOKUP('Données projet'!$B$14,Paramètres!$A$1:$I$88,3,0)*0.475*44/12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projet'!$B$15,Paramètres!$A$1:$I$88,3,0)*VLOOKUP('Données projet'!$B$15,Paramètres!$A$1:$I$88,5,0)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projet'!$B$15,Paramètres!$A$1:$I$88,7,0))</f>
        <v>0</v>
      </c>
      <c r="ET117" s="16">
        <f>IF(ISNA(VLOOKUP(A117,'Données projet'!$A$191:$I$211,6,0)),0%,VLOOKUP(A117,'Données projet'!$A$191:$I$211,6,0)*VLOOKUP('Données projet'!$B$15,Paramètres!$A$1:$I$88,7,0))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projet'!$B$15,Paramètres!$A$1:$I$88,3,0)*0.475*44/12</f>
        <v>#N/A</v>
      </c>
      <c r="EW117" s="21" t="e">
        <f>EXP(-LN(2)/25)*EW116+(1-EXP(-LN(2)/25))/(LN(2)/25)*Calculateur!ER117*Calculateur!ET117*VLOOKUP('Données projet'!$B$15,Paramètres!$A$1:$I$88,3,0)*0.475*44/12</f>
        <v>#N/A</v>
      </c>
      <c r="EX117" s="21" t="e">
        <f>EXP(-LN(2)/2)*EX116+(1-EXP(-LN(2)/2))/(LN(2)/2)*ER117*EU117*VLOOKUP('Données projet'!$B$15,Paramètres!$A$1:$I$88,3,0)*0.475*44/12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projet'!$B$16,Paramètres!$A$1:$I$88,3,0)*VLOOKUP('Données projet'!$B$16,Paramètres!$A$1:$I$88,5,0)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projet'!$B$16,Paramètres!$A$1:$I$88,7,0))</f>
        <v>0</v>
      </c>
      <c r="FO117" s="16">
        <f>IF(ISNA(VLOOKUP(A117,'Données projet'!$A$217:$I$237,6,0)),0%,VLOOKUP(A117,'Données projet'!$A$217:$I$237,6,0)*VLOOKUP('Données projet'!$B$16,Paramètres!$A$1:$I$88,7,0))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projet'!$B$16,Paramètres!$A$1:$I$88,3,0)*0.475*44/12</f>
        <v>#N/A</v>
      </c>
      <c r="FR117" s="21" t="e">
        <f>EXP(-LN(2)/25)*FR116+(1-EXP(-LN(2)/25))/(LN(2)/25)*Calculateur!FM117*Calculateur!FO117*VLOOKUP('Données projet'!$B$16,Paramètres!$A$1:$I$88,3,0)*0.475*44/12</f>
        <v>#N/A</v>
      </c>
      <c r="FS117" s="21" t="e">
        <f>EXP(-LN(2)/2)*FS116+(1-EXP(-LN(2)/2))/(LN(2)/2)*FM117*FP117*VLOOKUP('Données projet'!$B$16,Paramètres!$A$1:$I$88,3,0)*0.475*44/12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projet'!$B$17,Paramètres!$A$1:$I$88,3,0)*VLOOKUP('Données projet'!$B$17,Paramètres!$A$1:$I$88,5,0)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projet'!$B$17,Paramètres!$A$1:$I$88,7,0))</f>
        <v>0</v>
      </c>
      <c r="GJ117" s="16">
        <f>IF(ISNA(VLOOKUP(A117,'Données projet'!$A$243:$I$263,6,0)),0%,VLOOKUP(A117,'Données projet'!$A$243:$I$263,6,0)*VLOOKUP('Données projet'!$B$17,Paramètres!$A$1:$I$88,7,0))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projet'!$B$17,Paramètres!$A$1:$I$88,3,0)*0.475*44/12</f>
        <v>#N/A</v>
      </c>
      <c r="GM117" s="21" t="e">
        <f>EXP(-LN(2)/25)*GM116+(1-EXP(-LN(2)/25))/(LN(2)/25)*Calculateur!GH117*Calculateur!GJ117*VLOOKUP('Données projet'!$B$17,Paramètres!$A$1:$I$88,3,0)*0.475*44/12</f>
        <v>#N/A</v>
      </c>
      <c r="GN117" s="21" t="e">
        <f>EXP(-LN(2)/2)*GN116+(1-EXP(-LN(2)/2))/(LN(2)/2)*GH117*GK117*VLOOKUP('Données projet'!$B$17,Paramètres!$A$1:$I$88,3,0)*0.475*44/12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projet'!$B$18,Paramètres!$A$1:$I$88,3,0)*VLOOKUP('Données projet'!$B$18,Paramètres!$A$1:$I$88,5,0)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projet'!$B$18,Paramètres!$A$1:$I$88,7,0))</f>
        <v>0</v>
      </c>
      <c r="HE117" s="16">
        <f>IF(ISNA(VLOOKUP(A117,'Données projet'!$A$269:$I$289,6,0)),0%,VLOOKUP(A117,'Données projet'!$A$269:$I$289,6,0)*VLOOKUP('Données projet'!$B$18,Paramètres!$A$1:$I$88,7,0))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projet'!$B$18,Paramètres!$A$1:$I$88,3,0)*0.475*44/12</f>
        <v>#N/A</v>
      </c>
      <c r="HH117" s="21" t="e">
        <f>EXP(-LN(2)/25)*HH116+(1-EXP(-LN(2)/25))/(LN(2)/25)*Calculateur!HC117*Calculateur!HE117*VLOOKUP('Données projet'!$B$18,Paramètres!$A$1:$I$88,3,0)*0.475*44/12</f>
        <v>#N/A</v>
      </c>
      <c r="HI117" s="21" t="e">
        <f>EXP(-LN(2)/2)*HI116+(1-EXP(-LN(2)/2))/(LN(2)/2)*HC117*HF117*VLOOKUP('Données projet'!$B$18,Paramètres!$A$1:$I$88,3,0)*0.475*44/12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projet'!$B$9,Paramètres!$A$1:$I$88,3,0)*VLOOKUP('Données projet'!$B$9,Paramètres!$A$1:$I$88,5,0)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195.73441209602686</v>
      </c>
      <c r="T118" s="59">
        <f t="shared" si="88"/>
        <v>219.19129224309006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projet'!$B$9,Paramètres!$A$1:$I$88,7,0))</f>
        <v>0</v>
      </c>
      <c r="X118" s="16">
        <f>IF(ISNA(VLOOKUP(A118,'Données projet'!$A$35:$I$55,6,0)),0%,VLOOKUP(A118,'Données projet'!$A$35:$I$55,6,0)*VLOOKUP('Données projet'!$B$9,Paramètres!$A$1:$I$88,7,0))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projet'!$B$9,Paramètres!$A$1:$I$88,3,0)*0.475*44/12</f>
        <v>2.8331102784848414</v>
      </c>
      <c r="AA118" s="21">
        <f>EXP(-LN(2)/25)*AA117+(1-EXP(-LN(2)/25))/(LN(2)/25)*Calculateur!V118*Calculateur!X118*VLOOKUP('Données projet'!$B$9,Paramètres!$A$1:$I$88,3,0)*0.475*44/12</f>
        <v>1.3411864383734298</v>
      </c>
      <c r="AB118" s="21">
        <f>EXP(-LN(2)/2)*AB117+(1-EXP(-LN(2)/2))/(LN(2)/2)*V118*Y118*VLOOKUP('Données projet'!$B$9,Paramètres!$A$1:$I$88,3,0)*0.475*44/12</f>
        <v>6.3784212978663377E-15</v>
      </c>
      <c r="AC118" s="22">
        <f t="shared" si="57"/>
        <v>4.1742967168582776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-4.5474735088646412E-13</v>
      </c>
      <c r="AJ118" s="13">
        <f>AI118*VLOOKUP('Données projet'!$B$10,Paramètres!$A$1:$I$88,3,0)*VLOOKUP('Données projet'!$B$10,Paramètres!$A$1:$I$88,5,0)</f>
        <v>-2.7193891583010558E-13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246.59447135626942</v>
      </c>
      <c r="AO118" s="59">
        <f t="shared" si="90"/>
        <v>262.00382544285367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projet'!$B$10,Paramètres!$A$1:$I$88,7,0))</f>
        <v>0</v>
      </c>
      <c r="AS118" s="16">
        <f>IF(ISNA(VLOOKUP(A118,'Données projet'!$A$61:$I$81,6,0)),0%,VLOOKUP(A118,'Données projet'!$A$61:$I$81,6,0)*VLOOKUP('Données projet'!$B$10,Paramètres!$A$1:$I$88,7,0))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projet'!$B$10,Paramètres!$A$1:$I$88,3,0)*0.475*44/12</f>
        <v>0</v>
      </c>
      <c r="AV118" s="21">
        <f>EXP(-LN(2)/25)*AV117+(1-EXP(-LN(2)/25))/(LN(2)/25)*Calculateur!AQ118*Calculateur!AS118*VLOOKUP('Données projet'!$B$10,Paramètres!$A$1:$I$88,3,0)*0.475*44/12</f>
        <v>1.217240102062354</v>
      </c>
      <c r="AW118" s="21">
        <f>EXP(-LN(2)/2)*AW117+(1-EXP(-LN(2)/2))/(LN(2)/2)*AQ118*AT118*VLOOKUP('Données projet'!$B$10,Paramètres!$A$1:$I$88,3,0)*0.475*44/12</f>
        <v>3.8151463922971179E-12</v>
      </c>
      <c r="AX118" s="21">
        <f t="shared" si="60"/>
        <v>1.2172401020661692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-5.6843418860808015E-13</v>
      </c>
      <c r="BE118" s="13">
        <f>BD118*VLOOKUP('Données projet'!$B$11,Paramètres!$A$1:$I$88,3,0)*VLOOKUP('Données projet'!$B$11,Paramètres!$A$1:$I$88,5,0)</f>
        <v>-3.177547114319168E-13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355.96253323046608</v>
      </c>
      <c r="BJ118" s="59">
        <f t="shared" si="92"/>
        <v>366.8380442809696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projet'!$B$11,Paramètres!$A$1:$I$88,7,0))</f>
        <v>0</v>
      </c>
      <c r="BN118" s="16">
        <f>IF(ISNA(VLOOKUP(A118,'Données projet'!$A$87:$I$107,6,0)),0%,VLOOKUP(A118,'Données projet'!$A$87:$I$107,6,0)*VLOOKUP('Données projet'!$B$11,Paramètres!$A$1:$I$88,7,0))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projet'!$B$11,Paramètres!$A$1:$I$88,3,0)*0.475*44/12</f>
        <v>0</v>
      </c>
      <c r="BQ118" s="21">
        <f>EXP(-LN(2)/25)*BQ117+(1-EXP(-LN(2)/25))/(LN(2)/25)*Calculateur!BL118*Calculateur!BN118*VLOOKUP('Données projet'!$B$11,Paramètres!$A$1:$I$88,3,0)*0.475*44/12</f>
        <v>2.1551402472068935</v>
      </c>
      <c r="BR118" s="21">
        <f>EXP(-LN(2)/2)*BR117+(1-EXP(-LN(2)/2))/(LN(2)/2)*BL118*BO118*VLOOKUP('Données projet'!$B$11,Paramètres!$A$1:$I$88,3,0)*0.475*44/12</f>
        <v>5.8988379689774886E-12</v>
      </c>
      <c r="BS118" s="22">
        <f t="shared" si="63"/>
        <v>2.1551402472127923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>
        <f>BY118*VLOOKUP('Données projet'!$B$12,Paramètres!$A$1:$I$88,3,0)*VLOOKUP('Données projet'!$B$12,Paramètres!$A$1:$I$88,5,0)</f>
        <v>3.7243808037601412E-14</v>
      </c>
      <c r="CA118" s="13">
        <f t="shared" si="93"/>
        <v>6.2767589361185393E-13</v>
      </c>
      <c r="CB118" s="20">
        <f t="shared" si="64"/>
        <v>1.1580684803728015E-12</v>
      </c>
      <c r="CC118" s="59">
        <f t="shared" si="65"/>
        <v>293.33333333333445</v>
      </c>
      <c r="CD118" s="59">
        <f ca="1">AVERAGE(OFFSET($CC$3,0,0,'Données projet'!$E$12+1,1))-AVERAGE(OFFSET($H$3,0,0,'Données projet'!$E$12+1,1))</f>
        <v>180.90147430936133</v>
      </c>
      <c r="CE118" s="59">
        <f t="shared" si="94"/>
        <v>226.87949199830018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projet'!$B$12,Paramètres!$A$1:$I$88,7,0))</f>
        <v>0</v>
      </c>
      <c r="CI118" s="16">
        <f>IF(ISNA(VLOOKUP(A118,'Données projet'!$A$113:$I$133,6,0)),0%,VLOOKUP(A118,'Données projet'!$A$113:$I$133,6,0)*VLOOKUP('Données projet'!$B$12,Paramètres!$A$1:$I$88,7,0))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projet'!$B$12,Paramètres!$A$1:$I$88,3,0)*0.475*44/12</f>
        <v>0</v>
      </c>
      <c r="CL118" s="21">
        <f>EXP(-LN(2)/25)*CL117+(1-EXP(-LN(2)/25))/(LN(2)/25)*Calculateur!CG118*Calculateur!CI118*VLOOKUP('Données projet'!$B$12,Paramètres!$A$1:$I$88,3,0)*0.475*44/12</f>
        <v>0.65086146144630386</v>
      </c>
      <c r="CM118" s="21">
        <f>EXP(-LN(2)/2)*CM117+(1-EXP(-LN(2)/2))/(LN(2)/2)*CG118*CJ118*VLOOKUP('Données projet'!$B$12,Paramètres!$A$1:$I$88,3,0)*0.475*44/12</f>
        <v>1.4248838534103149E-12</v>
      </c>
      <c r="CN118" s="22">
        <f t="shared" si="66"/>
        <v>0.65086146144772872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5.6843418860808015E-14</v>
      </c>
      <c r="CU118" s="17">
        <f>CT118*VLOOKUP('Données projet'!$B$13,Paramètres!$A$1:$I$88,3,0)*VLOOKUP('Données projet'!$B$13,Paramètres!$A$1:$I$88,5,0)</f>
        <v>2.8908289095852525E-14</v>
      </c>
      <c r="CV118" s="13">
        <f t="shared" si="95"/>
        <v>5.0177780569126974E-13</v>
      </c>
      <c r="CW118" s="20">
        <f t="shared" si="67"/>
        <v>9.2427828175423786E-13</v>
      </c>
      <c r="CX118" s="59">
        <f t="shared" si="68"/>
        <v>293.33333333333422</v>
      </c>
      <c r="CY118" s="59">
        <f ca="1">AVERAGE(OFFSET($CX$3,0,0,'Données projet'!$E$13+1,1))-AVERAGE(OFFSET($H$3,0,0,'Données projet'!$E$13+1,1))</f>
        <v>133.08385802816008</v>
      </c>
      <c r="CZ118" s="59">
        <f t="shared" si="96"/>
        <v>316.59112511251385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projet'!$B$13,Paramètres!$A$1:$I$88,7,0))</f>
        <v>0</v>
      </c>
      <c r="DD118" s="16">
        <f>IF(ISNA(VLOOKUP(A118,'Données projet'!$A$139:$I$159,6,0)),0%,VLOOKUP(A118,'Données projet'!$A$139:$I$159,6,0)*VLOOKUP('Données projet'!$B$13,Paramètres!$A$1:$I$88,7,0))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projet'!$B$13,Paramètres!$A$1:$I$88,3,0)*0.475*44/12</f>
        <v>13.412219695960728</v>
      </c>
      <c r="DG118" s="21">
        <f>EXP(-LN(2)/25)*DG117+(1-EXP(-LN(2)/25))/(LN(2)/25)*Calculateur!DB118*Calculateur!DD118*VLOOKUP('Données projet'!$B$13,Paramètres!$A$1:$I$88,3,0)*0.475*44/12</f>
        <v>0</v>
      </c>
      <c r="DH118" s="21">
        <f>EXP(-LN(2)/2)*DH117+(1-EXP(-LN(2)/2))/(LN(2)/2)*DB118*DE118*VLOOKUP('Données projet'!$B$13,Paramètres!$A$1:$I$88,3,0)*0.475*44/12</f>
        <v>9.0910070807495979E-13</v>
      </c>
      <c r="DI118" s="22">
        <f t="shared" si="69"/>
        <v>13.412219695961637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projet'!$B$14,Paramètres!$A$1:$I$88,3,0)*VLOOKUP('Données projet'!$B$14,Paramètres!$A$1:$I$88,5,0)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projet'!$B$14,Paramètres!$A$1:$I$88,7,0))</f>
        <v>0</v>
      </c>
      <c r="DY118" s="16">
        <f>IF(ISNA(VLOOKUP(A118,'Données projet'!$A$165:$I$185,6,0)),0%,VLOOKUP(A118,'Données projet'!$A$165:$I$185,6,0)*VLOOKUP('Données projet'!$B$14,Paramètres!$A$1:$I$88,7,0))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projet'!$B$14,Paramètres!$A$1:$I$88,3,0)*0.475*44/12</f>
        <v>#N/A</v>
      </c>
      <c r="EB118" s="21" t="e">
        <f>EXP(-LN(2)/25)*EB117+(1-EXP(-LN(2)/25))/(LN(2)/25)*Calculateur!DW118*Calculateur!DY118*VLOOKUP('Données projet'!$B$14,Paramètres!$A$1:$I$88,3,0)*0.475*44/12</f>
        <v>#N/A</v>
      </c>
      <c r="EC118" s="21" t="e">
        <f>EXP(-LN(2)/2)*EC117+(1-EXP(-LN(2)/2))/(LN(2)/2)*DW118*DZ118*VLOOKUP('Données projet'!$B$14,Paramètres!$A$1:$I$88,3,0)*0.475*44/12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projet'!$B$15,Paramètres!$A$1:$I$88,3,0)*VLOOKUP('Données projet'!$B$15,Paramètres!$A$1:$I$88,5,0)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projet'!$B$15,Paramètres!$A$1:$I$88,7,0))</f>
        <v>0</v>
      </c>
      <c r="ET118" s="16">
        <f>IF(ISNA(VLOOKUP(A118,'Données projet'!$A$191:$I$211,6,0)),0%,VLOOKUP(A118,'Données projet'!$A$191:$I$211,6,0)*VLOOKUP('Données projet'!$B$15,Paramètres!$A$1:$I$88,7,0))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projet'!$B$15,Paramètres!$A$1:$I$88,3,0)*0.475*44/12</f>
        <v>#N/A</v>
      </c>
      <c r="EW118" s="21" t="e">
        <f>EXP(-LN(2)/25)*EW117+(1-EXP(-LN(2)/25))/(LN(2)/25)*Calculateur!ER118*Calculateur!ET118*VLOOKUP('Données projet'!$B$15,Paramètres!$A$1:$I$88,3,0)*0.475*44/12</f>
        <v>#N/A</v>
      </c>
      <c r="EX118" s="21" t="e">
        <f>EXP(-LN(2)/2)*EX117+(1-EXP(-LN(2)/2))/(LN(2)/2)*ER118*EU118*VLOOKUP('Données projet'!$B$15,Paramètres!$A$1:$I$88,3,0)*0.475*44/12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projet'!$B$16,Paramètres!$A$1:$I$88,3,0)*VLOOKUP('Données projet'!$B$16,Paramètres!$A$1:$I$88,5,0)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projet'!$B$16,Paramètres!$A$1:$I$88,7,0))</f>
        <v>0</v>
      </c>
      <c r="FO118" s="16">
        <f>IF(ISNA(VLOOKUP(A118,'Données projet'!$A$217:$I$237,6,0)),0%,VLOOKUP(A118,'Données projet'!$A$217:$I$237,6,0)*VLOOKUP('Données projet'!$B$16,Paramètres!$A$1:$I$88,7,0))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projet'!$B$16,Paramètres!$A$1:$I$88,3,0)*0.475*44/12</f>
        <v>#N/A</v>
      </c>
      <c r="FR118" s="21" t="e">
        <f>EXP(-LN(2)/25)*FR117+(1-EXP(-LN(2)/25))/(LN(2)/25)*Calculateur!FM118*Calculateur!FO118*VLOOKUP('Données projet'!$B$16,Paramètres!$A$1:$I$88,3,0)*0.475*44/12</f>
        <v>#N/A</v>
      </c>
      <c r="FS118" s="21" t="e">
        <f>EXP(-LN(2)/2)*FS117+(1-EXP(-LN(2)/2))/(LN(2)/2)*FM118*FP118*VLOOKUP('Données projet'!$B$16,Paramètres!$A$1:$I$88,3,0)*0.475*44/12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projet'!$B$17,Paramètres!$A$1:$I$88,3,0)*VLOOKUP('Données projet'!$B$17,Paramètres!$A$1:$I$88,5,0)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projet'!$B$17,Paramètres!$A$1:$I$88,7,0))</f>
        <v>0</v>
      </c>
      <c r="GJ118" s="16">
        <f>IF(ISNA(VLOOKUP(A118,'Données projet'!$A$243:$I$263,6,0)),0%,VLOOKUP(A118,'Données projet'!$A$243:$I$263,6,0)*VLOOKUP('Données projet'!$B$17,Paramètres!$A$1:$I$88,7,0))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projet'!$B$17,Paramètres!$A$1:$I$88,3,0)*0.475*44/12</f>
        <v>#N/A</v>
      </c>
      <c r="GM118" s="21" t="e">
        <f>EXP(-LN(2)/25)*GM117+(1-EXP(-LN(2)/25))/(LN(2)/25)*Calculateur!GH118*Calculateur!GJ118*VLOOKUP('Données projet'!$B$17,Paramètres!$A$1:$I$88,3,0)*0.475*44/12</f>
        <v>#N/A</v>
      </c>
      <c r="GN118" s="21" t="e">
        <f>EXP(-LN(2)/2)*GN117+(1-EXP(-LN(2)/2))/(LN(2)/2)*GH118*GK118*VLOOKUP('Données projet'!$B$17,Paramètres!$A$1:$I$88,3,0)*0.475*44/12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projet'!$B$18,Paramètres!$A$1:$I$88,3,0)*VLOOKUP('Données projet'!$B$18,Paramètres!$A$1:$I$88,5,0)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projet'!$B$18,Paramètres!$A$1:$I$88,7,0))</f>
        <v>0</v>
      </c>
      <c r="HE118" s="16">
        <f>IF(ISNA(VLOOKUP(A118,'Données projet'!$A$269:$I$289,6,0)),0%,VLOOKUP(A118,'Données projet'!$A$269:$I$289,6,0)*VLOOKUP('Données projet'!$B$18,Paramètres!$A$1:$I$88,7,0))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projet'!$B$18,Paramètres!$A$1:$I$88,3,0)*0.475*44/12</f>
        <v>#N/A</v>
      </c>
      <c r="HH118" s="21" t="e">
        <f>EXP(-LN(2)/25)*HH117+(1-EXP(-LN(2)/25))/(LN(2)/25)*Calculateur!HC118*Calculateur!HE118*VLOOKUP('Données projet'!$B$18,Paramètres!$A$1:$I$88,3,0)*0.475*44/12</f>
        <v>#N/A</v>
      </c>
      <c r="HI118" s="21" t="e">
        <f>EXP(-LN(2)/2)*HI117+(1-EXP(-LN(2)/2))/(LN(2)/2)*HC118*HF118*VLOOKUP('Données projet'!$B$18,Paramètres!$A$1:$I$88,3,0)*0.475*44/12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projet'!$B$9,Paramètres!$A$1:$I$88,3,0)*VLOOKUP('Données projet'!$B$9,Paramètres!$A$1:$I$88,5,0)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195.73441209602686</v>
      </c>
      <c r="T119" s="59">
        <f t="shared" si="88"/>
        <v>219.19129224309006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projet'!$B$9,Paramètres!$A$1:$I$88,7,0))</f>
        <v>0</v>
      </c>
      <c r="X119" s="16">
        <f>IF(ISNA(VLOOKUP(A119,'Données projet'!$A$35:$I$55,6,0)),0%,VLOOKUP(A119,'Données projet'!$A$35:$I$55,6,0)*VLOOKUP('Données projet'!$B$9,Paramètres!$A$1:$I$88,7,0))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projet'!$B$9,Paramètres!$A$1:$I$88,3,0)*0.475*44/12</f>
        <v>2.7775547139503951</v>
      </c>
      <c r="AA119" s="21">
        <f>EXP(-LN(2)/25)*AA118+(1-EXP(-LN(2)/25))/(LN(2)/25)*Calculateur!V119*Calculateur!X119*VLOOKUP('Données projet'!$B$9,Paramètres!$A$1:$I$88,3,0)*0.475*44/12</f>
        <v>1.3045116246861788</v>
      </c>
      <c r="AB119" s="21">
        <f>EXP(-LN(2)/2)*AB118+(1-EXP(-LN(2)/2))/(LN(2)/2)*V119*Y119*VLOOKUP('Données projet'!$B$9,Paramètres!$A$1:$I$88,3,0)*0.475*44/12</f>
        <v>4.5102249529859869E-15</v>
      </c>
      <c r="AC119" s="22">
        <f t="shared" si="57"/>
        <v>4.0820663386365785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-4.5474735088646412E-13</v>
      </c>
      <c r="AJ119" s="13">
        <f>AI119*VLOOKUP('Données projet'!$B$10,Paramètres!$A$1:$I$88,3,0)*VLOOKUP('Données projet'!$B$10,Paramètres!$A$1:$I$88,5,0)</f>
        <v>-2.7193891583010558E-13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246.59447135626942</v>
      </c>
      <c r="AO119" s="59">
        <f t="shared" si="90"/>
        <v>262.00382544285367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projet'!$B$10,Paramètres!$A$1:$I$88,7,0))</f>
        <v>0</v>
      </c>
      <c r="AS119" s="16">
        <f>IF(ISNA(VLOOKUP(A119,'Données projet'!$A$61:$I$81,6,0)),0%,VLOOKUP(A119,'Données projet'!$A$61:$I$81,6,0)*VLOOKUP('Données projet'!$B$10,Paramètres!$A$1:$I$88,7,0))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projet'!$B$10,Paramètres!$A$1:$I$88,3,0)*0.475*44/12</f>
        <v>0</v>
      </c>
      <c r="AV119" s="21">
        <f>EXP(-LN(2)/25)*AV118+(1-EXP(-LN(2)/25))/(LN(2)/25)*Calculateur!AQ119*Calculateur!AS119*VLOOKUP('Données projet'!$B$10,Paramètres!$A$1:$I$88,3,0)*0.475*44/12</f>
        <v>1.1839546074595839</v>
      </c>
      <c r="AW119" s="21">
        <f>EXP(-LN(2)/2)*AW118+(1-EXP(-LN(2)/2))/(LN(2)/2)*AQ119*AT119*VLOOKUP('Données projet'!$B$10,Paramètres!$A$1:$I$88,3,0)*0.475*44/12</f>
        <v>2.6977158852126844E-12</v>
      </c>
      <c r="AX119" s="21">
        <f t="shared" si="60"/>
        <v>1.1839546074622815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-5.6843418860808015E-13</v>
      </c>
      <c r="BE119" s="13">
        <f>BD119*VLOOKUP('Données projet'!$B$11,Paramètres!$A$1:$I$88,3,0)*VLOOKUP('Données projet'!$B$11,Paramètres!$A$1:$I$88,5,0)</f>
        <v>-3.177547114319168E-13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355.96253323046608</v>
      </c>
      <c r="BJ119" s="59">
        <f t="shared" si="92"/>
        <v>366.8380442809696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projet'!$B$11,Paramètres!$A$1:$I$88,7,0))</f>
        <v>0</v>
      </c>
      <c r="BN119" s="16">
        <f>IF(ISNA(VLOOKUP(A119,'Données projet'!$A$87:$I$107,6,0)),0%,VLOOKUP(A119,'Données projet'!$A$87:$I$107,6,0)*VLOOKUP('Données projet'!$B$11,Paramètres!$A$1:$I$88,7,0))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projet'!$B$11,Paramètres!$A$1:$I$88,3,0)*0.475*44/12</f>
        <v>0</v>
      </c>
      <c r="BQ119" s="21">
        <f>EXP(-LN(2)/25)*BQ118+(1-EXP(-LN(2)/25))/(LN(2)/25)*Calculateur!BL119*Calculateur!BN119*VLOOKUP('Données projet'!$B$11,Paramètres!$A$1:$I$88,3,0)*0.475*44/12</f>
        <v>2.096207823813121</v>
      </c>
      <c r="BR119" s="21">
        <f>EXP(-LN(2)/2)*BR118+(1-EXP(-LN(2)/2))/(LN(2)/2)*BL119*BO119*VLOOKUP('Données projet'!$B$11,Paramètres!$A$1:$I$88,3,0)*0.475*44/12</f>
        <v>4.1711083289846633E-12</v>
      </c>
      <c r="BS119" s="22">
        <f t="shared" si="63"/>
        <v>2.0962078238172923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projet'!$B$12,Paramètres!$A$1:$I$88,3,0)*VLOOKUP('Données projet'!$B$12,Paramètres!$A$1:$I$88,5,0)</f>
        <v>3.7243808037601412E-14</v>
      </c>
      <c r="CA119" s="13">
        <f t="shared" si="93"/>
        <v>6.2767589361185393E-13</v>
      </c>
      <c r="CB119" s="20">
        <f t="shared" si="64"/>
        <v>1.1580684803728015E-12</v>
      </c>
      <c r="CC119" s="59">
        <f t="shared" si="65"/>
        <v>293.33333333333445</v>
      </c>
      <c r="CD119" s="59">
        <f ca="1">AVERAGE(OFFSET($CC$3,0,0,'Données projet'!$E$12+1,1))-AVERAGE(OFFSET($H$3,0,0,'Données projet'!$E$12+1,1))</f>
        <v>180.90147430936133</v>
      </c>
      <c r="CE119" s="59">
        <f t="shared" si="94"/>
        <v>226.87949199830018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projet'!$B$12,Paramètres!$A$1:$I$88,7,0))</f>
        <v>0</v>
      </c>
      <c r="CI119" s="16">
        <f>IF(ISNA(VLOOKUP(A119,'Données projet'!$A$113:$I$133,6,0)),0%,VLOOKUP(A119,'Données projet'!$A$113:$I$133,6,0)*VLOOKUP('Données projet'!$B$12,Paramètres!$A$1:$I$88,7,0))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projet'!$B$12,Paramètres!$A$1:$I$88,3,0)*0.475*44/12</f>
        <v>0</v>
      </c>
      <c r="CL119" s="21">
        <f>EXP(-LN(2)/25)*CL118+(1-EXP(-LN(2)/25))/(LN(2)/25)*Calculateur!CG119*Calculateur!CI119*VLOOKUP('Données projet'!$B$12,Paramètres!$A$1:$I$88,3,0)*0.475*44/12</f>
        <v>0.63306362055573795</v>
      </c>
      <c r="CM119" s="21">
        <f>EXP(-LN(2)/2)*CM118+(1-EXP(-LN(2)/2))/(LN(2)/2)*CG119*CJ119*VLOOKUP('Données projet'!$B$12,Paramètres!$A$1:$I$88,3,0)*0.475*44/12</f>
        <v>1.0075450351496522E-12</v>
      </c>
      <c r="CN119" s="22">
        <f t="shared" si="66"/>
        <v>0.63306362055674548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5.6843418860808015E-14</v>
      </c>
      <c r="CU119" s="17">
        <f>CT119*VLOOKUP('Données projet'!$B$13,Paramètres!$A$1:$I$88,3,0)*VLOOKUP('Données projet'!$B$13,Paramètres!$A$1:$I$88,5,0)</f>
        <v>2.8908289095852525E-14</v>
      </c>
      <c r="CV119" s="13">
        <f t="shared" si="95"/>
        <v>5.0177780569126974E-13</v>
      </c>
      <c r="CW119" s="20">
        <f t="shared" si="67"/>
        <v>9.2427828175423786E-13</v>
      </c>
      <c r="CX119" s="59">
        <f t="shared" si="68"/>
        <v>293.33333333333422</v>
      </c>
      <c r="CY119" s="59">
        <f ca="1">AVERAGE(OFFSET($CX$3,0,0,'Données projet'!$E$13+1,1))-AVERAGE(OFFSET($H$3,0,0,'Données projet'!$E$13+1,1))</f>
        <v>133.08385802816008</v>
      </c>
      <c r="CZ119" s="59">
        <f t="shared" si="96"/>
        <v>316.59112511251385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projet'!$B$13,Paramètres!$A$1:$I$88,7,0))</f>
        <v>0</v>
      </c>
      <c r="DD119" s="16">
        <f>IF(ISNA(VLOOKUP(A119,'Données projet'!$A$139:$I$159,6,0)),0%,VLOOKUP(A119,'Données projet'!$A$139:$I$159,6,0)*VLOOKUP('Données projet'!$B$13,Paramètres!$A$1:$I$88,7,0))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projet'!$B$13,Paramètres!$A$1:$I$88,3,0)*0.475*44/12</f>
        <v>13.14921424836918</v>
      </c>
      <c r="DG119" s="21">
        <f>EXP(-LN(2)/25)*DG118+(1-EXP(-LN(2)/25))/(LN(2)/25)*Calculateur!DB119*Calculateur!DD119*VLOOKUP('Données projet'!$B$13,Paramètres!$A$1:$I$88,3,0)*0.475*44/12</f>
        <v>0</v>
      </c>
      <c r="DH119" s="21">
        <f>EXP(-LN(2)/2)*DH118+(1-EXP(-LN(2)/2))/(LN(2)/2)*DB119*DE119*VLOOKUP('Données projet'!$B$13,Paramètres!$A$1:$I$88,3,0)*0.475*44/12</f>
        <v>6.428312754612961E-13</v>
      </c>
      <c r="DI119" s="22">
        <f t="shared" si="69"/>
        <v>13.149214248369823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projet'!$B$14,Paramètres!$A$1:$I$88,3,0)*VLOOKUP('Données projet'!$B$14,Paramètres!$A$1:$I$88,5,0)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projet'!$B$14,Paramètres!$A$1:$I$88,7,0))</f>
        <v>0</v>
      </c>
      <c r="DY119" s="16">
        <f>IF(ISNA(VLOOKUP(A119,'Données projet'!$A$165:$I$185,6,0)),0%,VLOOKUP(A119,'Données projet'!$A$165:$I$185,6,0)*VLOOKUP('Données projet'!$B$14,Paramètres!$A$1:$I$88,7,0))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projet'!$B$14,Paramètres!$A$1:$I$88,3,0)*0.475*44/12</f>
        <v>#N/A</v>
      </c>
      <c r="EB119" s="21" t="e">
        <f>EXP(-LN(2)/25)*EB118+(1-EXP(-LN(2)/25))/(LN(2)/25)*Calculateur!DW119*Calculateur!DY119*VLOOKUP('Données projet'!$B$14,Paramètres!$A$1:$I$88,3,0)*0.475*44/12</f>
        <v>#N/A</v>
      </c>
      <c r="EC119" s="21" t="e">
        <f>EXP(-LN(2)/2)*EC118+(1-EXP(-LN(2)/2))/(LN(2)/2)*DW119*DZ119*VLOOKUP('Données projet'!$B$14,Paramètres!$A$1:$I$88,3,0)*0.475*44/12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projet'!$B$15,Paramètres!$A$1:$I$88,3,0)*VLOOKUP('Données projet'!$B$15,Paramètres!$A$1:$I$88,5,0)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projet'!$B$15,Paramètres!$A$1:$I$88,7,0))</f>
        <v>0</v>
      </c>
      <c r="ET119" s="16">
        <f>IF(ISNA(VLOOKUP(A119,'Données projet'!$A$191:$I$211,6,0)),0%,VLOOKUP(A119,'Données projet'!$A$191:$I$211,6,0)*VLOOKUP('Données projet'!$B$15,Paramètres!$A$1:$I$88,7,0))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projet'!$B$15,Paramètres!$A$1:$I$88,3,0)*0.475*44/12</f>
        <v>#N/A</v>
      </c>
      <c r="EW119" s="21" t="e">
        <f>EXP(-LN(2)/25)*EW118+(1-EXP(-LN(2)/25))/(LN(2)/25)*Calculateur!ER119*Calculateur!ET119*VLOOKUP('Données projet'!$B$15,Paramètres!$A$1:$I$88,3,0)*0.475*44/12</f>
        <v>#N/A</v>
      </c>
      <c r="EX119" s="21" t="e">
        <f>EXP(-LN(2)/2)*EX118+(1-EXP(-LN(2)/2))/(LN(2)/2)*ER119*EU119*VLOOKUP('Données projet'!$B$15,Paramètres!$A$1:$I$88,3,0)*0.475*44/12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projet'!$B$16,Paramètres!$A$1:$I$88,3,0)*VLOOKUP('Données projet'!$B$16,Paramètres!$A$1:$I$88,5,0)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projet'!$B$16,Paramètres!$A$1:$I$88,7,0))</f>
        <v>0</v>
      </c>
      <c r="FO119" s="16">
        <f>IF(ISNA(VLOOKUP(A119,'Données projet'!$A$217:$I$237,6,0)),0%,VLOOKUP(A119,'Données projet'!$A$217:$I$237,6,0)*VLOOKUP('Données projet'!$B$16,Paramètres!$A$1:$I$88,7,0))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projet'!$B$16,Paramètres!$A$1:$I$88,3,0)*0.475*44/12</f>
        <v>#N/A</v>
      </c>
      <c r="FR119" s="21" t="e">
        <f>EXP(-LN(2)/25)*FR118+(1-EXP(-LN(2)/25))/(LN(2)/25)*Calculateur!FM119*Calculateur!FO119*VLOOKUP('Données projet'!$B$16,Paramètres!$A$1:$I$88,3,0)*0.475*44/12</f>
        <v>#N/A</v>
      </c>
      <c r="FS119" s="21" t="e">
        <f>EXP(-LN(2)/2)*FS118+(1-EXP(-LN(2)/2))/(LN(2)/2)*FM119*FP119*VLOOKUP('Données projet'!$B$16,Paramètres!$A$1:$I$88,3,0)*0.475*44/12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projet'!$B$17,Paramètres!$A$1:$I$88,3,0)*VLOOKUP('Données projet'!$B$17,Paramètres!$A$1:$I$88,5,0)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projet'!$B$17,Paramètres!$A$1:$I$88,7,0))</f>
        <v>0</v>
      </c>
      <c r="GJ119" s="16">
        <f>IF(ISNA(VLOOKUP(A119,'Données projet'!$A$243:$I$263,6,0)),0%,VLOOKUP(A119,'Données projet'!$A$243:$I$263,6,0)*VLOOKUP('Données projet'!$B$17,Paramètres!$A$1:$I$88,7,0))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projet'!$B$17,Paramètres!$A$1:$I$88,3,0)*0.475*44/12</f>
        <v>#N/A</v>
      </c>
      <c r="GM119" s="21" t="e">
        <f>EXP(-LN(2)/25)*GM118+(1-EXP(-LN(2)/25))/(LN(2)/25)*Calculateur!GH119*Calculateur!GJ119*VLOOKUP('Données projet'!$B$17,Paramètres!$A$1:$I$88,3,0)*0.475*44/12</f>
        <v>#N/A</v>
      </c>
      <c r="GN119" s="21" t="e">
        <f>EXP(-LN(2)/2)*GN118+(1-EXP(-LN(2)/2))/(LN(2)/2)*GH119*GK119*VLOOKUP('Données projet'!$B$17,Paramètres!$A$1:$I$88,3,0)*0.475*44/12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projet'!$B$18,Paramètres!$A$1:$I$88,3,0)*VLOOKUP('Données projet'!$B$18,Paramètres!$A$1:$I$88,5,0)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projet'!$B$18,Paramètres!$A$1:$I$88,7,0))</f>
        <v>0</v>
      </c>
      <c r="HE119" s="16">
        <f>IF(ISNA(VLOOKUP(A119,'Données projet'!$A$269:$I$289,6,0)),0%,VLOOKUP(A119,'Données projet'!$A$269:$I$289,6,0)*VLOOKUP('Données projet'!$B$18,Paramètres!$A$1:$I$88,7,0))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projet'!$B$18,Paramètres!$A$1:$I$88,3,0)*0.475*44/12</f>
        <v>#N/A</v>
      </c>
      <c r="HH119" s="21" t="e">
        <f>EXP(-LN(2)/25)*HH118+(1-EXP(-LN(2)/25))/(LN(2)/25)*Calculateur!HC119*Calculateur!HE119*VLOOKUP('Données projet'!$B$18,Paramètres!$A$1:$I$88,3,0)*0.475*44/12</f>
        <v>#N/A</v>
      </c>
      <c r="HI119" s="21" t="e">
        <f>EXP(-LN(2)/2)*HI118+(1-EXP(-LN(2)/2))/(LN(2)/2)*HC119*HF119*VLOOKUP('Données projet'!$B$18,Paramètres!$A$1:$I$88,3,0)*0.475*44/12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projet'!$B$9,Paramètres!$A$1:$I$88,3,0)*VLOOKUP('Données projet'!$B$9,Paramètres!$A$1:$I$88,5,0)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195.73441209602686</v>
      </c>
      <c r="T120" s="59">
        <f t="shared" si="88"/>
        <v>219.19129224309006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projet'!$B$9,Paramètres!$A$1:$I$88,7,0))</f>
        <v>0</v>
      </c>
      <c r="X120" s="16">
        <f>IF(ISNA(VLOOKUP(A120,'Données projet'!$A$35:$I$55,6,0)),0%,VLOOKUP(A120,'Données projet'!$A$35:$I$55,6,0)*VLOOKUP('Données projet'!$B$9,Paramètres!$A$1:$I$88,7,0))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projet'!$B$9,Paramètres!$A$1:$I$88,3,0)*0.475*44/12</f>
        <v>2.7230885601509209</v>
      </c>
      <c r="AA120" s="21">
        <f>EXP(-LN(2)/25)*AA119+(1-EXP(-LN(2)/25))/(LN(2)/25)*Calculateur!V120*Calculateur!X120*VLOOKUP('Données projet'!$B$9,Paramètres!$A$1:$I$88,3,0)*0.475*44/12</f>
        <v>1.2688396857078503</v>
      </c>
      <c r="AB120" s="21">
        <f>EXP(-LN(2)/2)*AB119+(1-EXP(-LN(2)/2))/(LN(2)/2)*V120*Y120*VLOOKUP('Données projet'!$B$9,Paramètres!$A$1:$I$88,3,0)*0.475*44/12</f>
        <v>3.1892106489331689E-15</v>
      </c>
      <c r="AC120" s="22">
        <f t="shared" si="57"/>
        <v>3.9919282458587744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-4.5474735088646412E-13</v>
      </c>
      <c r="AJ120" s="13">
        <f>AI120*VLOOKUP('Données projet'!$B$10,Paramètres!$A$1:$I$88,3,0)*VLOOKUP('Données projet'!$B$10,Paramètres!$A$1:$I$88,5,0)</f>
        <v>-2.7193891583010558E-13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246.59447135626942</v>
      </c>
      <c r="AO120" s="59">
        <f t="shared" si="90"/>
        <v>262.00382544285367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projet'!$B$10,Paramètres!$A$1:$I$88,7,0))</f>
        <v>0</v>
      </c>
      <c r="AS120" s="16">
        <f>IF(ISNA(VLOOKUP(A120,'Données projet'!$A$61:$I$81,6,0)),0%,VLOOKUP(A120,'Données projet'!$A$61:$I$81,6,0)*VLOOKUP('Données projet'!$B$10,Paramètres!$A$1:$I$88,7,0))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projet'!$B$10,Paramètres!$A$1:$I$88,3,0)*0.475*44/12</f>
        <v>0</v>
      </c>
      <c r="AV120" s="21">
        <f>EXP(-LN(2)/25)*AV119+(1-EXP(-LN(2)/25))/(LN(2)/25)*Calculateur!AQ120*Calculateur!AS120*VLOOKUP('Données projet'!$B$10,Paramètres!$A$1:$I$88,3,0)*0.475*44/12</f>
        <v>1.1515793064571347</v>
      </c>
      <c r="AW120" s="21">
        <f>EXP(-LN(2)/2)*AW119+(1-EXP(-LN(2)/2))/(LN(2)/2)*AQ120*AT120*VLOOKUP('Données projet'!$B$10,Paramètres!$A$1:$I$88,3,0)*0.475*44/12</f>
        <v>1.907573196148559E-12</v>
      </c>
      <c r="AX120" s="21">
        <f t="shared" si="60"/>
        <v>1.1515793064590423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-5.6843418860808015E-13</v>
      </c>
      <c r="BE120" s="13">
        <f>BD120*VLOOKUP('Données projet'!$B$11,Paramètres!$A$1:$I$88,3,0)*VLOOKUP('Données projet'!$B$11,Paramètres!$A$1:$I$88,5,0)</f>
        <v>-3.177547114319168E-13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355.96253323046608</v>
      </c>
      <c r="BJ120" s="59">
        <f t="shared" si="92"/>
        <v>366.8380442809696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projet'!$B$11,Paramètres!$A$1:$I$88,7,0))</f>
        <v>0</v>
      </c>
      <c r="BN120" s="16">
        <f>IF(ISNA(VLOOKUP(A120,'Données projet'!$A$87:$I$107,6,0)),0%,VLOOKUP(A120,'Données projet'!$A$87:$I$107,6,0)*VLOOKUP('Données projet'!$B$11,Paramètres!$A$1:$I$88,7,0))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projet'!$B$11,Paramètres!$A$1:$I$88,3,0)*0.475*44/12</f>
        <v>0</v>
      </c>
      <c r="BQ120" s="21">
        <f>EXP(-LN(2)/25)*BQ119+(1-EXP(-LN(2)/25))/(LN(2)/25)*Calculateur!BL120*Calculateur!BN120*VLOOKUP('Données projet'!$B$11,Paramètres!$A$1:$I$88,3,0)*0.475*44/12</f>
        <v>2.0388869106361729</v>
      </c>
      <c r="BR120" s="21">
        <f>EXP(-LN(2)/2)*BR119+(1-EXP(-LN(2)/2))/(LN(2)/2)*BL120*BO120*VLOOKUP('Données projet'!$B$11,Paramètres!$A$1:$I$88,3,0)*0.475*44/12</f>
        <v>2.9494189844887443E-12</v>
      </c>
      <c r="BS120" s="22">
        <f t="shared" si="63"/>
        <v>2.0388869106391225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projet'!$B$12,Paramètres!$A$1:$I$88,3,0)*VLOOKUP('Données projet'!$B$12,Paramètres!$A$1:$I$88,5,0)</f>
        <v>3.7243808037601412E-14</v>
      </c>
      <c r="CA120" s="13">
        <f t="shared" si="93"/>
        <v>6.2767589361185393E-13</v>
      </c>
      <c r="CB120" s="20">
        <f t="shared" si="64"/>
        <v>1.1580684803728015E-12</v>
      </c>
      <c r="CC120" s="59">
        <f t="shared" si="65"/>
        <v>293.33333333333445</v>
      </c>
      <c r="CD120" s="59">
        <f ca="1">AVERAGE(OFFSET($CC$3,0,0,'Données projet'!$E$12+1,1))-AVERAGE(OFFSET($H$3,0,0,'Données projet'!$E$12+1,1))</f>
        <v>180.90147430936133</v>
      </c>
      <c r="CE120" s="59">
        <f t="shared" si="94"/>
        <v>226.87949199830018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projet'!$B$12,Paramètres!$A$1:$I$88,7,0))</f>
        <v>0</v>
      </c>
      <c r="CI120" s="16">
        <f>IF(ISNA(VLOOKUP(A120,'Données projet'!$A$113:$I$133,6,0)),0%,VLOOKUP(A120,'Données projet'!$A$113:$I$133,6,0)*VLOOKUP('Données projet'!$B$12,Paramètres!$A$1:$I$88,7,0))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projet'!$B$12,Paramètres!$A$1:$I$88,3,0)*0.475*44/12</f>
        <v>0</v>
      </c>
      <c r="CL120" s="21">
        <f>EXP(-LN(2)/25)*CL119+(1-EXP(-LN(2)/25))/(LN(2)/25)*Calculateur!CG120*Calculateur!CI120*VLOOKUP('Données projet'!$B$12,Paramètres!$A$1:$I$88,3,0)*0.475*44/12</f>
        <v>0.61575246256027238</v>
      </c>
      <c r="CM120" s="21">
        <f>EXP(-LN(2)/2)*CM119+(1-EXP(-LN(2)/2))/(LN(2)/2)*CG120*CJ120*VLOOKUP('Données projet'!$B$12,Paramètres!$A$1:$I$88,3,0)*0.475*44/12</f>
        <v>7.1244192670515745E-13</v>
      </c>
      <c r="CN120" s="22">
        <f t="shared" si="66"/>
        <v>0.61575246256098481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5.6843418860808015E-14</v>
      </c>
      <c r="CU120" s="17">
        <f>CT120*VLOOKUP('Données projet'!$B$13,Paramètres!$A$1:$I$88,3,0)*VLOOKUP('Données projet'!$B$13,Paramètres!$A$1:$I$88,5,0)</f>
        <v>2.8908289095852525E-14</v>
      </c>
      <c r="CV120" s="13">
        <f t="shared" si="95"/>
        <v>5.0177780569126974E-13</v>
      </c>
      <c r="CW120" s="20">
        <f t="shared" si="67"/>
        <v>9.2427828175423786E-13</v>
      </c>
      <c r="CX120" s="59">
        <f t="shared" si="68"/>
        <v>293.33333333333422</v>
      </c>
      <c r="CY120" s="59">
        <f ca="1">AVERAGE(OFFSET($CX$3,0,0,'Données projet'!$E$13+1,1))-AVERAGE(OFFSET($H$3,0,0,'Données projet'!$E$13+1,1))</f>
        <v>133.08385802816008</v>
      </c>
      <c r="CZ120" s="59">
        <f t="shared" si="96"/>
        <v>316.59112511251385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projet'!$B$13,Paramètres!$A$1:$I$88,7,0))</f>
        <v>0</v>
      </c>
      <c r="DD120" s="16">
        <f>IF(ISNA(VLOOKUP(A120,'Données projet'!$A$139:$I$159,6,0)),0%,VLOOKUP(A120,'Données projet'!$A$139:$I$159,6,0)*VLOOKUP('Données projet'!$B$13,Paramètres!$A$1:$I$88,7,0))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projet'!$B$13,Paramètres!$A$1:$I$88,3,0)*0.475*44/12</f>
        <v>12.89136617718742</v>
      </c>
      <c r="DG120" s="21">
        <f>EXP(-LN(2)/25)*DG119+(1-EXP(-LN(2)/25))/(LN(2)/25)*Calculateur!DB120*Calculateur!DD120*VLOOKUP('Données projet'!$B$13,Paramètres!$A$1:$I$88,3,0)*0.475*44/12</f>
        <v>0</v>
      </c>
      <c r="DH120" s="21">
        <f>EXP(-LN(2)/2)*DH119+(1-EXP(-LN(2)/2))/(LN(2)/2)*DB120*DE120*VLOOKUP('Données projet'!$B$13,Paramètres!$A$1:$I$88,3,0)*0.475*44/12</f>
        <v>4.5455035403748E-13</v>
      </c>
      <c r="DI120" s="22">
        <f t="shared" si="69"/>
        <v>12.891366177187875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projet'!$B$14,Paramètres!$A$1:$I$88,3,0)*VLOOKUP('Données projet'!$B$14,Paramètres!$A$1:$I$88,5,0)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projet'!$B$14,Paramètres!$A$1:$I$88,7,0))</f>
        <v>0</v>
      </c>
      <c r="DY120" s="16">
        <f>IF(ISNA(VLOOKUP(A120,'Données projet'!$A$165:$I$185,6,0)),0%,VLOOKUP(A120,'Données projet'!$A$165:$I$185,6,0)*VLOOKUP('Données projet'!$B$14,Paramètres!$A$1:$I$88,7,0))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projet'!$B$14,Paramètres!$A$1:$I$88,3,0)*0.475*44/12</f>
        <v>#N/A</v>
      </c>
      <c r="EB120" s="21" t="e">
        <f>EXP(-LN(2)/25)*EB119+(1-EXP(-LN(2)/25))/(LN(2)/25)*Calculateur!DW120*Calculateur!DY120*VLOOKUP('Données projet'!$B$14,Paramètres!$A$1:$I$88,3,0)*0.475*44/12</f>
        <v>#N/A</v>
      </c>
      <c r="EC120" s="21" t="e">
        <f>EXP(-LN(2)/2)*EC119+(1-EXP(-LN(2)/2))/(LN(2)/2)*DW120*DZ120*VLOOKUP('Données projet'!$B$14,Paramètres!$A$1:$I$88,3,0)*0.475*44/12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projet'!$B$15,Paramètres!$A$1:$I$88,3,0)*VLOOKUP('Données projet'!$B$15,Paramètres!$A$1:$I$88,5,0)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projet'!$B$15,Paramètres!$A$1:$I$88,7,0))</f>
        <v>0</v>
      </c>
      <c r="ET120" s="16">
        <f>IF(ISNA(VLOOKUP(A120,'Données projet'!$A$191:$I$211,6,0)),0%,VLOOKUP(A120,'Données projet'!$A$191:$I$211,6,0)*VLOOKUP('Données projet'!$B$15,Paramètres!$A$1:$I$88,7,0))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projet'!$B$15,Paramètres!$A$1:$I$88,3,0)*0.475*44/12</f>
        <v>#N/A</v>
      </c>
      <c r="EW120" s="21" t="e">
        <f>EXP(-LN(2)/25)*EW119+(1-EXP(-LN(2)/25))/(LN(2)/25)*Calculateur!ER120*Calculateur!ET120*VLOOKUP('Données projet'!$B$15,Paramètres!$A$1:$I$88,3,0)*0.475*44/12</f>
        <v>#N/A</v>
      </c>
      <c r="EX120" s="21" t="e">
        <f>EXP(-LN(2)/2)*EX119+(1-EXP(-LN(2)/2))/(LN(2)/2)*ER120*EU120*VLOOKUP('Données projet'!$B$15,Paramètres!$A$1:$I$88,3,0)*0.475*44/12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projet'!$B$16,Paramètres!$A$1:$I$88,3,0)*VLOOKUP('Données projet'!$B$16,Paramètres!$A$1:$I$88,5,0)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projet'!$B$16,Paramètres!$A$1:$I$88,7,0))</f>
        <v>0</v>
      </c>
      <c r="FO120" s="16">
        <f>IF(ISNA(VLOOKUP(A120,'Données projet'!$A$217:$I$237,6,0)),0%,VLOOKUP(A120,'Données projet'!$A$217:$I$237,6,0)*VLOOKUP('Données projet'!$B$16,Paramètres!$A$1:$I$88,7,0))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projet'!$B$16,Paramètres!$A$1:$I$88,3,0)*0.475*44/12</f>
        <v>#N/A</v>
      </c>
      <c r="FR120" s="21" t="e">
        <f>EXP(-LN(2)/25)*FR119+(1-EXP(-LN(2)/25))/(LN(2)/25)*Calculateur!FM120*Calculateur!FO120*VLOOKUP('Données projet'!$B$16,Paramètres!$A$1:$I$88,3,0)*0.475*44/12</f>
        <v>#N/A</v>
      </c>
      <c r="FS120" s="21" t="e">
        <f>EXP(-LN(2)/2)*FS119+(1-EXP(-LN(2)/2))/(LN(2)/2)*FM120*FP120*VLOOKUP('Données projet'!$B$16,Paramètres!$A$1:$I$88,3,0)*0.475*44/12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projet'!$B$17,Paramètres!$A$1:$I$88,3,0)*VLOOKUP('Données projet'!$B$17,Paramètres!$A$1:$I$88,5,0)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projet'!$B$17,Paramètres!$A$1:$I$88,7,0))</f>
        <v>0</v>
      </c>
      <c r="GJ120" s="16">
        <f>IF(ISNA(VLOOKUP(A120,'Données projet'!$A$243:$I$263,6,0)),0%,VLOOKUP(A120,'Données projet'!$A$243:$I$263,6,0)*VLOOKUP('Données projet'!$B$17,Paramètres!$A$1:$I$88,7,0))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projet'!$B$17,Paramètres!$A$1:$I$88,3,0)*0.475*44/12</f>
        <v>#N/A</v>
      </c>
      <c r="GM120" s="21" t="e">
        <f>EXP(-LN(2)/25)*GM119+(1-EXP(-LN(2)/25))/(LN(2)/25)*Calculateur!GH120*Calculateur!GJ120*VLOOKUP('Données projet'!$B$17,Paramètres!$A$1:$I$88,3,0)*0.475*44/12</f>
        <v>#N/A</v>
      </c>
      <c r="GN120" s="21" t="e">
        <f>EXP(-LN(2)/2)*GN119+(1-EXP(-LN(2)/2))/(LN(2)/2)*GH120*GK120*VLOOKUP('Données projet'!$B$17,Paramètres!$A$1:$I$88,3,0)*0.475*44/12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projet'!$B$18,Paramètres!$A$1:$I$88,3,0)*VLOOKUP('Données projet'!$B$18,Paramètres!$A$1:$I$88,5,0)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projet'!$B$18,Paramètres!$A$1:$I$88,7,0))</f>
        <v>0</v>
      </c>
      <c r="HE120" s="16">
        <f>IF(ISNA(VLOOKUP(A120,'Données projet'!$A$269:$I$289,6,0)),0%,VLOOKUP(A120,'Données projet'!$A$269:$I$289,6,0)*VLOOKUP('Données projet'!$B$18,Paramètres!$A$1:$I$88,7,0))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projet'!$B$18,Paramètres!$A$1:$I$88,3,0)*0.475*44/12</f>
        <v>#N/A</v>
      </c>
      <c r="HH120" s="21" t="e">
        <f>EXP(-LN(2)/25)*HH119+(1-EXP(-LN(2)/25))/(LN(2)/25)*Calculateur!HC120*Calculateur!HE120*VLOOKUP('Données projet'!$B$18,Paramètres!$A$1:$I$88,3,0)*0.475*44/12</f>
        <v>#N/A</v>
      </c>
      <c r="HI120" s="21" t="e">
        <f>EXP(-LN(2)/2)*HI119+(1-EXP(-LN(2)/2))/(LN(2)/2)*HC120*HF120*VLOOKUP('Données projet'!$B$18,Paramètres!$A$1:$I$88,3,0)*0.475*44/12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projet'!$B$9,Paramètres!$A$1:$I$88,3,0)*VLOOKUP('Données projet'!$B$9,Paramètres!$A$1:$I$88,5,0)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195.73441209602686</v>
      </c>
      <c r="T121" s="59">
        <f t="shared" si="88"/>
        <v>219.19129224309006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projet'!$B$9,Paramètres!$A$1:$I$88,7,0))</f>
        <v>0</v>
      </c>
      <c r="X121" s="16">
        <f>IF(ISNA(VLOOKUP(A121,'Données projet'!$A$35:$I$55,6,0)),0%,VLOOKUP(A121,'Données projet'!$A$35:$I$55,6,0)*VLOOKUP('Données projet'!$B$9,Paramètres!$A$1:$I$88,7,0))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projet'!$B$9,Paramètres!$A$1:$I$88,3,0)*0.475*44/12</f>
        <v>2.6696904544063806</v>
      </c>
      <c r="AA121" s="21">
        <f>EXP(-LN(2)/25)*AA120+(1-EXP(-LN(2)/25))/(LN(2)/25)*Calculateur!V121*Calculateur!X121*VLOOKUP('Données projet'!$B$9,Paramètres!$A$1:$I$88,3,0)*0.475*44/12</f>
        <v>1.23414319777679</v>
      </c>
      <c r="AB121" s="21">
        <f>EXP(-LN(2)/2)*AB120+(1-EXP(-LN(2)/2))/(LN(2)/2)*V121*Y121*VLOOKUP('Données projet'!$B$9,Paramètres!$A$1:$I$88,3,0)*0.475*44/12</f>
        <v>2.2551124764929934E-15</v>
      </c>
      <c r="AC121" s="22">
        <f t="shared" si="57"/>
        <v>3.9038336521831729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-4.5474735088646412E-13</v>
      </c>
      <c r="AJ121" s="13">
        <f>AI121*VLOOKUP('Données projet'!$B$10,Paramètres!$A$1:$I$88,3,0)*VLOOKUP('Données projet'!$B$10,Paramètres!$A$1:$I$88,5,0)</f>
        <v>-2.7193891583010558E-13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246.59447135626942</v>
      </c>
      <c r="AO121" s="59">
        <f t="shared" si="90"/>
        <v>262.00382544285367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projet'!$B$10,Paramètres!$A$1:$I$88,7,0))</f>
        <v>0</v>
      </c>
      <c r="AS121" s="16">
        <f>IF(ISNA(VLOOKUP(A121,'Données projet'!$A$61:$I$81,6,0)),0%,VLOOKUP(A121,'Données projet'!$A$61:$I$81,6,0)*VLOOKUP('Données projet'!$B$10,Paramètres!$A$1:$I$88,7,0))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projet'!$B$10,Paramètres!$A$1:$I$88,3,0)*0.475*44/12</f>
        <v>0</v>
      </c>
      <c r="AV121" s="21">
        <f>EXP(-LN(2)/25)*AV120+(1-EXP(-LN(2)/25))/(LN(2)/25)*Calculateur!AQ121*Calculateur!AS121*VLOOKUP('Données projet'!$B$10,Paramètres!$A$1:$I$88,3,0)*0.475*44/12</f>
        <v>1.1200893097631406</v>
      </c>
      <c r="AW121" s="21">
        <f>EXP(-LN(2)/2)*AW120+(1-EXP(-LN(2)/2))/(LN(2)/2)*AQ121*AT121*VLOOKUP('Données projet'!$B$10,Paramètres!$A$1:$I$88,3,0)*0.475*44/12</f>
        <v>1.3488579426063422E-12</v>
      </c>
      <c r="AX121" s="21">
        <f t="shared" si="60"/>
        <v>1.1200893097644895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-5.6843418860808015E-13</v>
      </c>
      <c r="BE121" s="13">
        <f>BD121*VLOOKUP('Données projet'!$B$11,Paramètres!$A$1:$I$88,3,0)*VLOOKUP('Données projet'!$B$11,Paramètres!$A$1:$I$88,5,0)</f>
        <v>-3.177547114319168E-13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355.96253323046608</v>
      </c>
      <c r="BJ121" s="59">
        <f t="shared" si="92"/>
        <v>366.8380442809696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projet'!$B$11,Paramètres!$A$1:$I$88,7,0))</f>
        <v>0</v>
      </c>
      <c r="BN121" s="16">
        <f>IF(ISNA(VLOOKUP(A121,'Données projet'!$A$87:$I$107,6,0)),0%,VLOOKUP(A121,'Données projet'!$A$87:$I$107,6,0)*VLOOKUP('Données projet'!$B$11,Paramètres!$A$1:$I$88,7,0))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projet'!$B$11,Paramètres!$A$1:$I$88,3,0)*0.475*44/12</f>
        <v>0</v>
      </c>
      <c r="BQ121" s="21">
        <f>EXP(-LN(2)/25)*BQ120+(1-EXP(-LN(2)/25))/(LN(2)/25)*Calculateur!BL121*Calculateur!BN121*VLOOKUP('Données projet'!$B$11,Paramètres!$A$1:$I$88,3,0)*0.475*44/12</f>
        <v>1.9831334408444241</v>
      </c>
      <c r="BR121" s="21">
        <f>EXP(-LN(2)/2)*BR120+(1-EXP(-LN(2)/2))/(LN(2)/2)*BL121*BO121*VLOOKUP('Données projet'!$B$11,Paramètres!$A$1:$I$88,3,0)*0.475*44/12</f>
        <v>2.0855541644923317E-12</v>
      </c>
      <c r="BS121" s="22">
        <f t="shared" si="63"/>
        <v>1.9831334408465098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projet'!$B$12,Paramètres!$A$1:$I$88,3,0)*VLOOKUP('Données projet'!$B$12,Paramètres!$A$1:$I$88,5,0)</f>
        <v>3.7243808037601412E-14</v>
      </c>
      <c r="CA121" s="13">
        <f t="shared" si="93"/>
        <v>6.2767589361185393E-13</v>
      </c>
      <c r="CB121" s="20">
        <f t="shared" si="64"/>
        <v>1.1580684803728015E-12</v>
      </c>
      <c r="CC121" s="59">
        <f t="shared" si="65"/>
        <v>293.33333333333445</v>
      </c>
      <c r="CD121" s="59">
        <f ca="1">AVERAGE(OFFSET($CC$3,0,0,'Données projet'!$E$12+1,1))-AVERAGE(OFFSET($H$3,0,0,'Données projet'!$E$12+1,1))</f>
        <v>180.90147430936133</v>
      </c>
      <c r="CE121" s="59">
        <f t="shared" si="94"/>
        <v>226.87949199830018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projet'!$B$12,Paramètres!$A$1:$I$88,7,0))</f>
        <v>0</v>
      </c>
      <c r="CI121" s="16">
        <f>IF(ISNA(VLOOKUP(A121,'Données projet'!$A$113:$I$133,6,0)),0%,VLOOKUP(A121,'Données projet'!$A$113:$I$133,6,0)*VLOOKUP('Données projet'!$B$12,Paramètres!$A$1:$I$88,7,0))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projet'!$B$12,Paramètres!$A$1:$I$88,3,0)*0.475*44/12</f>
        <v>0</v>
      </c>
      <c r="CL121" s="21">
        <f>EXP(-LN(2)/25)*CL120+(1-EXP(-LN(2)/25))/(LN(2)/25)*Calculateur!CG121*Calculateur!CI121*VLOOKUP('Données projet'!$B$12,Paramètres!$A$1:$I$88,3,0)*0.475*44/12</f>
        <v>0.59891467909054708</v>
      </c>
      <c r="CM121" s="21">
        <f>EXP(-LN(2)/2)*CM120+(1-EXP(-LN(2)/2))/(LN(2)/2)*CG121*CJ121*VLOOKUP('Données projet'!$B$12,Paramètres!$A$1:$I$88,3,0)*0.475*44/12</f>
        <v>5.0377251757482608E-13</v>
      </c>
      <c r="CN121" s="22">
        <f t="shared" si="66"/>
        <v>0.59891467909105089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5.6843418860808015E-14</v>
      </c>
      <c r="CU121" s="17">
        <f>CT121*VLOOKUP('Données projet'!$B$13,Paramètres!$A$1:$I$88,3,0)*VLOOKUP('Données projet'!$B$13,Paramètres!$A$1:$I$88,5,0)</f>
        <v>2.8908289095852525E-14</v>
      </c>
      <c r="CV121" s="13">
        <f t="shared" si="95"/>
        <v>5.0177780569126974E-13</v>
      </c>
      <c r="CW121" s="20">
        <f t="shared" si="67"/>
        <v>9.2427828175423786E-13</v>
      </c>
      <c r="CX121" s="59">
        <f t="shared" si="68"/>
        <v>293.33333333333422</v>
      </c>
      <c r="CY121" s="59">
        <f ca="1">AVERAGE(OFFSET($CX$3,0,0,'Données projet'!$E$13+1,1))-AVERAGE(OFFSET($H$3,0,0,'Données projet'!$E$13+1,1))</f>
        <v>133.08385802816008</v>
      </c>
      <c r="CZ121" s="59">
        <f t="shared" si="96"/>
        <v>316.59112511251385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projet'!$B$13,Paramètres!$A$1:$I$88,7,0))</f>
        <v>0</v>
      </c>
      <c r="DD121" s="16">
        <f>IF(ISNA(VLOOKUP(A121,'Données projet'!$A$139:$I$159,6,0)),0%,VLOOKUP(A121,'Données projet'!$A$139:$I$159,6,0)*VLOOKUP('Données projet'!$B$13,Paramètres!$A$1:$I$88,7,0))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projet'!$B$13,Paramètres!$A$1:$I$88,3,0)*0.475*44/12</f>
        <v>12.63857434940974</v>
      </c>
      <c r="DG121" s="21">
        <f>EXP(-LN(2)/25)*DG120+(1-EXP(-LN(2)/25))/(LN(2)/25)*Calculateur!DB121*Calculateur!DD121*VLOOKUP('Données projet'!$B$13,Paramètres!$A$1:$I$88,3,0)*0.475*44/12</f>
        <v>0</v>
      </c>
      <c r="DH121" s="21">
        <f>EXP(-LN(2)/2)*DH120+(1-EXP(-LN(2)/2))/(LN(2)/2)*DB121*DE121*VLOOKUP('Données projet'!$B$13,Paramètres!$A$1:$I$88,3,0)*0.475*44/12</f>
        <v>3.214156377306481E-13</v>
      </c>
      <c r="DI121" s="22">
        <f t="shared" si="69"/>
        <v>12.638574349410062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projet'!$B$14,Paramètres!$A$1:$I$88,3,0)*VLOOKUP('Données projet'!$B$14,Paramètres!$A$1:$I$88,5,0)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projet'!$B$14,Paramètres!$A$1:$I$88,7,0))</f>
        <v>0</v>
      </c>
      <c r="DY121" s="16">
        <f>IF(ISNA(VLOOKUP(A121,'Données projet'!$A$165:$I$185,6,0)),0%,VLOOKUP(A121,'Données projet'!$A$165:$I$185,6,0)*VLOOKUP('Données projet'!$B$14,Paramètres!$A$1:$I$88,7,0))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projet'!$B$14,Paramètres!$A$1:$I$88,3,0)*0.475*44/12</f>
        <v>#N/A</v>
      </c>
      <c r="EB121" s="21" t="e">
        <f>EXP(-LN(2)/25)*EB120+(1-EXP(-LN(2)/25))/(LN(2)/25)*Calculateur!DW121*Calculateur!DY121*VLOOKUP('Données projet'!$B$14,Paramètres!$A$1:$I$88,3,0)*0.475*44/12</f>
        <v>#N/A</v>
      </c>
      <c r="EC121" s="21" t="e">
        <f>EXP(-LN(2)/2)*EC120+(1-EXP(-LN(2)/2))/(LN(2)/2)*DW121*DZ121*VLOOKUP('Données projet'!$B$14,Paramètres!$A$1:$I$88,3,0)*0.475*44/12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projet'!$B$15,Paramètres!$A$1:$I$88,3,0)*VLOOKUP('Données projet'!$B$15,Paramètres!$A$1:$I$88,5,0)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projet'!$B$15,Paramètres!$A$1:$I$88,7,0))</f>
        <v>0</v>
      </c>
      <c r="ET121" s="16">
        <f>IF(ISNA(VLOOKUP(A121,'Données projet'!$A$191:$I$211,6,0)),0%,VLOOKUP(A121,'Données projet'!$A$191:$I$211,6,0)*VLOOKUP('Données projet'!$B$15,Paramètres!$A$1:$I$88,7,0))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projet'!$B$15,Paramètres!$A$1:$I$88,3,0)*0.475*44/12</f>
        <v>#N/A</v>
      </c>
      <c r="EW121" s="21" t="e">
        <f>EXP(-LN(2)/25)*EW120+(1-EXP(-LN(2)/25))/(LN(2)/25)*Calculateur!ER121*Calculateur!ET121*VLOOKUP('Données projet'!$B$15,Paramètres!$A$1:$I$88,3,0)*0.475*44/12</f>
        <v>#N/A</v>
      </c>
      <c r="EX121" s="21" t="e">
        <f>EXP(-LN(2)/2)*EX120+(1-EXP(-LN(2)/2))/(LN(2)/2)*ER121*EU121*VLOOKUP('Données projet'!$B$15,Paramètres!$A$1:$I$88,3,0)*0.475*44/12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projet'!$B$16,Paramètres!$A$1:$I$88,3,0)*VLOOKUP('Données projet'!$B$16,Paramètres!$A$1:$I$88,5,0)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projet'!$B$16,Paramètres!$A$1:$I$88,7,0))</f>
        <v>0</v>
      </c>
      <c r="FO121" s="16">
        <f>IF(ISNA(VLOOKUP(A121,'Données projet'!$A$217:$I$237,6,0)),0%,VLOOKUP(A121,'Données projet'!$A$217:$I$237,6,0)*VLOOKUP('Données projet'!$B$16,Paramètres!$A$1:$I$88,7,0))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projet'!$B$16,Paramètres!$A$1:$I$88,3,0)*0.475*44/12</f>
        <v>#N/A</v>
      </c>
      <c r="FR121" s="21" t="e">
        <f>EXP(-LN(2)/25)*FR120+(1-EXP(-LN(2)/25))/(LN(2)/25)*Calculateur!FM121*Calculateur!FO121*VLOOKUP('Données projet'!$B$16,Paramètres!$A$1:$I$88,3,0)*0.475*44/12</f>
        <v>#N/A</v>
      </c>
      <c r="FS121" s="21" t="e">
        <f>EXP(-LN(2)/2)*FS120+(1-EXP(-LN(2)/2))/(LN(2)/2)*FM121*FP121*VLOOKUP('Données projet'!$B$16,Paramètres!$A$1:$I$88,3,0)*0.475*44/12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projet'!$B$17,Paramètres!$A$1:$I$88,3,0)*VLOOKUP('Données projet'!$B$17,Paramètres!$A$1:$I$88,5,0)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projet'!$B$17,Paramètres!$A$1:$I$88,7,0))</f>
        <v>0</v>
      </c>
      <c r="GJ121" s="16">
        <f>IF(ISNA(VLOOKUP(A121,'Données projet'!$A$243:$I$263,6,0)),0%,VLOOKUP(A121,'Données projet'!$A$243:$I$263,6,0)*VLOOKUP('Données projet'!$B$17,Paramètres!$A$1:$I$88,7,0))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projet'!$B$17,Paramètres!$A$1:$I$88,3,0)*0.475*44/12</f>
        <v>#N/A</v>
      </c>
      <c r="GM121" s="21" t="e">
        <f>EXP(-LN(2)/25)*GM120+(1-EXP(-LN(2)/25))/(LN(2)/25)*Calculateur!GH121*Calculateur!GJ121*VLOOKUP('Données projet'!$B$17,Paramètres!$A$1:$I$88,3,0)*0.475*44/12</f>
        <v>#N/A</v>
      </c>
      <c r="GN121" s="21" t="e">
        <f>EXP(-LN(2)/2)*GN120+(1-EXP(-LN(2)/2))/(LN(2)/2)*GH121*GK121*VLOOKUP('Données projet'!$B$17,Paramètres!$A$1:$I$88,3,0)*0.475*44/12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projet'!$B$18,Paramètres!$A$1:$I$88,3,0)*VLOOKUP('Données projet'!$B$18,Paramètres!$A$1:$I$88,5,0)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projet'!$B$18,Paramètres!$A$1:$I$88,7,0))</f>
        <v>0</v>
      </c>
      <c r="HE121" s="16">
        <f>IF(ISNA(VLOOKUP(A121,'Données projet'!$A$269:$I$289,6,0)),0%,VLOOKUP(A121,'Données projet'!$A$269:$I$289,6,0)*VLOOKUP('Données projet'!$B$18,Paramètres!$A$1:$I$88,7,0))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projet'!$B$18,Paramètres!$A$1:$I$88,3,0)*0.475*44/12</f>
        <v>#N/A</v>
      </c>
      <c r="HH121" s="21" t="e">
        <f>EXP(-LN(2)/25)*HH120+(1-EXP(-LN(2)/25))/(LN(2)/25)*Calculateur!HC121*Calculateur!HE121*VLOOKUP('Données projet'!$B$18,Paramètres!$A$1:$I$88,3,0)*0.475*44/12</f>
        <v>#N/A</v>
      </c>
      <c r="HI121" s="21" t="e">
        <f>EXP(-LN(2)/2)*HI120+(1-EXP(-LN(2)/2))/(LN(2)/2)*HC121*HF121*VLOOKUP('Données projet'!$B$18,Paramètres!$A$1:$I$88,3,0)*0.475*44/12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projet'!$B$9,Paramètres!$A$1:$I$88,3,0)*VLOOKUP('Données projet'!$B$9,Paramètres!$A$1:$I$88,5,0)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195.73441209602686</v>
      </c>
      <c r="T122" s="59">
        <f t="shared" si="88"/>
        <v>219.19129224309006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projet'!$B$9,Paramètres!$A$1:$I$88,7,0))</f>
        <v>0</v>
      </c>
      <c r="X122" s="16">
        <f>IF(ISNA(VLOOKUP(A122,'Données projet'!$A$35:$I$55,6,0)),0%,VLOOKUP(A122,'Données projet'!$A$35:$I$55,6,0)*VLOOKUP('Données projet'!$B$9,Paramètres!$A$1:$I$88,7,0))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projet'!$B$9,Paramètres!$A$1:$I$88,3,0)*0.475*44/12</f>
        <v>2.6173394529458625</v>
      </c>
      <c r="AA122" s="21">
        <f>EXP(-LN(2)/25)*AA121+(1-EXP(-LN(2)/25))/(LN(2)/25)*Calculateur!V122*Calculateur!X122*VLOOKUP('Données projet'!$B$9,Paramètres!$A$1:$I$88,3,0)*0.475*44/12</f>
        <v>1.2003954871328135</v>
      </c>
      <c r="AB122" s="21">
        <f>EXP(-LN(2)/2)*AB121+(1-EXP(-LN(2)/2))/(LN(2)/2)*V122*Y122*VLOOKUP('Données projet'!$B$9,Paramètres!$A$1:$I$88,3,0)*0.475*44/12</f>
        <v>1.5946053244665844E-15</v>
      </c>
      <c r="AC122" s="22">
        <f t="shared" si="57"/>
        <v>3.8177349400786778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-4.5474735088646412E-13</v>
      </c>
      <c r="AJ122" s="13">
        <f>AI122*VLOOKUP('Données projet'!$B$10,Paramètres!$A$1:$I$88,3,0)*VLOOKUP('Données projet'!$B$10,Paramètres!$A$1:$I$88,5,0)</f>
        <v>-2.7193891583010558E-13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246.59447135626942</v>
      </c>
      <c r="AO122" s="59">
        <f t="shared" si="90"/>
        <v>262.00382544285367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projet'!$B$10,Paramètres!$A$1:$I$88,7,0))</f>
        <v>0</v>
      </c>
      <c r="AS122" s="16">
        <f>IF(ISNA(VLOOKUP(A122,'Données projet'!$A$61:$I$81,6,0)),0%,VLOOKUP(A122,'Données projet'!$A$61:$I$81,6,0)*VLOOKUP('Données projet'!$B$10,Paramètres!$A$1:$I$88,7,0))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projet'!$B$10,Paramètres!$A$1:$I$88,3,0)*0.475*44/12</f>
        <v>0</v>
      </c>
      <c r="AV122" s="21">
        <f>EXP(-LN(2)/25)*AV121+(1-EXP(-LN(2)/25))/(LN(2)/25)*Calculateur!AQ122*Calculateur!AS122*VLOOKUP('Données projet'!$B$10,Paramètres!$A$1:$I$88,3,0)*0.475*44/12</f>
        <v>1.0894604086847306</v>
      </c>
      <c r="AW122" s="21">
        <f>EXP(-LN(2)/2)*AW121+(1-EXP(-LN(2)/2))/(LN(2)/2)*AQ122*AT122*VLOOKUP('Données projet'!$B$10,Paramètres!$A$1:$I$88,3,0)*0.475*44/12</f>
        <v>9.5378659807427948E-13</v>
      </c>
      <c r="AX122" s="21">
        <f t="shared" si="60"/>
        <v>1.0894604086856843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-5.6843418860808015E-13</v>
      </c>
      <c r="BE122" s="13">
        <f>BD122*VLOOKUP('Données projet'!$B$11,Paramètres!$A$1:$I$88,3,0)*VLOOKUP('Données projet'!$B$11,Paramètres!$A$1:$I$88,5,0)</f>
        <v>-3.177547114319168E-13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355.96253323046608</v>
      </c>
      <c r="BJ122" s="59">
        <f t="shared" si="92"/>
        <v>366.8380442809696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projet'!$B$11,Paramètres!$A$1:$I$88,7,0))</f>
        <v>0</v>
      </c>
      <c r="BN122" s="16">
        <f>IF(ISNA(VLOOKUP(A122,'Données projet'!$A$87:$I$107,6,0)),0%,VLOOKUP(A122,'Données projet'!$A$87:$I$107,6,0)*VLOOKUP('Données projet'!$B$11,Paramètres!$A$1:$I$88,7,0))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projet'!$B$11,Paramètres!$A$1:$I$88,3,0)*0.475*44/12</f>
        <v>0</v>
      </c>
      <c r="BQ122" s="21">
        <f>EXP(-LN(2)/25)*BQ121+(1-EXP(-LN(2)/25))/(LN(2)/25)*Calculateur!BL122*Calculateur!BN122*VLOOKUP('Données projet'!$B$11,Paramètres!$A$1:$I$88,3,0)*0.475*44/12</f>
        <v>1.9289045526160782</v>
      </c>
      <c r="BR122" s="21">
        <f>EXP(-LN(2)/2)*BR121+(1-EXP(-LN(2)/2))/(LN(2)/2)*BL122*BO122*VLOOKUP('Données projet'!$B$11,Paramètres!$A$1:$I$88,3,0)*0.475*44/12</f>
        <v>1.4747094922443721E-12</v>
      </c>
      <c r="BS122" s="22">
        <f t="shared" si="63"/>
        <v>1.928904552617553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projet'!$B$12,Paramètres!$A$1:$I$88,3,0)*VLOOKUP('Données projet'!$B$12,Paramètres!$A$1:$I$88,5,0)</f>
        <v>3.7243808037601412E-14</v>
      </c>
      <c r="CA122" s="13">
        <f t="shared" si="93"/>
        <v>6.2767589361185393E-13</v>
      </c>
      <c r="CB122" s="20">
        <f t="shared" si="64"/>
        <v>1.1580684803728015E-12</v>
      </c>
      <c r="CC122" s="59">
        <f t="shared" si="65"/>
        <v>293.33333333333445</v>
      </c>
      <c r="CD122" s="59">
        <f ca="1">AVERAGE(OFFSET($CC$3,0,0,'Données projet'!$E$12+1,1))-AVERAGE(OFFSET($H$3,0,0,'Données projet'!$E$12+1,1))</f>
        <v>180.90147430936133</v>
      </c>
      <c r="CE122" s="59">
        <f t="shared" si="94"/>
        <v>226.87949199830018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projet'!$B$12,Paramètres!$A$1:$I$88,7,0))</f>
        <v>0</v>
      </c>
      <c r="CI122" s="16">
        <f>IF(ISNA(VLOOKUP(A122,'Données projet'!$A$113:$I$133,6,0)),0%,VLOOKUP(A122,'Données projet'!$A$113:$I$133,6,0)*VLOOKUP('Données projet'!$B$12,Paramètres!$A$1:$I$88,7,0))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projet'!$B$12,Paramètres!$A$1:$I$88,3,0)*0.475*44/12</f>
        <v>0</v>
      </c>
      <c r="CL122" s="21">
        <f>EXP(-LN(2)/25)*CL121+(1-EXP(-LN(2)/25))/(LN(2)/25)*Calculateur!CG122*Calculateur!CI122*VLOOKUP('Données projet'!$B$12,Paramètres!$A$1:$I$88,3,0)*0.475*44/12</f>
        <v>0.58253732569526195</v>
      </c>
      <c r="CM122" s="21">
        <f>EXP(-LN(2)/2)*CM121+(1-EXP(-LN(2)/2))/(LN(2)/2)*CG122*CJ122*VLOOKUP('Données projet'!$B$12,Paramètres!$A$1:$I$88,3,0)*0.475*44/12</f>
        <v>3.5622096335257872E-13</v>
      </c>
      <c r="CN122" s="22">
        <f t="shared" si="66"/>
        <v>0.58253732569561822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5.6843418860808015E-14</v>
      </c>
      <c r="CU122" s="17">
        <f>CT122*VLOOKUP('Données projet'!$B$13,Paramètres!$A$1:$I$88,3,0)*VLOOKUP('Données projet'!$B$13,Paramètres!$A$1:$I$88,5,0)</f>
        <v>2.8908289095852525E-14</v>
      </c>
      <c r="CV122" s="13">
        <f t="shared" si="95"/>
        <v>5.0177780569126974E-13</v>
      </c>
      <c r="CW122" s="20">
        <f t="shared" si="67"/>
        <v>9.2427828175423786E-13</v>
      </c>
      <c r="CX122" s="59">
        <f t="shared" si="68"/>
        <v>293.33333333333422</v>
      </c>
      <c r="CY122" s="59">
        <f ca="1">AVERAGE(OFFSET($CX$3,0,0,'Données projet'!$E$13+1,1))-AVERAGE(OFFSET($H$3,0,0,'Données projet'!$E$13+1,1))</f>
        <v>133.08385802816008</v>
      </c>
      <c r="CZ122" s="59">
        <f t="shared" si="96"/>
        <v>316.59112511251385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projet'!$B$13,Paramètres!$A$1:$I$88,7,0))</f>
        <v>0</v>
      </c>
      <c r="DD122" s="16">
        <f>IF(ISNA(VLOOKUP(A122,'Données projet'!$A$139:$I$159,6,0)),0%,VLOOKUP(A122,'Données projet'!$A$139:$I$159,6,0)*VLOOKUP('Données projet'!$B$13,Paramètres!$A$1:$I$88,7,0))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projet'!$B$13,Paramètres!$A$1:$I$88,3,0)*0.475*44/12</f>
        <v>12.390739615186991</v>
      </c>
      <c r="DG122" s="21">
        <f>EXP(-LN(2)/25)*DG121+(1-EXP(-LN(2)/25))/(LN(2)/25)*Calculateur!DB122*Calculateur!DD122*VLOOKUP('Données projet'!$B$13,Paramètres!$A$1:$I$88,3,0)*0.475*44/12</f>
        <v>0</v>
      </c>
      <c r="DH122" s="21">
        <f>EXP(-LN(2)/2)*DH121+(1-EXP(-LN(2)/2))/(LN(2)/2)*DB122*DE122*VLOOKUP('Données projet'!$B$13,Paramètres!$A$1:$I$88,3,0)*0.475*44/12</f>
        <v>2.2727517701874002E-13</v>
      </c>
      <c r="DI122" s="22">
        <f t="shared" si="69"/>
        <v>12.390739615187218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projet'!$B$14,Paramètres!$A$1:$I$88,3,0)*VLOOKUP('Données projet'!$B$14,Paramètres!$A$1:$I$88,5,0)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projet'!$B$14,Paramètres!$A$1:$I$88,7,0))</f>
        <v>0</v>
      </c>
      <c r="DY122" s="16">
        <f>IF(ISNA(VLOOKUP(A122,'Données projet'!$A$165:$I$185,6,0)),0%,VLOOKUP(A122,'Données projet'!$A$165:$I$185,6,0)*VLOOKUP('Données projet'!$B$14,Paramètres!$A$1:$I$88,7,0))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projet'!$B$14,Paramètres!$A$1:$I$88,3,0)*0.475*44/12</f>
        <v>#N/A</v>
      </c>
      <c r="EB122" s="21" t="e">
        <f>EXP(-LN(2)/25)*EB121+(1-EXP(-LN(2)/25))/(LN(2)/25)*Calculateur!DW122*Calculateur!DY122*VLOOKUP('Données projet'!$B$14,Paramètres!$A$1:$I$88,3,0)*0.475*44/12</f>
        <v>#N/A</v>
      </c>
      <c r="EC122" s="21" t="e">
        <f>EXP(-LN(2)/2)*EC121+(1-EXP(-LN(2)/2))/(LN(2)/2)*DW122*DZ122*VLOOKUP('Données projet'!$B$14,Paramètres!$A$1:$I$88,3,0)*0.475*44/12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projet'!$B$15,Paramètres!$A$1:$I$88,3,0)*VLOOKUP('Données projet'!$B$15,Paramètres!$A$1:$I$88,5,0)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projet'!$B$15,Paramètres!$A$1:$I$88,7,0))</f>
        <v>0</v>
      </c>
      <c r="ET122" s="16">
        <f>IF(ISNA(VLOOKUP(A122,'Données projet'!$A$191:$I$211,6,0)),0%,VLOOKUP(A122,'Données projet'!$A$191:$I$211,6,0)*VLOOKUP('Données projet'!$B$15,Paramètres!$A$1:$I$88,7,0))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projet'!$B$15,Paramètres!$A$1:$I$88,3,0)*0.475*44/12</f>
        <v>#N/A</v>
      </c>
      <c r="EW122" s="21" t="e">
        <f>EXP(-LN(2)/25)*EW121+(1-EXP(-LN(2)/25))/(LN(2)/25)*Calculateur!ER122*Calculateur!ET122*VLOOKUP('Données projet'!$B$15,Paramètres!$A$1:$I$88,3,0)*0.475*44/12</f>
        <v>#N/A</v>
      </c>
      <c r="EX122" s="21" t="e">
        <f>EXP(-LN(2)/2)*EX121+(1-EXP(-LN(2)/2))/(LN(2)/2)*ER122*EU122*VLOOKUP('Données projet'!$B$15,Paramètres!$A$1:$I$88,3,0)*0.475*44/12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projet'!$B$16,Paramètres!$A$1:$I$88,3,0)*VLOOKUP('Données projet'!$B$16,Paramètres!$A$1:$I$88,5,0)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projet'!$B$16,Paramètres!$A$1:$I$88,7,0))</f>
        <v>0</v>
      </c>
      <c r="FO122" s="16">
        <f>IF(ISNA(VLOOKUP(A122,'Données projet'!$A$217:$I$237,6,0)),0%,VLOOKUP(A122,'Données projet'!$A$217:$I$237,6,0)*VLOOKUP('Données projet'!$B$16,Paramètres!$A$1:$I$88,7,0))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projet'!$B$16,Paramètres!$A$1:$I$88,3,0)*0.475*44/12</f>
        <v>#N/A</v>
      </c>
      <c r="FR122" s="21" t="e">
        <f>EXP(-LN(2)/25)*FR121+(1-EXP(-LN(2)/25))/(LN(2)/25)*Calculateur!FM122*Calculateur!FO122*VLOOKUP('Données projet'!$B$16,Paramètres!$A$1:$I$88,3,0)*0.475*44/12</f>
        <v>#N/A</v>
      </c>
      <c r="FS122" s="21" t="e">
        <f>EXP(-LN(2)/2)*FS121+(1-EXP(-LN(2)/2))/(LN(2)/2)*FM122*FP122*VLOOKUP('Données projet'!$B$16,Paramètres!$A$1:$I$88,3,0)*0.475*44/12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projet'!$B$17,Paramètres!$A$1:$I$88,3,0)*VLOOKUP('Données projet'!$B$17,Paramètres!$A$1:$I$88,5,0)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projet'!$B$17,Paramètres!$A$1:$I$88,7,0))</f>
        <v>0</v>
      </c>
      <c r="GJ122" s="16">
        <f>IF(ISNA(VLOOKUP(A122,'Données projet'!$A$243:$I$263,6,0)),0%,VLOOKUP(A122,'Données projet'!$A$243:$I$263,6,0)*VLOOKUP('Données projet'!$B$17,Paramètres!$A$1:$I$88,7,0))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projet'!$B$17,Paramètres!$A$1:$I$88,3,0)*0.475*44/12</f>
        <v>#N/A</v>
      </c>
      <c r="GM122" s="21" t="e">
        <f>EXP(-LN(2)/25)*GM121+(1-EXP(-LN(2)/25))/(LN(2)/25)*Calculateur!GH122*Calculateur!GJ122*VLOOKUP('Données projet'!$B$17,Paramètres!$A$1:$I$88,3,0)*0.475*44/12</f>
        <v>#N/A</v>
      </c>
      <c r="GN122" s="21" t="e">
        <f>EXP(-LN(2)/2)*GN121+(1-EXP(-LN(2)/2))/(LN(2)/2)*GH122*GK122*VLOOKUP('Données projet'!$B$17,Paramètres!$A$1:$I$88,3,0)*0.475*44/12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projet'!$B$18,Paramètres!$A$1:$I$88,3,0)*VLOOKUP('Données projet'!$B$18,Paramètres!$A$1:$I$88,5,0)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projet'!$B$18,Paramètres!$A$1:$I$88,7,0))</f>
        <v>0</v>
      </c>
      <c r="HE122" s="16">
        <f>IF(ISNA(VLOOKUP(A122,'Données projet'!$A$269:$I$289,6,0)),0%,VLOOKUP(A122,'Données projet'!$A$269:$I$289,6,0)*VLOOKUP('Données projet'!$B$18,Paramètres!$A$1:$I$88,7,0))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projet'!$B$18,Paramètres!$A$1:$I$88,3,0)*0.475*44/12</f>
        <v>#N/A</v>
      </c>
      <c r="HH122" s="21" t="e">
        <f>EXP(-LN(2)/25)*HH121+(1-EXP(-LN(2)/25))/(LN(2)/25)*Calculateur!HC122*Calculateur!HE122*VLOOKUP('Données projet'!$B$18,Paramètres!$A$1:$I$88,3,0)*0.475*44/12</f>
        <v>#N/A</v>
      </c>
      <c r="HI122" s="21" t="e">
        <f>EXP(-LN(2)/2)*HI121+(1-EXP(-LN(2)/2))/(LN(2)/2)*HC122*HF122*VLOOKUP('Données projet'!$B$18,Paramètres!$A$1:$I$88,3,0)*0.475*44/12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projet'!$B$9,Paramètres!$A$1:$I$88,3,0)*VLOOKUP('Données projet'!$B$9,Paramètres!$A$1:$I$88,5,0)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195.73441209602686</v>
      </c>
      <c r="T123" s="59">
        <f t="shared" si="88"/>
        <v>219.19129224309006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projet'!$B$9,Paramètres!$A$1:$I$88,7,0))</f>
        <v>0</v>
      </c>
      <c r="X123" s="16">
        <f>IF(ISNA(VLOOKUP(A123,'Données projet'!$A$35:$I$55,6,0)),0%,VLOOKUP(A123,'Données projet'!$A$35:$I$55,6,0)*VLOOKUP('Données projet'!$B$9,Paramètres!$A$1:$I$88,7,0))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projet'!$B$9,Paramètres!$A$1:$I$88,3,0)*0.475*44/12</f>
        <v>2.5660150226930272</v>
      </c>
      <c r="AA123" s="21">
        <f>EXP(-LN(2)/25)*AA122+(1-EXP(-LN(2)/25))/(LN(2)/25)*Calculateur!V123*Calculateur!X123*VLOOKUP('Données projet'!$B$9,Paramètres!$A$1:$I$88,3,0)*0.475*44/12</f>
        <v>1.1675706094111116</v>
      </c>
      <c r="AB123" s="21">
        <f>EXP(-LN(2)/2)*AB122+(1-EXP(-LN(2)/2))/(LN(2)/2)*V123*Y123*VLOOKUP('Données projet'!$B$9,Paramètres!$A$1:$I$88,3,0)*0.475*44/12</f>
        <v>1.1275562382464967E-15</v>
      </c>
      <c r="AC123" s="22">
        <f t="shared" si="57"/>
        <v>3.7335856321041399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-4.5474735088646412E-13</v>
      </c>
      <c r="AJ123" s="13">
        <f>AI123*VLOOKUP('Données projet'!$B$10,Paramètres!$A$1:$I$88,3,0)*VLOOKUP('Données projet'!$B$10,Paramètres!$A$1:$I$88,5,0)</f>
        <v>-2.7193891583010558E-13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246.59447135626942</v>
      </c>
      <c r="AO123" s="59">
        <f t="shared" si="90"/>
        <v>262.00382544285367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projet'!$B$10,Paramètres!$A$1:$I$88,7,0))</f>
        <v>0</v>
      </c>
      <c r="AS123" s="16">
        <f>IF(ISNA(VLOOKUP(A123,'Données projet'!$A$61:$I$81,6,0)),0%,VLOOKUP(A123,'Données projet'!$A$61:$I$81,6,0)*VLOOKUP('Données projet'!$B$10,Paramètres!$A$1:$I$88,7,0))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projet'!$B$10,Paramètres!$A$1:$I$88,3,0)*0.475*44/12</f>
        <v>0</v>
      </c>
      <c r="AV123" s="21">
        <f>EXP(-LN(2)/25)*AV122+(1-EXP(-LN(2)/25))/(LN(2)/25)*Calculateur!AQ123*Calculateur!AS123*VLOOKUP('Données projet'!$B$10,Paramètres!$A$1:$I$88,3,0)*0.475*44/12</f>
        <v>1.0596690565170137</v>
      </c>
      <c r="AW123" s="21">
        <f>EXP(-LN(2)/2)*AW122+(1-EXP(-LN(2)/2))/(LN(2)/2)*AQ123*AT123*VLOOKUP('Données projet'!$B$10,Paramètres!$A$1:$I$88,3,0)*0.475*44/12</f>
        <v>6.7442897130317111E-13</v>
      </c>
      <c r="AX123" s="21">
        <f t="shared" si="60"/>
        <v>1.0596690565176881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-5.6843418860808015E-13</v>
      </c>
      <c r="BE123" s="13">
        <f>BD123*VLOOKUP('Données projet'!$B$11,Paramètres!$A$1:$I$88,3,0)*VLOOKUP('Données projet'!$B$11,Paramètres!$A$1:$I$88,5,0)</f>
        <v>-3.177547114319168E-13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355.96253323046608</v>
      </c>
      <c r="BJ123" s="59">
        <f t="shared" si="92"/>
        <v>366.8380442809696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projet'!$B$11,Paramètres!$A$1:$I$88,7,0))</f>
        <v>0</v>
      </c>
      <c r="BN123" s="16">
        <f>IF(ISNA(VLOOKUP(A123,'Données projet'!$A$87:$I$107,6,0)),0%,VLOOKUP(A123,'Données projet'!$A$87:$I$107,6,0)*VLOOKUP('Données projet'!$B$11,Paramètres!$A$1:$I$88,7,0))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projet'!$B$11,Paramètres!$A$1:$I$88,3,0)*0.475*44/12</f>
        <v>0</v>
      </c>
      <c r="BQ123" s="21">
        <f>EXP(-LN(2)/25)*BQ122+(1-EXP(-LN(2)/25))/(LN(2)/25)*Calculateur!BL123*Calculateur!BN123*VLOOKUP('Données projet'!$B$11,Paramètres!$A$1:$I$88,3,0)*0.475*44/12</f>
        <v>1.8761585561881098</v>
      </c>
      <c r="BR123" s="21">
        <f>EXP(-LN(2)/2)*BR122+(1-EXP(-LN(2)/2))/(LN(2)/2)*BL123*BO123*VLOOKUP('Données projet'!$B$11,Paramètres!$A$1:$I$88,3,0)*0.475*44/12</f>
        <v>1.0427770822461658E-12</v>
      </c>
      <c r="BS123" s="22">
        <f t="shared" si="63"/>
        <v>1.8761585561891525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projet'!$B$12,Paramètres!$A$1:$I$88,3,0)*VLOOKUP('Données projet'!$B$12,Paramètres!$A$1:$I$88,5,0)</f>
        <v>3.7243808037601412E-14</v>
      </c>
      <c r="CA123" s="13">
        <f t="shared" si="93"/>
        <v>6.2767589361185393E-13</v>
      </c>
      <c r="CB123" s="20">
        <f t="shared" si="64"/>
        <v>1.1580684803728015E-12</v>
      </c>
      <c r="CC123" s="59">
        <f t="shared" si="65"/>
        <v>293.33333333333445</v>
      </c>
      <c r="CD123" s="59">
        <f ca="1">AVERAGE(OFFSET($CC$3,0,0,'Données projet'!$E$12+1,1))-AVERAGE(OFFSET($H$3,0,0,'Données projet'!$E$12+1,1))</f>
        <v>180.90147430936133</v>
      </c>
      <c r="CE123" s="59">
        <f t="shared" si="94"/>
        <v>226.87949199830018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projet'!$B$12,Paramètres!$A$1:$I$88,7,0))</f>
        <v>0</v>
      </c>
      <c r="CI123" s="16">
        <f>IF(ISNA(VLOOKUP(A123,'Données projet'!$A$113:$I$133,6,0)),0%,VLOOKUP(A123,'Données projet'!$A$113:$I$133,6,0)*VLOOKUP('Données projet'!$B$12,Paramètres!$A$1:$I$88,7,0))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projet'!$B$12,Paramètres!$A$1:$I$88,3,0)*0.475*44/12</f>
        <v>0</v>
      </c>
      <c r="CL123" s="21">
        <f>EXP(-LN(2)/25)*CL122+(1-EXP(-LN(2)/25))/(LN(2)/25)*Calculateur!CG123*Calculateur!CI123*VLOOKUP('Données projet'!$B$12,Paramètres!$A$1:$I$88,3,0)*0.475*44/12</f>
        <v>0.56660781188981846</v>
      </c>
      <c r="CM123" s="21">
        <f>EXP(-LN(2)/2)*CM122+(1-EXP(-LN(2)/2))/(LN(2)/2)*CG123*CJ123*VLOOKUP('Données projet'!$B$12,Paramètres!$A$1:$I$88,3,0)*0.475*44/12</f>
        <v>2.5188625878741304E-13</v>
      </c>
      <c r="CN123" s="22">
        <f t="shared" si="66"/>
        <v>0.56660781189007037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5.6843418860808015E-14</v>
      </c>
      <c r="CU123" s="17">
        <f>CT123*VLOOKUP('Données projet'!$B$13,Paramètres!$A$1:$I$88,3,0)*VLOOKUP('Données projet'!$B$13,Paramètres!$A$1:$I$88,5,0)</f>
        <v>2.8908289095852525E-14</v>
      </c>
      <c r="CV123" s="13">
        <f t="shared" si="95"/>
        <v>5.0177780569126974E-13</v>
      </c>
      <c r="CW123" s="20">
        <f t="shared" si="67"/>
        <v>9.2427828175423786E-13</v>
      </c>
      <c r="CX123" s="59">
        <f t="shared" si="68"/>
        <v>293.33333333333422</v>
      </c>
      <c r="CY123" s="59">
        <f ca="1">AVERAGE(OFFSET($CX$3,0,0,'Données projet'!$E$13+1,1))-AVERAGE(OFFSET($H$3,0,0,'Données projet'!$E$13+1,1))</f>
        <v>133.08385802816008</v>
      </c>
      <c r="CZ123" s="59">
        <f t="shared" si="96"/>
        <v>316.59112511251385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projet'!$B$13,Paramètres!$A$1:$I$88,7,0))</f>
        <v>0</v>
      </c>
      <c r="DD123" s="16">
        <f>IF(ISNA(VLOOKUP(A123,'Données projet'!$A$139:$I$159,6,0)),0%,VLOOKUP(A123,'Données projet'!$A$139:$I$159,6,0)*VLOOKUP('Données projet'!$B$13,Paramètres!$A$1:$I$88,7,0))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projet'!$B$13,Paramètres!$A$1:$I$88,3,0)*0.475*44/12</f>
        <v>12.147764768938089</v>
      </c>
      <c r="DG123" s="21">
        <f>EXP(-LN(2)/25)*DG122+(1-EXP(-LN(2)/25))/(LN(2)/25)*Calculateur!DB123*Calculateur!DD123*VLOOKUP('Données projet'!$B$13,Paramètres!$A$1:$I$88,3,0)*0.475*44/12</f>
        <v>0</v>
      </c>
      <c r="DH123" s="21">
        <f>EXP(-LN(2)/2)*DH122+(1-EXP(-LN(2)/2))/(LN(2)/2)*DB123*DE123*VLOOKUP('Données projet'!$B$13,Paramètres!$A$1:$I$88,3,0)*0.475*44/12</f>
        <v>1.6070781886532407E-13</v>
      </c>
      <c r="DI123" s="22">
        <f t="shared" si="69"/>
        <v>12.147764768938249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projet'!$B$14,Paramètres!$A$1:$I$88,3,0)*VLOOKUP('Données projet'!$B$14,Paramètres!$A$1:$I$88,5,0)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projet'!$B$14,Paramètres!$A$1:$I$88,7,0))</f>
        <v>0</v>
      </c>
      <c r="DY123" s="16">
        <f>IF(ISNA(VLOOKUP(A123,'Données projet'!$A$165:$I$185,6,0)),0%,VLOOKUP(A123,'Données projet'!$A$165:$I$185,6,0)*VLOOKUP('Données projet'!$B$14,Paramètres!$A$1:$I$88,7,0))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projet'!$B$14,Paramètres!$A$1:$I$88,3,0)*0.475*44/12</f>
        <v>#N/A</v>
      </c>
      <c r="EB123" s="21" t="e">
        <f>EXP(-LN(2)/25)*EB122+(1-EXP(-LN(2)/25))/(LN(2)/25)*Calculateur!DW123*Calculateur!DY123*VLOOKUP('Données projet'!$B$14,Paramètres!$A$1:$I$88,3,0)*0.475*44/12</f>
        <v>#N/A</v>
      </c>
      <c r="EC123" s="21" t="e">
        <f>EXP(-LN(2)/2)*EC122+(1-EXP(-LN(2)/2))/(LN(2)/2)*DW123*DZ123*VLOOKUP('Données projet'!$B$14,Paramètres!$A$1:$I$88,3,0)*0.475*44/12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projet'!$B$15,Paramètres!$A$1:$I$88,3,0)*VLOOKUP('Données projet'!$B$15,Paramètres!$A$1:$I$88,5,0)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projet'!$B$15,Paramètres!$A$1:$I$88,7,0))</f>
        <v>0</v>
      </c>
      <c r="ET123" s="16">
        <f>IF(ISNA(VLOOKUP(A123,'Données projet'!$A$191:$I$211,6,0)),0%,VLOOKUP(A123,'Données projet'!$A$191:$I$211,6,0)*VLOOKUP('Données projet'!$B$15,Paramètres!$A$1:$I$88,7,0))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projet'!$B$15,Paramètres!$A$1:$I$88,3,0)*0.475*44/12</f>
        <v>#N/A</v>
      </c>
      <c r="EW123" s="21" t="e">
        <f>EXP(-LN(2)/25)*EW122+(1-EXP(-LN(2)/25))/(LN(2)/25)*Calculateur!ER123*Calculateur!ET123*VLOOKUP('Données projet'!$B$15,Paramètres!$A$1:$I$88,3,0)*0.475*44/12</f>
        <v>#N/A</v>
      </c>
      <c r="EX123" s="21" t="e">
        <f>EXP(-LN(2)/2)*EX122+(1-EXP(-LN(2)/2))/(LN(2)/2)*ER123*EU123*VLOOKUP('Données projet'!$B$15,Paramètres!$A$1:$I$88,3,0)*0.475*44/12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projet'!$B$16,Paramètres!$A$1:$I$88,3,0)*VLOOKUP('Données projet'!$B$16,Paramètres!$A$1:$I$88,5,0)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projet'!$B$16,Paramètres!$A$1:$I$88,7,0))</f>
        <v>0</v>
      </c>
      <c r="FO123" s="16">
        <f>IF(ISNA(VLOOKUP(A123,'Données projet'!$A$217:$I$237,6,0)),0%,VLOOKUP(A123,'Données projet'!$A$217:$I$237,6,0)*VLOOKUP('Données projet'!$B$16,Paramètres!$A$1:$I$88,7,0))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projet'!$B$16,Paramètres!$A$1:$I$88,3,0)*0.475*44/12</f>
        <v>#N/A</v>
      </c>
      <c r="FR123" s="21" t="e">
        <f>EXP(-LN(2)/25)*FR122+(1-EXP(-LN(2)/25))/(LN(2)/25)*Calculateur!FM123*Calculateur!FO123*VLOOKUP('Données projet'!$B$16,Paramètres!$A$1:$I$88,3,0)*0.475*44/12</f>
        <v>#N/A</v>
      </c>
      <c r="FS123" s="21" t="e">
        <f>EXP(-LN(2)/2)*FS122+(1-EXP(-LN(2)/2))/(LN(2)/2)*FM123*FP123*VLOOKUP('Données projet'!$B$16,Paramètres!$A$1:$I$88,3,0)*0.475*44/12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projet'!$B$17,Paramètres!$A$1:$I$88,3,0)*VLOOKUP('Données projet'!$B$17,Paramètres!$A$1:$I$88,5,0)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projet'!$B$17,Paramètres!$A$1:$I$88,7,0))</f>
        <v>0</v>
      </c>
      <c r="GJ123" s="16">
        <f>IF(ISNA(VLOOKUP(A123,'Données projet'!$A$243:$I$263,6,0)),0%,VLOOKUP(A123,'Données projet'!$A$243:$I$263,6,0)*VLOOKUP('Données projet'!$B$17,Paramètres!$A$1:$I$88,7,0))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projet'!$B$17,Paramètres!$A$1:$I$88,3,0)*0.475*44/12</f>
        <v>#N/A</v>
      </c>
      <c r="GM123" s="21" t="e">
        <f>EXP(-LN(2)/25)*GM122+(1-EXP(-LN(2)/25))/(LN(2)/25)*Calculateur!GH123*Calculateur!GJ123*VLOOKUP('Données projet'!$B$17,Paramètres!$A$1:$I$88,3,0)*0.475*44/12</f>
        <v>#N/A</v>
      </c>
      <c r="GN123" s="21" t="e">
        <f>EXP(-LN(2)/2)*GN122+(1-EXP(-LN(2)/2))/(LN(2)/2)*GH123*GK123*VLOOKUP('Données projet'!$B$17,Paramètres!$A$1:$I$88,3,0)*0.475*44/12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projet'!$B$18,Paramètres!$A$1:$I$88,3,0)*VLOOKUP('Données projet'!$B$18,Paramètres!$A$1:$I$88,5,0)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projet'!$B$18,Paramètres!$A$1:$I$88,7,0))</f>
        <v>0</v>
      </c>
      <c r="HE123" s="16">
        <f>IF(ISNA(VLOOKUP(A123,'Données projet'!$A$269:$I$289,6,0)),0%,VLOOKUP(A123,'Données projet'!$A$269:$I$289,6,0)*VLOOKUP('Données projet'!$B$18,Paramètres!$A$1:$I$88,7,0))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projet'!$B$18,Paramètres!$A$1:$I$88,3,0)*0.475*44/12</f>
        <v>#N/A</v>
      </c>
      <c r="HH123" s="21" t="e">
        <f>EXP(-LN(2)/25)*HH122+(1-EXP(-LN(2)/25))/(LN(2)/25)*Calculateur!HC123*Calculateur!HE123*VLOOKUP('Données projet'!$B$18,Paramètres!$A$1:$I$88,3,0)*0.475*44/12</f>
        <v>#N/A</v>
      </c>
      <c r="HI123" s="21" t="e">
        <f>EXP(-LN(2)/2)*HI122+(1-EXP(-LN(2)/2))/(LN(2)/2)*HC123*HF123*VLOOKUP('Données projet'!$B$18,Paramètres!$A$1:$I$88,3,0)*0.475*44/12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projet'!$B$9,Paramètres!$A$1:$I$88,3,0)*VLOOKUP('Données projet'!$B$9,Paramètres!$A$1:$I$88,5,0)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195.73441209602686</v>
      </c>
      <c r="T124" s="59">
        <f t="shared" si="88"/>
        <v>219.19129224309006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projet'!$B$9,Paramètres!$A$1:$I$88,7,0))</f>
        <v>0</v>
      </c>
      <c r="X124" s="16">
        <f>IF(ISNA(VLOOKUP(A124,'Données projet'!$A$35:$I$55,6,0)),0%,VLOOKUP(A124,'Données projet'!$A$35:$I$55,6,0)*VLOOKUP('Données projet'!$B$9,Paramètres!$A$1:$I$88,7,0))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projet'!$B$9,Paramètres!$A$1:$I$88,3,0)*0.475*44/12</f>
        <v>2.5156970332126387</v>
      </c>
      <c r="AA124" s="21">
        <f>EXP(-LN(2)/25)*AA123+(1-EXP(-LN(2)/25))/(LN(2)/25)*Calculateur!V124*Calculateur!X124*VLOOKUP('Données projet'!$B$9,Paramètres!$A$1:$I$88,3,0)*0.475*44/12</f>
        <v>1.1356433296968949</v>
      </c>
      <c r="AB124" s="21">
        <f>EXP(-LN(2)/2)*AB123+(1-EXP(-LN(2)/2))/(LN(2)/2)*V124*Y124*VLOOKUP('Données projet'!$B$9,Paramètres!$A$1:$I$88,3,0)*0.475*44/12</f>
        <v>7.9730266223329221E-16</v>
      </c>
      <c r="AC124" s="22">
        <f t="shared" si="57"/>
        <v>3.6513403629095347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-4.5474735088646412E-13</v>
      </c>
      <c r="AJ124" s="13">
        <f>AI124*VLOOKUP('Données projet'!$B$10,Paramètres!$A$1:$I$88,3,0)*VLOOKUP('Données projet'!$B$10,Paramètres!$A$1:$I$88,5,0)</f>
        <v>-2.7193891583010558E-13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246.59447135626942</v>
      </c>
      <c r="AO124" s="59">
        <f t="shared" si="90"/>
        <v>262.00382544285367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projet'!$B$10,Paramètres!$A$1:$I$88,7,0))</f>
        <v>0</v>
      </c>
      <c r="AS124" s="16">
        <f>IF(ISNA(VLOOKUP(A124,'Données projet'!$A$61:$I$81,6,0)),0%,VLOOKUP(A124,'Données projet'!$A$61:$I$81,6,0)*VLOOKUP('Données projet'!$B$10,Paramètres!$A$1:$I$88,7,0))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projet'!$B$10,Paramètres!$A$1:$I$88,3,0)*0.475*44/12</f>
        <v>0</v>
      </c>
      <c r="AV124" s="21">
        <f>EXP(-LN(2)/25)*AV123+(1-EXP(-LN(2)/25))/(LN(2)/25)*Calculateur!AQ124*Calculateur!AS124*VLOOKUP('Données projet'!$B$10,Paramètres!$A$1:$I$88,3,0)*0.475*44/12</f>
        <v>1.0306923504409822</v>
      </c>
      <c r="AW124" s="21">
        <f>EXP(-LN(2)/2)*AW123+(1-EXP(-LN(2)/2))/(LN(2)/2)*AQ124*AT124*VLOOKUP('Données projet'!$B$10,Paramètres!$A$1:$I$88,3,0)*0.475*44/12</f>
        <v>4.7689329903713974E-13</v>
      </c>
      <c r="AX124" s="21">
        <f t="shared" si="60"/>
        <v>1.0306923504414591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-5.6843418860808015E-13</v>
      </c>
      <c r="BE124" s="13">
        <f>BD124*VLOOKUP('Données projet'!$B$11,Paramètres!$A$1:$I$88,3,0)*VLOOKUP('Données projet'!$B$11,Paramètres!$A$1:$I$88,5,0)</f>
        <v>-3.177547114319168E-13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355.96253323046608</v>
      </c>
      <c r="BJ124" s="59">
        <f t="shared" si="92"/>
        <v>366.8380442809696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projet'!$B$11,Paramètres!$A$1:$I$88,7,0))</f>
        <v>0</v>
      </c>
      <c r="BN124" s="16">
        <f>IF(ISNA(VLOOKUP(A124,'Données projet'!$A$87:$I$107,6,0)),0%,VLOOKUP(A124,'Données projet'!$A$87:$I$107,6,0)*VLOOKUP('Données projet'!$B$11,Paramètres!$A$1:$I$88,7,0))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projet'!$B$11,Paramètres!$A$1:$I$88,3,0)*0.475*44/12</f>
        <v>0</v>
      </c>
      <c r="BQ124" s="21">
        <f>EXP(-LN(2)/25)*BQ123+(1-EXP(-LN(2)/25))/(LN(2)/25)*Calculateur!BL124*Calculateur!BN124*VLOOKUP('Données projet'!$B$11,Paramètres!$A$1:$I$88,3,0)*0.475*44/12</f>
        <v>1.8248549018062554</v>
      </c>
      <c r="BR124" s="21">
        <f>EXP(-LN(2)/2)*BR123+(1-EXP(-LN(2)/2))/(LN(2)/2)*BL124*BO124*VLOOKUP('Données projet'!$B$11,Paramètres!$A$1:$I$88,3,0)*0.475*44/12</f>
        <v>7.3735474612218607E-13</v>
      </c>
      <c r="BS124" s="22">
        <f t="shared" si="63"/>
        <v>1.8248549018069928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projet'!$B$12,Paramètres!$A$1:$I$88,3,0)*VLOOKUP('Données projet'!$B$12,Paramètres!$A$1:$I$88,5,0)</f>
        <v>3.7243808037601412E-14</v>
      </c>
      <c r="CA124" s="13">
        <f t="shared" si="93"/>
        <v>6.2767589361185393E-13</v>
      </c>
      <c r="CB124" s="20">
        <f t="shared" si="64"/>
        <v>1.1580684803728015E-12</v>
      </c>
      <c r="CC124" s="59">
        <f t="shared" si="65"/>
        <v>293.33333333333445</v>
      </c>
      <c r="CD124" s="59">
        <f ca="1">AVERAGE(OFFSET($CC$3,0,0,'Données projet'!$E$12+1,1))-AVERAGE(OFFSET($H$3,0,0,'Données projet'!$E$12+1,1))</f>
        <v>180.90147430936133</v>
      </c>
      <c r="CE124" s="59">
        <f t="shared" si="94"/>
        <v>226.87949199830018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projet'!$B$12,Paramètres!$A$1:$I$88,7,0))</f>
        <v>0</v>
      </c>
      <c r="CI124" s="16">
        <f>IF(ISNA(VLOOKUP(A124,'Données projet'!$A$113:$I$133,6,0)),0%,VLOOKUP(A124,'Données projet'!$A$113:$I$133,6,0)*VLOOKUP('Données projet'!$B$12,Paramètres!$A$1:$I$88,7,0))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projet'!$B$12,Paramètres!$A$1:$I$88,3,0)*0.475*44/12</f>
        <v>0</v>
      </c>
      <c r="CL124" s="21">
        <f>EXP(-LN(2)/25)*CL123+(1-EXP(-LN(2)/25))/(LN(2)/25)*Calculateur!CG124*Calculateur!CI124*VLOOKUP('Données projet'!$B$12,Paramètres!$A$1:$I$88,3,0)*0.475*44/12</f>
        <v>0.55111389147708156</v>
      </c>
      <c r="CM124" s="21">
        <f>EXP(-LN(2)/2)*CM123+(1-EXP(-LN(2)/2))/(LN(2)/2)*CG124*CJ124*VLOOKUP('Données projet'!$B$12,Paramètres!$A$1:$I$88,3,0)*0.475*44/12</f>
        <v>1.7811048167628936E-13</v>
      </c>
      <c r="CN124" s="22">
        <f t="shared" si="66"/>
        <v>0.55111389147725964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5.6843418860808015E-14</v>
      </c>
      <c r="CU124" s="17">
        <f>CT124*VLOOKUP('Données projet'!$B$13,Paramètres!$A$1:$I$88,3,0)*VLOOKUP('Données projet'!$B$13,Paramètres!$A$1:$I$88,5,0)</f>
        <v>2.8908289095852525E-14</v>
      </c>
      <c r="CV124" s="13">
        <f t="shared" si="95"/>
        <v>5.0177780569126974E-13</v>
      </c>
      <c r="CW124" s="20">
        <f t="shared" si="67"/>
        <v>9.2427828175423786E-13</v>
      </c>
      <c r="CX124" s="59">
        <f t="shared" si="68"/>
        <v>293.33333333333422</v>
      </c>
      <c r="CY124" s="59">
        <f ca="1">AVERAGE(OFFSET($CX$3,0,0,'Données projet'!$E$13+1,1))-AVERAGE(OFFSET($H$3,0,0,'Données projet'!$E$13+1,1))</f>
        <v>133.08385802816008</v>
      </c>
      <c r="CZ124" s="59">
        <f t="shared" si="96"/>
        <v>316.59112511251385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projet'!$B$13,Paramètres!$A$1:$I$88,7,0))</f>
        <v>0</v>
      </c>
      <c r="DD124" s="16">
        <f>IF(ISNA(VLOOKUP(A124,'Données projet'!$A$139:$I$159,6,0)),0%,VLOOKUP(A124,'Données projet'!$A$139:$I$159,6,0)*VLOOKUP('Données projet'!$B$13,Paramètres!$A$1:$I$88,7,0))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projet'!$B$13,Paramètres!$A$1:$I$88,3,0)*0.475*44/12</f>
        <v>11.909554511224105</v>
      </c>
      <c r="DG124" s="21">
        <f>EXP(-LN(2)/25)*DG123+(1-EXP(-LN(2)/25))/(LN(2)/25)*Calculateur!DB124*Calculateur!DD124*VLOOKUP('Données projet'!$B$13,Paramètres!$A$1:$I$88,3,0)*0.475*44/12</f>
        <v>0</v>
      </c>
      <c r="DH124" s="21">
        <f>EXP(-LN(2)/2)*DH123+(1-EXP(-LN(2)/2))/(LN(2)/2)*DB124*DE124*VLOOKUP('Données projet'!$B$13,Paramètres!$A$1:$I$88,3,0)*0.475*44/12</f>
        <v>1.1363758850937004E-13</v>
      </c>
      <c r="DI124" s="22">
        <f t="shared" si="69"/>
        <v>11.909554511224218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projet'!$B$14,Paramètres!$A$1:$I$88,3,0)*VLOOKUP('Données projet'!$B$14,Paramètres!$A$1:$I$88,5,0)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projet'!$B$14,Paramètres!$A$1:$I$88,7,0))</f>
        <v>0</v>
      </c>
      <c r="DY124" s="16">
        <f>IF(ISNA(VLOOKUP(A124,'Données projet'!$A$165:$I$185,6,0)),0%,VLOOKUP(A124,'Données projet'!$A$165:$I$185,6,0)*VLOOKUP('Données projet'!$B$14,Paramètres!$A$1:$I$88,7,0))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projet'!$B$14,Paramètres!$A$1:$I$88,3,0)*0.475*44/12</f>
        <v>#N/A</v>
      </c>
      <c r="EB124" s="21" t="e">
        <f>EXP(-LN(2)/25)*EB123+(1-EXP(-LN(2)/25))/(LN(2)/25)*Calculateur!DW124*Calculateur!DY124*VLOOKUP('Données projet'!$B$14,Paramètres!$A$1:$I$88,3,0)*0.475*44/12</f>
        <v>#N/A</v>
      </c>
      <c r="EC124" s="21" t="e">
        <f>EXP(-LN(2)/2)*EC123+(1-EXP(-LN(2)/2))/(LN(2)/2)*DW124*DZ124*VLOOKUP('Données projet'!$B$14,Paramètres!$A$1:$I$88,3,0)*0.475*44/12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projet'!$B$15,Paramètres!$A$1:$I$88,3,0)*VLOOKUP('Données projet'!$B$15,Paramètres!$A$1:$I$88,5,0)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projet'!$B$15,Paramètres!$A$1:$I$88,7,0))</f>
        <v>0</v>
      </c>
      <c r="ET124" s="16">
        <f>IF(ISNA(VLOOKUP(A124,'Données projet'!$A$191:$I$211,6,0)),0%,VLOOKUP(A124,'Données projet'!$A$191:$I$211,6,0)*VLOOKUP('Données projet'!$B$15,Paramètres!$A$1:$I$88,7,0))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projet'!$B$15,Paramètres!$A$1:$I$88,3,0)*0.475*44/12</f>
        <v>#N/A</v>
      </c>
      <c r="EW124" s="21" t="e">
        <f>EXP(-LN(2)/25)*EW123+(1-EXP(-LN(2)/25))/(LN(2)/25)*Calculateur!ER124*Calculateur!ET124*VLOOKUP('Données projet'!$B$15,Paramètres!$A$1:$I$88,3,0)*0.475*44/12</f>
        <v>#N/A</v>
      </c>
      <c r="EX124" s="21" t="e">
        <f>EXP(-LN(2)/2)*EX123+(1-EXP(-LN(2)/2))/(LN(2)/2)*ER124*EU124*VLOOKUP('Données projet'!$B$15,Paramètres!$A$1:$I$88,3,0)*0.475*44/12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projet'!$B$16,Paramètres!$A$1:$I$88,3,0)*VLOOKUP('Données projet'!$B$16,Paramètres!$A$1:$I$88,5,0)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projet'!$B$16,Paramètres!$A$1:$I$88,7,0))</f>
        <v>0</v>
      </c>
      <c r="FO124" s="16">
        <f>IF(ISNA(VLOOKUP(A124,'Données projet'!$A$217:$I$237,6,0)),0%,VLOOKUP(A124,'Données projet'!$A$217:$I$237,6,0)*VLOOKUP('Données projet'!$B$16,Paramètres!$A$1:$I$88,7,0))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projet'!$B$16,Paramètres!$A$1:$I$88,3,0)*0.475*44/12</f>
        <v>#N/A</v>
      </c>
      <c r="FR124" s="21" t="e">
        <f>EXP(-LN(2)/25)*FR123+(1-EXP(-LN(2)/25))/(LN(2)/25)*Calculateur!FM124*Calculateur!FO124*VLOOKUP('Données projet'!$B$16,Paramètres!$A$1:$I$88,3,0)*0.475*44/12</f>
        <v>#N/A</v>
      </c>
      <c r="FS124" s="21" t="e">
        <f>EXP(-LN(2)/2)*FS123+(1-EXP(-LN(2)/2))/(LN(2)/2)*FM124*FP124*VLOOKUP('Données projet'!$B$16,Paramètres!$A$1:$I$88,3,0)*0.475*44/12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projet'!$B$17,Paramètres!$A$1:$I$88,3,0)*VLOOKUP('Données projet'!$B$17,Paramètres!$A$1:$I$88,5,0)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projet'!$B$17,Paramètres!$A$1:$I$88,7,0))</f>
        <v>0</v>
      </c>
      <c r="GJ124" s="16">
        <f>IF(ISNA(VLOOKUP(A124,'Données projet'!$A$243:$I$263,6,0)),0%,VLOOKUP(A124,'Données projet'!$A$243:$I$263,6,0)*VLOOKUP('Données projet'!$B$17,Paramètres!$A$1:$I$88,7,0))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projet'!$B$17,Paramètres!$A$1:$I$88,3,0)*0.475*44/12</f>
        <v>#N/A</v>
      </c>
      <c r="GM124" s="21" t="e">
        <f>EXP(-LN(2)/25)*GM123+(1-EXP(-LN(2)/25))/(LN(2)/25)*Calculateur!GH124*Calculateur!GJ124*VLOOKUP('Données projet'!$B$17,Paramètres!$A$1:$I$88,3,0)*0.475*44/12</f>
        <v>#N/A</v>
      </c>
      <c r="GN124" s="21" t="e">
        <f>EXP(-LN(2)/2)*GN123+(1-EXP(-LN(2)/2))/(LN(2)/2)*GH124*GK124*VLOOKUP('Données projet'!$B$17,Paramètres!$A$1:$I$88,3,0)*0.475*44/12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projet'!$B$18,Paramètres!$A$1:$I$88,3,0)*VLOOKUP('Données projet'!$B$18,Paramètres!$A$1:$I$88,5,0)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projet'!$B$18,Paramètres!$A$1:$I$88,7,0))</f>
        <v>0</v>
      </c>
      <c r="HE124" s="16">
        <f>IF(ISNA(VLOOKUP(A124,'Données projet'!$A$269:$I$289,6,0)),0%,VLOOKUP(A124,'Données projet'!$A$269:$I$289,6,0)*VLOOKUP('Données projet'!$B$18,Paramètres!$A$1:$I$88,7,0))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projet'!$B$18,Paramètres!$A$1:$I$88,3,0)*0.475*44/12</f>
        <v>#N/A</v>
      </c>
      <c r="HH124" s="21" t="e">
        <f>EXP(-LN(2)/25)*HH123+(1-EXP(-LN(2)/25))/(LN(2)/25)*Calculateur!HC124*Calculateur!HE124*VLOOKUP('Données projet'!$B$18,Paramètres!$A$1:$I$88,3,0)*0.475*44/12</f>
        <v>#N/A</v>
      </c>
      <c r="HI124" s="21" t="e">
        <f>EXP(-LN(2)/2)*HI123+(1-EXP(-LN(2)/2))/(LN(2)/2)*HC124*HF124*VLOOKUP('Données projet'!$B$18,Paramètres!$A$1:$I$88,3,0)*0.475*44/12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projet'!$B$9,Paramètres!$A$1:$I$88,3,0)*VLOOKUP('Données projet'!$B$9,Paramètres!$A$1:$I$88,5,0)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195.73441209602686</v>
      </c>
      <c r="T125" s="59">
        <f t="shared" si="88"/>
        <v>219.19129224309006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projet'!$B$9,Paramètres!$A$1:$I$88,7,0))</f>
        <v>0</v>
      </c>
      <c r="X125" s="16">
        <f>IF(ISNA(VLOOKUP(A125,'Données projet'!$A$35:$I$55,6,0)),0%,VLOOKUP(A125,'Données projet'!$A$35:$I$55,6,0)*VLOOKUP('Données projet'!$B$9,Paramètres!$A$1:$I$88,7,0))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projet'!$B$9,Paramètres!$A$1:$I$88,3,0)*0.475*44/12</f>
        <v>2.4663657488150172</v>
      </c>
      <c r="AA125" s="21">
        <f>EXP(-LN(2)/25)*AA124+(1-EXP(-LN(2)/25))/(LN(2)/25)*Calculateur!V125*Calculateur!X125*VLOOKUP('Données projet'!$B$9,Paramètres!$A$1:$I$88,3,0)*0.475*44/12</f>
        <v>1.104589103125446</v>
      </c>
      <c r="AB125" s="21">
        <f>EXP(-LN(2)/2)*AB124+(1-EXP(-LN(2)/2))/(LN(2)/2)*V125*Y125*VLOOKUP('Données projet'!$B$9,Paramètres!$A$1:$I$88,3,0)*0.475*44/12</f>
        <v>5.6377811912324836E-16</v>
      </c>
      <c r="AC125" s="22">
        <f t="shared" si="57"/>
        <v>3.5709548519404639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-4.5474735088646412E-13</v>
      </c>
      <c r="AJ125" s="13">
        <f>AI125*VLOOKUP('Données projet'!$B$10,Paramètres!$A$1:$I$88,3,0)*VLOOKUP('Données projet'!$B$10,Paramètres!$A$1:$I$88,5,0)</f>
        <v>-2.7193891583010558E-13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246.59447135626942</v>
      </c>
      <c r="AO125" s="59">
        <f t="shared" si="90"/>
        <v>262.00382544285367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projet'!$B$10,Paramètres!$A$1:$I$88,7,0))</f>
        <v>0</v>
      </c>
      <c r="AS125" s="16">
        <f>IF(ISNA(VLOOKUP(A125,'Données projet'!$A$61:$I$81,6,0)),0%,VLOOKUP(A125,'Données projet'!$A$61:$I$81,6,0)*VLOOKUP('Données projet'!$B$10,Paramètres!$A$1:$I$88,7,0))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projet'!$B$10,Paramètres!$A$1:$I$88,3,0)*0.475*44/12</f>
        <v>0</v>
      </c>
      <c r="AV125" s="21">
        <f>EXP(-LN(2)/25)*AV124+(1-EXP(-LN(2)/25))/(LN(2)/25)*Calculateur!AQ125*Calculateur!AS125*VLOOKUP('Données projet'!$B$10,Paramètres!$A$1:$I$88,3,0)*0.475*44/12</f>
        <v>1.0025080139164184</v>
      </c>
      <c r="AW125" s="21">
        <f>EXP(-LN(2)/2)*AW124+(1-EXP(-LN(2)/2))/(LN(2)/2)*AQ125*AT125*VLOOKUP('Données projet'!$B$10,Paramètres!$A$1:$I$88,3,0)*0.475*44/12</f>
        <v>3.3721448565158556E-13</v>
      </c>
      <c r="AX125" s="21">
        <f t="shared" si="60"/>
        <v>1.0025080139167557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-5.6843418860808015E-13</v>
      </c>
      <c r="BE125" s="13">
        <f>BD125*VLOOKUP('Données projet'!$B$11,Paramètres!$A$1:$I$88,3,0)*VLOOKUP('Données projet'!$B$11,Paramètres!$A$1:$I$88,5,0)</f>
        <v>-3.177547114319168E-13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355.96253323046608</v>
      </c>
      <c r="BJ125" s="59">
        <f t="shared" si="92"/>
        <v>366.8380442809696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projet'!$B$11,Paramètres!$A$1:$I$88,7,0))</f>
        <v>0</v>
      </c>
      <c r="BN125" s="16">
        <f>IF(ISNA(VLOOKUP(A125,'Données projet'!$A$87:$I$107,6,0)),0%,VLOOKUP(A125,'Données projet'!$A$87:$I$107,6,0)*VLOOKUP('Données projet'!$B$11,Paramètres!$A$1:$I$88,7,0))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projet'!$B$11,Paramètres!$A$1:$I$88,3,0)*0.475*44/12</f>
        <v>0</v>
      </c>
      <c r="BQ125" s="21">
        <f>EXP(-LN(2)/25)*BQ124+(1-EXP(-LN(2)/25))/(LN(2)/25)*Calculateur!BL125*Calculateur!BN125*VLOOKUP('Données projet'!$B$11,Paramètres!$A$1:$I$88,3,0)*0.475*44/12</f>
        <v>1.7749541485514149</v>
      </c>
      <c r="BR125" s="21">
        <f>EXP(-LN(2)/2)*BR124+(1-EXP(-LN(2)/2))/(LN(2)/2)*BL125*BO125*VLOOKUP('Données projet'!$B$11,Paramètres!$A$1:$I$88,3,0)*0.475*44/12</f>
        <v>5.2138854112308292E-13</v>
      </c>
      <c r="BS125" s="22">
        <f t="shared" si="63"/>
        <v>1.7749541485519362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projet'!$B$12,Paramètres!$A$1:$I$88,3,0)*VLOOKUP('Données projet'!$B$12,Paramètres!$A$1:$I$88,5,0)</f>
        <v>3.7243808037601412E-14</v>
      </c>
      <c r="CA125" s="13">
        <f t="shared" si="93"/>
        <v>6.2767589361185393E-13</v>
      </c>
      <c r="CB125" s="20">
        <f t="shared" si="64"/>
        <v>1.1580684803728015E-12</v>
      </c>
      <c r="CC125" s="59">
        <f t="shared" si="65"/>
        <v>293.33333333333445</v>
      </c>
      <c r="CD125" s="59">
        <f ca="1">AVERAGE(OFFSET($CC$3,0,0,'Données projet'!$E$12+1,1))-AVERAGE(OFFSET($H$3,0,0,'Données projet'!$E$12+1,1))</f>
        <v>180.90147430936133</v>
      </c>
      <c r="CE125" s="59">
        <f t="shared" si="94"/>
        <v>226.87949199830018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projet'!$B$12,Paramètres!$A$1:$I$88,7,0))</f>
        <v>0</v>
      </c>
      <c r="CI125" s="16">
        <f>IF(ISNA(VLOOKUP(A125,'Données projet'!$A$113:$I$133,6,0)),0%,VLOOKUP(A125,'Données projet'!$A$113:$I$133,6,0)*VLOOKUP('Données projet'!$B$12,Paramètres!$A$1:$I$88,7,0))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projet'!$B$12,Paramètres!$A$1:$I$88,3,0)*0.475*44/12</f>
        <v>0</v>
      </c>
      <c r="CL125" s="21">
        <f>EXP(-LN(2)/25)*CL124+(1-EXP(-LN(2)/25))/(LN(2)/25)*Calculateur!CG125*Calculateur!CI125*VLOOKUP('Données projet'!$B$12,Paramètres!$A$1:$I$88,3,0)*0.475*44/12</f>
        <v>0.53604365313282076</v>
      </c>
      <c r="CM125" s="21">
        <f>EXP(-LN(2)/2)*CM124+(1-EXP(-LN(2)/2))/(LN(2)/2)*CG125*CJ125*VLOOKUP('Données projet'!$B$12,Paramètres!$A$1:$I$88,3,0)*0.475*44/12</f>
        <v>1.2594312939370652E-13</v>
      </c>
      <c r="CN125" s="22">
        <f t="shared" si="66"/>
        <v>0.53604365313294666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5.6843418860808015E-14</v>
      </c>
      <c r="CU125" s="17">
        <f>CT125*VLOOKUP('Données projet'!$B$13,Paramètres!$A$1:$I$88,3,0)*VLOOKUP('Données projet'!$B$13,Paramètres!$A$1:$I$88,5,0)</f>
        <v>2.8908289095852525E-14</v>
      </c>
      <c r="CV125" s="13">
        <f t="shared" si="95"/>
        <v>5.0177780569126974E-13</v>
      </c>
      <c r="CW125" s="20">
        <f t="shared" si="67"/>
        <v>9.2427828175423786E-13</v>
      </c>
      <c r="CX125" s="59">
        <f t="shared" si="68"/>
        <v>293.33333333333422</v>
      </c>
      <c r="CY125" s="59">
        <f ca="1">AVERAGE(OFFSET($CX$3,0,0,'Données projet'!$E$13+1,1))-AVERAGE(OFFSET($H$3,0,0,'Données projet'!$E$13+1,1))</f>
        <v>133.08385802816008</v>
      </c>
      <c r="CZ125" s="59">
        <f t="shared" si="96"/>
        <v>316.59112511251385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projet'!$B$13,Paramètres!$A$1:$I$88,7,0))</f>
        <v>0</v>
      </c>
      <c r="DD125" s="16">
        <f>IF(ISNA(VLOOKUP(A125,'Données projet'!$A$139:$I$159,6,0)),0%,VLOOKUP(A125,'Données projet'!$A$139:$I$159,6,0)*VLOOKUP('Données projet'!$B$13,Paramètres!$A$1:$I$88,7,0))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projet'!$B$13,Paramètres!$A$1:$I$88,3,0)*0.475*44/12</f>
        <v>11.676015411369981</v>
      </c>
      <c r="DG125" s="21">
        <f>EXP(-LN(2)/25)*DG124+(1-EXP(-LN(2)/25))/(LN(2)/25)*Calculateur!DB125*Calculateur!DD125*VLOOKUP('Données projet'!$B$13,Paramètres!$A$1:$I$88,3,0)*0.475*44/12</f>
        <v>0</v>
      </c>
      <c r="DH125" s="21">
        <f>EXP(-LN(2)/2)*DH124+(1-EXP(-LN(2)/2))/(LN(2)/2)*DB125*DE125*VLOOKUP('Données projet'!$B$13,Paramètres!$A$1:$I$88,3,0)*0.475*44/12</f>
        <v>8.035390943266205E-14</v>
      </c>
      <c r="DI125" s="22">
        <f t="shared" si="69"/>
        <v>11.676015411370061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projet'!$B$14,Paramètres!$A$1:$I$88,3,0)*VLOOKUP('Données projet'!$B$14,Paramètres!$A$1:$I$88,5,0)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projet'!$B$14,Paramètres!$A$1:$I$88,7,0))</f>
        <v>0</v>
      </c>
      <c r="DY125" s="16">
        <f>IF(ISNA(VLOOKUP(A125,'Données projet'!$A$165:$I$185,6,0)),0%,VLOOKUP(A125,'Données projet'!$A$165:$I$185,6,0)*VLOOKUP('Données projet'!$B$14,Paramètres!$A$1:$I$88,7,0))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projet'!$B$14,Paramètres!$A$1:$I$88,3,0)*0.475*44/12</f>
        <v>#N/A</v>
      </c>
      <c r="EB125" s="21" t="e">
        <f>EXP(-LN(2)/25)*EB124+(1-EXP(-LN(2)/25))/(LN(2)/25)*Calculateur!DW125*Calculateur!DY125*VLOOKUP('Données projet'!$B$14,Paramètres!$A$1:$I$88,3,0)*0.475*44/12</f>
        <v>#N/A</v>
      </c>
      <c r="EC125" s="21" t="e">
        <f>EXP(-LN(2)/2)*EC124+(1-EXP(-LN(2)/2))/(LN(2)/2)*DW125*DZ125*VLOOKUP('Données projet'!$B$14,Paramètres!$A$1:$I$88,3,0)*0.475*44/12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projet'!$B$15,Paramètres!$A$1:$I$88,3,0)*VLOOKUP('Données projet'!$B$15,Paramètres!$A$1:$I$88,5,0)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projet'!$B$15,Paramètres!$A$1:$I$88,7,0))</f>
        <v>0</v>
      </c>
      <c r="ET125" s="16">
        <f>IF(ISNA(VLOOKUP(A125,'Données projet'!$A$191:$I$211,6,0)),0%,VLOOKUP(A125,'Données projet'!$A$191:$I$211,6,0)*VLOOKUP('Données projet'!$B$15,Paramètres!$A$1:$I$88,7,0))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projet'!$B$15,Paramètres!$A$1:$I$88,3,0)*0.475*44/12</f>
        <v>#N/A</v>
      </c>
      <c r="EW125" s="21" t="e">
        <f>EXP(-LN(2)/25)*EW124+(1-EXP(-LN(2)/25))/(LN(2)/25)*Calculateur!ER125*Calculateur!ET125*VLOOKUP('Données projet'!$B$15,Paramètres!$A$1:$I$88,3,0)*0.475*44/12</f>
        <v>#N/A</v>
      </c>
      <c r="EX125" s="21" t="e">
        <f>EXP(-LN(2)/2)*EX124+(1-EXP(-LN(2)/2))/(LN(2)/2)*ER125*EU125*VLOOKUP('Données projet'!$B$15,Paramètres!$A$1:$I$88,3,0)*0.475*44/12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projet'!$B$16,Paramètres!$A$1:$I$88,3,0)*VLOOKUP('Données projet'!$B$16,Paramètres!$A$1:$I$88,5,0)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projet'!$B$16,Paramètres!$A$1:$I$88,7,0))</f>
        <v>0</v>
      </c>
      <c r="FO125" s="16">
        <f>IF(ISNA(VLOOKUP(A125,'Données projet'!$A$217:$I$237,6,0)),0%,VLOOKUP(A125,'Données projet'!$A$217:$I$237,6,0)*VLOOKUP('Données projet'!$B$16,Paramètres!$A$1:$I$88,7,0))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projet'!$B$16,Paramètres!$A$1:$I$88,3,0)*0.475*44/12</f>
        <v>#N/A</v>
      </c>
      <c r="FR125" s="21" t="e">
        <f>EXP(-LN(2)/25)*FR124+(1-EXP(-LN(2)/25))/(LN(2)/25)*Calculateur!FM125*Calculateur!FO125*VLOOKUP('Données projet'!$B$16,Paramètres!$A$1:$I$88,3,0)*0.475*44/12</f>
        <v>#N/A</v>
      </c>
      <c r="FS125" s="21" t="e">
        <f>EXP(-LN(2)/2)*FS124+(1-EXP(-LN(2)/2))/(LN(2)/2)*FM125*FP125*VLOOKUP('Données projet'!$B$16,Paramètres!$A$1:$I$88,3,0)*0.475*44/12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projet'!$B$17,Paramètres!$A$1:$I$88,3,0)*VLOOKUP('Données projet'!$B$17,Paramètres!$A$1:$I$88,5,0)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projet'!$B$17,Paramètres!$A$1:$I$88,7,0))</f>
        <v>0</v>
      </c>
      <c r="GJ125" s="16">
        <f>IF(ISNA(VLOOKUP(A125,'Données projet'!$A$243:$I$263,6,0)),0%,VLOOKUP(A125,'Données projet'!$A$243:$I$263,6,0)*VLOOKUP('Données projet'!$B$17,Paramètres!$A$1:$I$88,7,0))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projet'!$B$17,Paramètres!$A$1:$I$88,3,0)*0.475*44/12</f>
        <v>#N/A</v>
      </c>
      <c r="GM125" s="21" t="e">
        <f>EXP(-LN(2)/25)*GM124+(1-EXP(-LN(2)/25))/(LN(2)/25)*Calculateur!GH125*Calculateur!GJ125*VLOOKUP('Données projet'!$B$17,Paramètres!$A$1:$I$88,3,0)*0.475*44/12</f>
        <v>#N/A</v>
      </c>
      <c r="GN125" s="21" t="e">
        <f>EXP(-LN(2)/2)*GN124+(1-EXP(-LN(2)/2))/(LN(2)/2)*GH125*GK125*VLOOKUP('Données projet'!$B$17,Paramètres!$A$1:$I$88,3,0)*0.475*44/12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projet'!$B$18,Paramètres!$A$1:$I$88,3,0)*VLOOKUP('Données projet'!$B$18,Paramètres!$A$1:$I$88,5,0)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projet'!$B$18,Paramètres!$A$1:$I$88,7,0))</f>
        <v>0</v>
      </c>
      <c r="HE125" s="16">
        <f>IF(ISNA(VLOOKUP(A125,'Données projet'!$A$269:$I$289,6,0)),0%,VLOOKUP(A125,'Données projet'!$A$269:$I$289,6,0)*VLOOKUP('Données projet'!$B$18,Paramètres!$A$1:$I$88,7,0))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projet'!$B$18,Paramètres!$A$1:$I$88,3,0)*0.475*44/12</f>
        <v>#N/A</v>
      </c>
      <c r="HH125" s="21" t="e">
        <f>EXP(-LN(2)/25)*HH124+(1-EXP(-LN(2)/25))/(LN(2)/25)*Calculateur!HC125*Calculateur!HE125*VLOOKUP('Données projet'!$B$18,Paramètres!$A$1:$I$88,3,0)*0.475*44/12</f>
        <v>#N/A</v>
      </c>
      <c r="HI125" s="21" t="e">
        <f>EXP(-LN(2)/2)*HI124+(1-EXP(-LN(2)/2))/(LN(2)/2)*HC125*HF125*VLOOKUP('Données projet'!$B$18,Paramètres!$A$1:$I$88,3,0)*0.475*44/12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projet'!$B$9,Paramètres!$A$1:$I$88,3,0)*VLOOKUP('Données projet'!$B$9,Paramètres!$A$1:$I$88,5,0)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195.73441209602686</v>
      </c>
      <c r="T126" s="59">
        <f t="shared" si="88"/>
        <v>219.19129224309006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projet'!$B$9,Paramètres!$A$1:$I$88,7,0))</f>
        <v>0</v>
      </c>
      <c r="X126" s="16">
        <f>IF(ISNA(VLOOKUP(A126,'Données projet'!$A$35:$I$55,6,0)),0%,VLOOKUP(A126,'Données projet'!$A$35:$I$55,6,0)*VLOOKUP('Données projet'!$B$9,Paramètres!$A$1:$I$88,7,0))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projet'!$B$9,Paramètres!$A$1:$I$88,3,0)*0.475*44/12</f>
        <v>2.4180018208153209</v>
      </c>
      <c r="AA126" s="21">
        <f>EXP(-LN(2)/25)*AA125+(1-EXP(-LN(2)/25))/(LN(2)/25)*Calculateur!V126*Calculateur!X126*VLOOKUP('Données projet'!$B$9,Paramètres!$A$1:$I$88,3,0)*0.475*44/12</f>
        <v>1.0743840560126643</v>
      </c>
      <c r="AB126" s="21">
        <f>EXP(-LN(2)/2)*AB125+(1-EXP(-LN(2)/2))/(LN(2)/2)*V126*Y126*VLOOKUP('Données projet'!$B$9,Paramètres!$A$1:$I$88,3,0)*0.475*44/12</f>
        <v>3.9865133111664611E-16</v>
      </c>
      <c r="AC126" s="22">
        <f t="shared" si="57"/>
        <v>3.4923858768279854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-4.5474735088646412E-13</v>
      </c>
      <c r="AJ126" s="13">
        <f>AI126*VLOOKUP('Données projet'!$B$10,Paramètres!$A$1:$I$88,3,0)*VLOOKUP('Données projet'!$B$10,Paramètres!$A$1:$I$88,5,0)</f>
        <v>-2.7193891583010558E-13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246.59447135626942</v>
      </c>
      <c r="AO126" s="59">
        <f t="shared" si="90"/>
        <v>262.00382544285367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projet'!$B$10,Paramètres!$A$1:$I$88,7,0))</f>
        <v>0</v>
      </c>
      <c r="AS126" s="16">
        <f>IF(ISNA(VLOOKUP(A126,'Données projet'!$A$61:$I$81,6,0)),0%,VLOOKUP(A126,'Données projet'!$A$61:$I$81,6,0)*VLOOKUP('Données projet'!$B$10,Paramètres!$A$1:$I$88,7,0))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projet'!$B$10,Paramètres!$A$1:$I$88,3,0)*0.475*44/12</f>
        <v>0</v>
      </c>
      <c r="AV126" s="21">
        <f>EXP(-LN(2)/25)*AV125+(1-EXP(-LN(2)/25))/(LN(2)/25)*Calculateur!AQ126*Calculateur!AS126*VLOOKUP('Données projet'!$B$10,Paramètres!$A$1:$I$88,3,0)*0.475*44/12</f>
        <v>0.97509437955626876</v>
      </c>
      <c r="AW126" s="21">
        <f>EXP(-LN(2)/2)*AW125+(1-EXP(-LN(2)/2))/(LN(2)/2)*AQ126*AT126*VLOOKUP('Données projet'!$B$10,Paramètres!$A$1:$I$88,3,0)*0.475*44/12</f>
        <v>2.3844664951856987E-13</v>
      </c>
      <c r="AX126" s="21">
        <f t="shared" si="60"/>
        <v>0.97509437955650724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-5.6843418860808015E-13</v>
      </c>
      <c r="BE126" s="13">
        <f>BD126*VLOOKUP('Données projet'!$B$11,Paramètres!$A$1:$I$88,3,0)*VLOOKUP('Données projet'!$B$11,Paramètres!$A$1:$I$88,5,0)</f>
        <v>-3.177547114319168E-13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355.96253323046608</v>
      </c>
      <c r="BJ126" s="59">
        <f t="shared" si="92"/>
        <v>366.8380442809696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projet'!$B$11,Paramètres!$A$1:$I$88,7,0))</f>
        <v>0</v>
      </c>
      <c r="BN126" s="16">
        <f>IF(ISNA(VLOOKUP(A126,'Données projet'!$A$87:$I$107,6,0)),0%,VLOOKUP(A126,'Données projet'!$A$87:$I$107,6,0)*VLOOKUP('Données projet'!$B$11,Paramètres!$A$1:$I$88,7,0))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projet'!$B$11,Paramètres!$A$1:$I$88,3,0)*0.475*44/12</f>
        <v>0</v>
      </c>
      <c r="BQ126" s="21">
        <f>EXP(-LN(2)/25)*BQ125+(1-EXP(-LN(2)/25))/(LN(2)/25)*Calculateur!BL126*Calculateur!BN126*VLOOKUP('Données projet'!$B$11,Paramètres!$A$1:$I$88,3,0)*0.475*44/12</f>
        <v>1.7264179340184944</v>
      </c>
      <c r="BR126" s="21">
        <f>EXP(-LN(2)/2)*BR125+(1-EXP(-LN(2)/2))/(LN(2)/2)*BL126*BO126*VLOOKUP('Données projet'!$B$11,Paramètres!$A$1:$I$88,3,0)*0.475*44/12</f>
        <v>3.6867737306109304E-13</v>
      </c>
      <c r="BS126" s="22">
        <f t="shared" si="63"/>
        <v>1.726417934018863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projet'!$B$12,Paramètres!$A$1:$I$88,3,0)*VLOOKUP('Données projet'!$B$12,Paramètres!$A$1:$I$88,5,0)</f>
        <v>3.7243808037601412E-14</v>
      </c>
      <c r="CA126" s="13">
        <f t="shared" si="93"/>
        <v>6.2767589361185393E-13</v>
      </c>
      <c r="CB126" s="20">
        <f t="shared" si="64"/>
        <v>1.1580684803728015E-12</v>
      </c>
      <c r="CC126" s="59">
        <f t="shared" si="65"/>
        <v>293.33333333333445</v>
      </c>
      <c r="CD126" s="59">
        <f ca="1">AVERAGE(OFFSET($CC$3,0,0,'Données projet'!$E$12+1,1))-AVERAGE(OFFSET($H$3,0,0,'Données projet'!$E$12+1,1))</f>
        <v>180.90147430936133</v>
      </c>
      <c r="CE126" s="59">
        <f t="shared" si="94"/>
        <v>226.87949199830018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projet'!$B$12,Paramètres!$A$1:$I$88,7,0))</f>
        <v>0</v>
      </c>
      <c r="CI126" s="16">
        <f>IF(ISNA(VLOOKUP(A126,'Données projet'!$A$113:$I$133,6,0)),0%,VLOOKUP(A126,'Données projet'!$A$113:$I$133,6,0)*VLOOKUP('Données projet'!$B$12,Paramètres!$A$1:$I$88,7,0))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projet'!$B$12,Paramètres!$A$1:$I$88,3,0)*0.475*44/12</f>
        <v>0</v>
      </c>
      <c r="CL126" s="21">
        <f>EXP(-LN(2)/25)*CL125+(1-EXP(-LN(2)/25))/(LN(2)/25)*Calculateur!CG126*Calculateur!CI126*VLOOKUP('Données projet'!$B$12,Paramètres!$A$1:$I$88,3,0)*0.475*44/12</f>
        <v>0.52138551124859323</v>
      </c>
      <c r="CM126" s="21">
        <f>EXP(-LN(2)/2)*CM125+(1-EXP(-LN(2)/2))/(LN(2)/2)*CG126*CJ126*VLOOKUP('Données projet'!$B$12,Paramètres!$A$1:$I$88,3,0)*0.475*44/12</f>
        <v>8.9055240838144681E-14</v>
      </c>
      <c r="CN126" s="22">
        <f t="shared" si="66"/>
        <v>0.52138551124868227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5.6843418860808015E-14</v>
      </c>
      <c r="CU126" s="17">
        <f>CT126*VLOOKUP('Données projet'!$B$13,Paramètres!$A$1:$I$88,3,0)*VLOOKUP('Données projet'!$B$13,Paramètres!$A$1:$I$88,5,0)</f>
        <v>2.8908289095852525E-14</v>
      </c>
      <c r="CV126" s="13">
        <f t="shared" si="95"/>
        <v>5.0177780569126974E-13</v>
      </c>
      <c r="CW126" s="20">
        <f t="shared" si="67"/>
        <v>9.2427828175423786E-13</v>
      </c>
      <c r="CX126" s="59">
        <f t="shared" si="68"/>
        <v>293.33333333333422</v>
      </c>
      <c r="CY126" s="59">
        <f ca="1">AVERAGE(OFFSET($CX$3,0,0,'Données projet'!$E$13+1,1))-AVERAGE(OFFSET($H$3,0,0,'Données projet'!$E$13+1,1))</f>
        <v>133.08385802816008</v>
      </c>
      <c r="CZ126" s="59">
        <f t="shared" si="96"/>
        <v>316.59112511251385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projet'!$B$13,Paramètres!$A$1:$I$88,7,0))</f>
        <v>0</v>
      </c>
      <c r="DD126" s="16">
        <f>IF(ISNA(VLOOKUP(A126,'Données projet'!$A$139:$I$159,6,0)),0%,VLOOKUP(A126,'Données projet'!$A$139:$I$159,6,0)*VLOOKUP('Données projet'!$B$13,Paramètres!$A$1:$I$88,7,0))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projet'!$B$13,Paramètres!$A$1:$I$88,3,0)*0.475*44/12</f>
        <v>11.447055870819211</v>
      </c>
      <c r="DG126" s="21">
        <f>EXP(-LN(2)/25)*DG125+(1-EXP(-LN(2)/25))/(LN(2)/25)*Calculateur!DB126*Calculateur!DD126*VLOOKUP('Données projet'!$B$13,Paramètres!$A$1:$I$88,3,0)*0.475*44/12</f>
        <v>0</v>
      </c>
      <c r="DH126" s="21">
        <f>EXP(-LN(2)/2)*DH125+(1-EXP(-LN(2)/2))/(LN(2)/2)*DB126*DE126*VLOOKUP('Données projet'!$B$13,Paramètres!$A$1:$I$88,3,0)*0.475*44/12</f>
        <v>5.6818794254685025E-14</v>
      </c>
      <c r="DI126" s="22">
        <f t="shared" si="69"/>
        <v>11.447055870819268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projet'!$B$14,Paramètres!$A$1:$I$88,3,0)*VLOOKUP('Données projet'!$B$14,Paramètres!$A$1:$I$88,5,0)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projet'!$B$14,Paramètres!$A$1:$I$88,7,0))</f>
        <v>0</v>
      </c>
      <c r="DY126" s="16">
        <f>IF(ISNA(VLOOKUP(A126,'Données projet'!$A$165:$I$185,6,0)),0%,VLOOKUP(A126,'Données projet'!$A$165:$I$185,6,0)*VLOOKUP('Données projet'!$B$14,Paramètres!$A$1:$I$88,7,0))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projet'!$B$14,Paramètres!$A$1:$I$88,3,0)*0.475*44/12</f>
        <v>#N/A</v>
      </c>
      <c r="EB126" s="21" t="e">
        <f>EXP(-LN(2)/25)*EB125+(1-EXP(-LN(2)/25))/(LN(2)/25)*Calculateur!DW126*Calculateur!DY126*VLOOKUP('Données projet'!$B$14,Paramètres!$A$1:$I$88,3,0)*0.475*44/12</f>
        <v>#N/A</v>
      </c>
      <c r="EC126" s="21" t="e">
        <f>EXP(-LN(2)/2)*EC125+(1-EXP(-LN(2)/2))/(LN(2)/2)*DW126*DZ126*VLOOKUP('Données projet'!$B$14,Paramètres!$A$1:$I$88,3,0)*0.475*44/12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projet'!$B$15,Paramètres!$A$1:$I$88,3,0)*VLOOKUP('Données projet'!$B$15,Paramètres!$A$1:$I$88,5,0)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projet'!$B$15,Paramètres!$A$1:$I$88,7,0))</f>
        <v>0</v>
      </c>
      <c r="ET126" s="16">
        <f>IF(ISNA(VLOOKUP(A126,'Données projet'!$A$191:$I$211,6,0)),0%,VLOOKUP(A126,'Données projet'!$A$191:$I$211,6,0)*VLOOKUP('Données projet'!$B$15,Paramètres!$A$1:$I$88,7,0))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projet'!$B$15,Paramètres!$A$1:$I$88,3,0)*0.475*44/12</f>
        <v>#N/A</v>
      </c>
      <c r="EW126" s="21" t="e">
        <f>EXP(-LN(2)/25)*EW125+(1-EXP(-LN(2)/25))/(LN(2)/25)*Calculateur!ER126*Calculateur!ET126*VLOOKUP('Données projet'!$B$15,Paramètres!$A$1:$I$88,3,0)*0.475*44/12</f>
        <v>#N/A</v>
      </c>
      <c r="EX126" s="21" t="e">
        <f>EXP(-LN(2)/2)*EX125+(1-EXP(-LN(2)/2))/(LN(2)/2)*ER126*EU126*VLOOKUP('Données projet'!$B$15,Paramètres!$A$1:$I$88,3,0)*0.475*44/12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projet'!$B$16,Paramètres!$A$1:$I$88,3,0)*VLOOKUP('Données projet'!$B$16,Paramètres!$A$1:$I$88,5,0)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projet'!$B$16,Paramètres!$A$1:$I$88,7,0))</f>
        <v>0</v>
      </c>
      <c r="FO126" s="16">
        <f>IF(ISNA(VLOOKUP(A126,'Données projet'!$A$217:$I$237,6,0)),0%,VLOOKUP(A126,'Données projet'!$A$217:$I$237,6,0)*VLOOKUP('Données projet'!$B$16,Paramètres!$A$1:$I$88,7,0))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projet'!$B$16,Paramètres!$A$1:$I$88,3,0)*0.475*44/12</f>
        <v>#N/A</v>
      </c>
      <c r="FR126" s="21" t="e">
        <f>EXP(-LN(2)/25)*FR125+(1-EXP(-LN(2)/25))/(LN(2)/25)*Calculateur!FM126*Calculateur!FO126*VLOOKUP('Données projet'!$B$16,Paramètres!$A$1:$I$88,3,0)*0.475*44/12</f>
        <v>#N/A</v>
      </c>
      <c r="FS126" s="21" t="e">
        <f>EXP(-LN(2)/2)*FS125+(1-EXP(-LN(2)/2))/(LN(2)/2)*FM126*FP126*VLOOKUP('Données projet'!$B$16,Paramètres!$A$1:$I$88,3,0)*0.475*44/12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projet'!$B$17,Paramètres!$A$1:$I$88,3,0)*VLOOKUP('Données projet'!$B$17,Paramètres!$A$1:$I$88,5,0)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projet'!$B$17,Paramètres!$A$1:$I$88,7,0))</f>
        <v>0</v>
      </c>
      <c r="GJ126" s="16">
        <f>IF(ISNA(VLOOKUP(A126,'Données projet'!$A$243:$I$263,6,0)),0%,VLOOKUP(A126,'Données projet'!$A$243:$I$263,6,0)*VLOOKUP('Données projet'!$B$17,Paramètres!$A$1:$I$88,7,0))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projet'!$B$17,Paramètres!$A$1:$I$88,3,0)*0.475*44/12</f>
        <v>#N/A</v>
      </c>
      <c r="GM126" s="21" t="e">
        <f>EXP(-LN(2)/25)*GM125+(1-EXP(-LN(2)/25))/(LN(2)/25)*Calculateur!GH126*Calculateur!GJ126*VLOOKUP('Données projet'!$B$17,Paramètres!$A$1:$I$88,3,0)*0.475*44/12</f>
        <v>#N/A</v>
      </c>
      <c r="GN126" s="21" t="e">
        <f>EXP(-LN(2)/2)*GN125+(1-EXP(-LN(2)/2))/(LN(2)/2)*GH126*GK126*VLOOKUP('Données projet'!$B$17,Paramètres!$A$1:$I$88,3,0)*0.475*44/12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projet'!$B$18,Paramètres!$A$1:$I$88,3,0)*VLOOKUP('Données projet'!$B$18,Paramètres!$A$1:$I$88,5,0)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projet'!$B$18,Paramètres!$A$1:$I$88,7,0))</f>
        <v>0</v>
      </c>
      <c r="HE126" s="16">
        <f>IF(ISNA(VLOOKUP(A126,'Données projet'!$A$269:$I$289,6,0)),0%,VLOOKUP(A126,'Données projet'!$A$269:$I$289,6,0)*VLOOKUP('Données projet'!$B$18,Paramètres!$A$1:$I$88,7,0))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projet'!$B$18,Paramètres!$A$1:$I$88,3,0)*0.475*44/12</f>
        <v>#N/A</v>
      </c>
      <c r="HH126" s="21" t="e">
        <f>EXP(-LN(2)/25)*HH125+(1-EXP(-LN(2)/25))/(LN(2)/25)*Calculateur!HC126*Calculateur!HE126*VLOOKUP('Données projet'!$B$18,Paramètres!$A$1:$I$88,3,0)*0.475*44/12</f>
        <v>#N/A</v>
      </c>
      <c r="HI126" s="21" t="e">
        <f>EXP(-LN(2)/2)*HI125+(1-EXP(-LN(2)/2))/(LN(2)/2)*HC126*HF126*VLOOKUP('Données projet'!$B$18,Paramètres!$A$1:$I$88,3,0)*0.475*44/12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projet'!$B$9,Paramètres!$A$1:$I$88,3,0)*VLOOKUP('Données projet'!$B$9,Paramètres!$A$1:$I$88,5,0)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195.73441209602686</v>
      </c>
      <c r="T127" s="59">
        <f t="shared" si="88"/>
        <v>219.19129224309006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projet'!$B$9,Paramètres!$A$1:$I$88,7,0))</f>
        <v>0</v>
      </c>
      <c r="X127" s="16">
        <f>IF(ISNA(VLOOKUP(A127,'Données projet'!$A$35:$I$55,6,0)),0%,VLOOKUP(A127,'Données projet'!$A$35:$I$55,6,0)*VLOOKUP('Données projet'!$B$9,Paramètres!$A$1:$I$88,7,0))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projet'!$B$9,Paramètres!$A$1:$I$88,3,0)*0.475*44/12</f>
        <v>2.3705862799446153</v>
      </c>
      <c r="AA127" s="21">
        <f>EXP(-LN(2)/25)*AA126+(1-EXP(-LN(2)/25))/(LN(2)/25)*Calculateur!V127*Calculateur!X127*VLOOKUP('Données projet'!$B$9,Paramètres!$A$1:$I$88,3,0)*0.475*44/12</f>
        <v>1.045004967501596</v>
      </c>
      <c r="AB127" s="21">
        <f>EXP(-LN(2)/2)*AB126+(1-EXP(-LN(2)/2))/(LN(2)/2)*V127*Y127*VLOOKUP('Données projet'!$B$9,Paramètres!$A$1:$I$88,3,0)*0.475*44/12</f>
        <v>2.8188905956162418E-16</v>
      </c>
      <c r="AC127" s="22">
        <f t="shared" si="57"/>
        <v>3.4155912474462116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-4.5474735088646412E-13</v>
      </c>
      <c r="AJ127" s="13">
        <f>AI127*VLOOKUP('Données projet'!$B$10,Paramètres!$A$1:$I$88,3,0)*VLOOKUP('Données projet'!$B$10,Paramètres!$A$1:$I$88,5,0)</f>
        <v>-2.7193891583010558E-13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246.59447135626942</v>
      </c>
      <c r="AO127" s="59">
        <f t="shared" si="90"/>
        <v>262.00382544285367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projet'!$B$10,Paramètres!$A$1:$I$88,7,0))</f>
        <v>0</v>
      </c>
      <c r="AS127" s="16">
        <f>IF(ISNA(VLOOKUP(A127,'Données projet'!$A$61:$I$81,6,0)),0%,VLOOKUP(A127,'Données projet'!$A$61:$I$81,6,0)*VLOOKUP('Données projet'!$B$10,Paramètres!$A$1:$I$88,7,0))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projet'!$B$10,Paramètres!$A$1:$I$88,3,0)*0.475*44/12</f>
        <v>0</v>
      </c>
      <c r="AV127" s="21">
        <f>EXP(-LN(2)/25)*AV126+(1-EXP(-LN(2)/25))/(LN(2)/25)*Calculateur!AQ127*Calculateur!AS127*VLOOKUP('Données projet'!$B$10,Paramètres!$A$1:$I$88,3,0)*0.475*44/12</f>
        <v>0.94843037246931783</v>
      </c>
      <c r="AW127" s="21">
        <f>EXP(-LN(2)/2)*AW126+(1-EXP(-LN(2)/2))/(LN(2)/2)*AQ127*AT127*VLOOKUP('Données projet'!$B$10,Paramètres!$A$1:$I$88,3,0)*0.475*44/12</f>
        <v>1.6860724282579278E-13</v>
      </c>
      <c r="AX127" s="21">
        <f t="shared" si="60"/>
        <v>0.94843037246948647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-5.6843418860808015E-13</v>
      </c>
      <c r="BE127" s="13">
        <f>BD127*VLOOKUP('Données projet'!$B$11,Paramètres!$A$1:$I$88,3,0)*VLOOKUP('Données projet'!$B$11,Paramètres!$A$1:$I$88,5,0)</f>
        <v>-3.177547114319168E-13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355.96253323046608</v>
      </c>
      <c r="BJ127" s="59">
        <f t="shared" si="92"/>
        <v>366.8380442809696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projet'!$B$11,Paramètres!$A$1:$I$88,7,0))</f>
        <v>0</v>
      </c>
      <c r="BN127" s="16">
        <f>IF(ISNA(VLOOKUP(A127,'Données projet'!$A$87:$I$107,6,0)),0%,VLOOKUP(A127,'Données projet'!$A$87:$I$107,6,0)*VLOOKUP('Données projet'!$B$11,Paramètres!$A$1:$I$88,7,0))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projet'!$B$11,Paramètres!$A$1:$I$88,3,0)*0.475*44/12</f>
        <v>0</v>
      </c>
      <c r="BQ127" s="21">
        <f>EXP(-LN(2)/25)*BQ126+(1-EXP(-LN(2)/25))/(LN(2)/25)*Calculateur!BL127*Calculateur!BN127*VLOOKUP('Données projet'!$B$11,Paramètres!$A$1:$I$88,3,0)*0.475*44/12</f>
        <v>1.6792089448243852</v>
      </c>
      <c r="BR127" s="21">
        <f>EXP(-LN(2)/2)*BR126+(1-EXP(-LN(2)/2))/(LN(2)/2)*BL127*BO127*VLOOKUP('Données projet'!$B$11,Paramètres!$A$1:$I$88,3,0)*0.475*44/12</f>
        <v>2.6069427056154146E-13</v>
      </c>
      <c r="BS127" s="22">
        <f t="shared" si="63"/>
        <v>1.6792089448246459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projet'!$B$12,Paramètres!$A$1:$I$88,3,0)*VLOOKUP('Données projet'!$B$12,Paramètres!$A$1:$I$88,5,0)</f>
        <v>3.7243808037601412E-14</v>
      </c>
      <c r="CA127" s="13">
        <f t="shared" si="93"/>
        <v>6.2767589361185393E-13</v>
      </c>
      <c r="CB127" s="20">
        <f t="shared" si="64"/>
        <v>1.1580684803728015E-12</v>
      </c>
      <c r="CC127" s="59">
        <f t="shared" si="65"/>
        <v>293.33333333333445</v>
      </c>
      <c r="CD127" s="59">
        <f ca="1">AVERAGE(OFFSET($CC$3,0,0,'Données projet'!$E$12+1,1))-AVERAGE(OFFSET($H$3,0,0,'Données projet'!$E$12+1,1))</f>
        <v>180.90147430936133</v>
      </c>
      <c r="CE127" s="59">
        <f t="shared" si="94"/>
        <v>226.87949199830018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projet'!$B$12,Paramètres!$A$1:$I$88,7,0))</f>
        <v>0</v>
      </c>
      <c r="CI127" s="16">
        <f>IF(ISNA(VLOOKUP(A127,'Données projet'!$A$113:$I$133,6,0)),0%,VLOOKUP(A127,'Données projet'!$A$113:$I$133,6,0)*VLOOKUP('Données projet'!$B$12,Paramètres!$A$1:$I$88,7,0))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projet'!$B$12,Paramètres!$A$1:$I$88,3,0)*0.475*44/12</f>
        <v>0</v>
      </c>
      <c r="CL127" s="21">
        <f>EXP(-LN(2)/25)*CL126+(1-EXP(-LN(2)/25))/(LN(2)/25)*Calculateur!CG127*Calculateur!CI127*VLOOKUP('Données projet'!$B$12,Paramètres!$A$1:$I$88,3,0)*0.475*44/12</f>
        <v>0.50712819702502809</v>
      </c>
      <c r="CM127" s="21">
        <f>EXP(-LN(2)/2)*CM126+(1-EXP(-LN(2)/2))/(LN(2)/2)*CG127*CJ127*VLOOKUP('Données projet'!$B$12,Paramètres!$A$1:$I$88,3,0)*0.475*44/12</f>
        <v>6.297156469685326E-14</v>
      </c>
      <c r="CN127" s="22">
        <f t="shared" si="66"/>
        <v>0.50712819702509104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5.6843418860808015E-14</v>
      </c>
      <c r="CU127" s="17">
        <f>CT127*VLOOKUP('Données projet'!$B$13,Paramètres!$A$1:$I$88,3,0)*VLOOKUP('Données projet'!$B$13,Paramètres!$A$1:$I$88,5,0)</f>
        <v>2.8908289095852525E-14</v>
      </c>
      <c r="CV127" s="13">
        <f t="shared" si="95"/>
        <v>5.0177780569126974E-13</v>
      </c>
      <c r="CW127" s="20">
        <f t="shared" si="67"/>
        <v>9.2427828175423786E-13</v>
      </c>
      <c r="CX127" s="59">
        <f t="shared" si="68"/>
        <v>293.33333333333422</v>
      </c>
      <c r="CY127" s="59">
        <f ca="1">AVERAGE(OFFSET($CX$3,0,0,'Données projet'!$E$13+1,1))-AVERAGE(OFFSET($H$3,0,0,'Données projet'!$E$13+1,1))</f>
        <v>133.08385802816008</v>
      </c>
      <c r="CZ127" s="59">
        <f t="shared" si="96"/>
        <v>316.59112511251385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projet'!$B$13,Paramètres!$A$1:$I$88,7,0))</f>
        <v>0</v>
      </c>
      <c r="DD127" s="16">
        <f>IF(ISNA(VLOOKUP(A127,'Données projet'!$A$139:$I$159,6,0)),0%,VLOOKUP(A127,'Données projet'!$A$139:$I$159,6,0)*VLOOKUP('Données projet'!$B$13,Paramètres!$A$1:$I$88,7,0))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projet'!$B$13,Paramètres!$A$1:$I$88,3,0)*0.475*44/12</f>
        <v>11.222586087207111</v>
      </c>
      <c r="DG127" s="21">
        <f>EXP(-LN(2)/25)*DG126+(1-EXP(-LN(2)/25))/(LN(2)/25)*Calculateur!DB127*Calculateur!DD127*VLOOKUP('Données projet'!$B$13,Paramètres!$A$1:$I$88,3,0)*0.475*44/12</f>
        <v>0</v>
      </c>
      <c r="DH127" s="21">
        <f>EXP(-LN(2)/2)*DH126+(1-EXP(-LN(2)/2))/(LN(2)/2)*DB127*DE127*VLOOKUP('Données projet'!$B$13,Paramètres!$A$1:$I$88,3,0)*0.475*44/12</f>
        <v>4.0176954716331031E-14</v>
      </c>
      <c r="DI127" s="22">
        <f t="shared" si="69"/>
        <v>11.222586087207151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projet'!$B$14,Paramètres!$A$1:$I$88,3,0)*VLOOKUP('Données projet'!$B$14,Paramètres!$A$1:$I$88,5,0)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projet'!$B$14,Paramètres!$A$1:$I$88,7,0))</f>
        <v>0</v>
      </c>
      <c r="DY127" s="16">
        <f>IF(ISNA(VLOOKUP(A127,'Données projet'!$A$165:$I$185,6,0)),0%,VLOOKUP(A127,'Données projet'!$A$165:$I$185,6,0)*VLOOKUP('Données projet'!$B$14,Paramètres!$A$1:$I$88,7,0))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projet'!$B$14,Paramètres!$A$1:$I$88,3,0)*0.475*44/12</f>
        <v>#N/A</v>
      </c>
      <c r="EB127" s="21" t="e">
        <f>EXP(-LN(2)/25)*EB126+(1-EXP(-LN(2)/25))/(LN(2)/25)*Calculateur!DW127*Calculateur!DY127*VLOOKUP('Données projet'!$B$14,Paramètres!$A$1:$I$88,3,0)*0.475*44/12</f>
        <v>#N/A</v>
      </c>
      <c r="EC127" s="21" t="e">
        <f>EXP(-LN(2)/2)*EC126+(1-EXP(-LN(2)/2))/(LN(2)/2)*DW127*DZ127*VLOOKUP('Données projet'!$B$14,Paramètres!$A$1:$I$88,3,0)*0.475*44/12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projet'!$B$15,Paramètres!$A$1:$I$88,3,0)*VLOOKUP('Données projet'!$B$15,Paramètres!$A$1:$I$88,5,0)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projet'!$B$15,Paramètres!$A$1:$I$88,7,0))</f>
        <v>0</v>
      </c>
      <c r="ET127" s="16">
        <f>IF(ISNA(VLOOKUP(A127,'Données projet'!$A$191:$I$211,6,0)),0%,VLOOKUP(A127,'Données projet'!$A$191:$I$211,6,0)*VLOOKUP('Données projet'!$B$15,Paramètres!$A$1:$I$88,7,0))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projet'!$B$15,Paramètres!$A$1:$I$88,3,0)*0.475*44/12</f>
        <v>#N/A</v>
      </c>
      <c r="EW127" s="21" t="e">
        <f>EXP(-LN(2)/25)*EW126+(1-EXP(-LN(2)/25))/(LN(2)/25)*Calculateur!ER127*Calculateur!ET127*VLOOKUP('Données projet'!$B$15,Paramètres!$A$1:$I$88,3,0)*0.475*44/12</f>
        <v>#N/A</v>
      </c>
      <c r="EX127" s="21" t="e">
        <f>EXP(-LN(2)/2)*EX126+(1-EXP(-LN(2)/2))/(LN(2)/2)*ER127*EU127*VLOOKUP('Données projet'!$B$15,Paramètres!$A$1:$I$88,3,0)*0.475*44/12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projet'!$B$16,Paramètres!$A$1:$I$88,3,0)*VLOOKUP('Données projet'!$B$16,Paramètres!$A$1:$I$88,5,0)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projet'!$B$16,Paramètres!$A$1:$I$88,7,0))</f>
        <v>0</v>
      </c>
      <c r="FO127" s="16">
        <f>IF(ISNA(VLOOKUP(A127,'Données projet'!$A$217:$I$237,6,0)),0%,VLOOKUP(A127,'Données projet'!$A$217:$I$237,6,0)*VLOOKUP('Données projet'!$B$16,Paramètres!$A$1:$I$88,7,0))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projet'!$B$16,Paramètres!$A$1:$I$88,3,0)*0.475*44/12</f>
        <v>#N/A</v>
      </c>
      <c r="FR127" s="21" t="e">
        <f>EXP(-LN(2)/25)*FR126+(1-EXP(-LN(2)/25))/(LN(2)/25)*Calculateur!FM127*Calculateur!FO127*VLOOKUP('Données projet'!$B$16,Paramètres!$A$1:$I$88,3,0)*0.475*44/12</f>
        <v>#N/A</v>
      </c>
      <c r="FS127" s="21" t="e">
        <f>EXP(-LN(2)/2)*FS126+(1-EXP(-LN(2)/2))/(LN(2)/2)*FM127*FP127*VLOOKUP('Données projet'!$B$16,Paramètres!$A$1:$I$88,3,0)*0.475*44/12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projet'!$B$17,Paramètres!$A$1:$I$88,3,0)*VLOOKUP('Données projet'!$B$17,Paramètres!$A$1:$I$88,5,0)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projet'!$B$17,Paramètres!$A$1:$I$88,7,0))</f>
        <v>0</v>
      </c>
      <c r="GJ127" s="16">
        <f>IF(ISNA(VLOOKUP(A127,'Données projet'!$A$243:$I$263,6,0)),0%,VLOOKUP(A127,'Données projet'!$A$243:$I$263,6,0)*VLOOKUP('Données projet'!$B$17,Paramètres!$A$1:$I$88,7,0))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projet'!$B$17,Paramètres!$A$1:$I$88,3,0)*0.475*44/12</f>
        <v>#N/A</v>
      </c>
      <c r="GM127" s="21" t="e">
        <f>EXP(-LN(2)/25)*GM126+(1-EXP(-LN(2)/25))/(LN(2)/25)*Calculateur!GH127*Calculateur!GJ127*VLOOKUP('Données projet'!$B$17,Paramètres!$A$1:$I$88,3,0)*0.475*44/12</f>
        <v>#N/A</v>
      </c>
      <c r="GN127" s="21" t="e">
        <f>EXP(-LN(2)/2)*GN126+(1-EXP(-LN(2)/2))/(LN(2)/2)*GH127*GK127*VLOOKUP('Données projet'!$B$17,Paramètres!$A$1:$I$88,3,0)*0.475*44/12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projet'!$B$18,Paramètres!$A$1:$I$88,3,0)*VLOOKUP('Données projet'!$B$18,Paramètres!$A$1:$I$88,5,0)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projet'!$B$18,Paramètres!$A$1:$I$88,7,0))</f>
        <v>0</v>
      </c>
      <c r="HE127" s="16">
        <f>IF(ISNA(VLOOKUP(A127,'Données projet'!$A$269:$I$289,6,0)),0%,VLOOKUP(A127,'Données projet'!$A$269:$I$289,6,0)*VLOOKUP('Données projet'!$B$18,Paramètres!$A$1:$I$88,7,0))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projet'!$B$18,Paramètres!$A$1:$I$88,3,0)*0.475*44/12</f>
        <v>#N/A</v>
      </c>
      <c r="HH127" s="21" t="e">
        <f>EXP(-LN(2)/25)*HH126+(1-EXP(-LN(2)/25))/(LN(2)/25)*Calculateur!HC127*Calculateur!HE127*VLOOKUP('Données projet'!$B$18,Paramètres!$A$1:$I$88,3,0)*0.475*44/12</f>
        <v>#N/A</v>
      </c>
      <c r="HI127" s="21" t="e">
        <f>EXP(-LN(2)/2)*HI126+(1-EXP(-LN(2)/2))/(LN(2)/2)*HC127*HF127*VLOOKUP('Données projet'!$B$18,Paramètres!$A$1:$I$88,3,0)*0.475*44/12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projet'!$B$9,Paramètres!$A$1:$I$88,3,0)*VLOOKUP('Données projet'!$B$9,Paramètres!$A$1:$I$88,5,0)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195.73441209602686</v>
      </c>
      <c r="T128" s="59">
        <f t="shared" si="88"/>
        <v>219.19129224309006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projet'!$B$9,Paramètres!$A$1:$I$88,7,0))</f>
        <v>0</v>
      </c>
      <c r="X128" s="16">
        <f>IF(ISNA(VLOOKUP(A128,'Données projet'!$A$35:$I$55,6,0)),0%,VLOOKUP(A128,'Données projet'!$A$35:$I$55,6,0)*VLOOKUP('Données projet'!$B$9,Paramètres!$A$1:$I$88,7,0))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projet'!$B$9,Paramètres!$A$1:$I$88,3,0)*0.475*44/12</f>
        <v>2.32410052890976</v>
      </c>
      <c r="AA128" s="21">
        <f>EXP(-LN(2)/25)*AA127+(1-EXP(-LN(2)/25))/(LN(2)/25)*Calculateur!V128*Calculateur!X128*VLOOKUP('Données projet'!$B$9,Paramètres!$A$1:$I$88,3,0)*0.475*44/12</f>
        <v>1.016429251710842</v>
      </c>
      <c r="AB128" s="21">
        <f>EXP(-LN(2)/2)*AB127+(1-EXP(-LN(2)/2))/(LN(2)/2)*V128*Y128*VLOOKUP('Données projet'!$B$9,Paramètres!$A$1:$I$88,3,0)*0.475*44/12</f>
        <v>1.9932566555832305E-16</v>
      </c>
      <c r="AC128" s="22">
        <f t="shared" si="57"/>
        <v>3.340529780620602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-4.5474735088646412E-13</v>
      </c>
      <c r="AJ128" s="13">
        <f>AI128*VLOOKUP('Données projet'!$B$10,Paramètres!$A$1:$I$88,3,0)*VLOOKUP('Données projet'!$B$10,Paramètres!$A$1:$I$88,5,0)</f>
        <v>-2.7193891583010558E-13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246.59447135626942</v>
      </c>
      <c r="AO128" s="59">
        <f t="shared" si="90"/>
        <v>262.00382544285367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projet'!$B$10,Paramètres!$A$1:$I$88,7,0))</f>
        <v>0</v>
      </c>
      <c r="AS128" s="16">
        <f>IF(ISNA(VLOOKUP(A128,'Données projet'!$A$61:$I$81,6,0)),0%,VLOOKUP(A128,'Données projet'!$A$61:$I$81,6,0)*VLOOKUP('Données projet'!$B$10,Paramètres!$A$1:$I$88,7,0))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projet'!$B$10,Paramètres!$A$1:$I$88,3,0)*0.475*44/12</f>
        <v>0</v>
      </c>
      <c r="AV128" s="21">
        <f>EXP(-LN(2)/25)*AV127+(1-EXP(-LN(2)/25))/(LN(2)/25)*Calculateur!AQ128*Calculateur!AS128*VLOOKUP('Données projet'!$B$10,Paramètres!$A$1:$I$88,3,0)*0.475*44/12</f>
        <v>0.92249549405835873</v>
      </c>
      <c r="AW128" s="21">
        <f>EXP(-LN(2)/2)*AW127+(1-EXP(-LN(2)/2))/(LN(2)/2)*AQ128*AT128*VLOOKUP('Données projet'!$B$10,Paramètres!$A$1:$I$88,3,0)*0.475*44/12</f>
        <v>1.1922332475928494E-13</v>
      </c>
      <c r="AX128" s="21">
        <f t="shared" si="60"/>
        <v>0.92249549405847797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-5.6843418860808015E-13</v>
      </c>
      <c r="BE128" s="13">
        <f>BD128*VLOOKUP('Données projet'!$B$11,Paramètres!$A$1:$I$88,3,0)*VLOOKUP('Données projet'!$B$11,Paramètres!$A$1:$I$88,5,0)</f>
        <v>-3.177547114319168E-13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355.96253323046608</v>
      </c>
      <c r="BJ128" s="59">
        <f t="shared" si="92"/>
        <v>366.8380442809696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projet'!$B$11,Paramètres!$A$1:$I$88,7,0))</f>
        <v>0</v>
      </c>
      <c r="BN128" s="16">
        <f>IF(ISNA(VLOOKUP(A128,'Données projet'!$A$87:$I$107,6,0)),0%,VLOOKUP(A128,'Données projet'!$A$87:$I$107,6,0)*VLOOKUP('Données projet'!$B$11,Paramètres!$A$1:$I$88,7,0))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projet'!$B$11,Paramètres!$A$1:$I$88,3,0)*0.475*44/12</f>
        <v>0</v>
      </c>
      <c r="BQ128" s="21">
        <f>EXP(-LN(2)/25)*BQ127+(1-EXP(-LN(2)/25))/(LN(2)/25)*Calculateur!BL128*Calculateur!BN128*VLOOKUP('Données projet'!$B$11,Paramètres!$A$1:$I$88,3,0)*0.475*44/12</f>
        <v>1.633290887922402</v>
      </c>
      <c r="BR128" s="21">
        <f>EXP(-LN(2)/2)*BR127+(1-EXP(-LN(2)/2))/(LN(2)/2)*BL128*BO128*VLOOKUP('Données projet'!$B$11,Paramètres!$A$1:$I$88,3,0)*0.475*44/12</f>
        <v>1.8433868653054652E-13</v>
      </c>
      <c r="BS128" s="22">
        <f t="shared" si="63"/>
        <v>1.6332908879225863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projet'!$B$12,Paramètres!$A$1:$I$88,3,0)*VLOOKUP('Données projet'!$B$12,Paramètres!$A$1:$I$88,5,0)</f>
        <v>3.7243808037601412E-14</v>
      </c>
      <c r="CA128" s="13">
        <f t="shared" si="93"/>
        <v>6.2767589361185393E-13</v>
      </c>
      <c r="CB128" s="20">
        <f t="shared" si="64"/>
        <v>1.1580684803728015E-12</v>
      </c>
      <c r="CC128" s="59">
        <f t="shared" si="65"/>
        <v>293.33333333333445</v>
      </c>
      <c r="CD128" s="59">
        <f ca="1">AVERAGE(OFFSET($CC$3,0,0,'Données projet'!$E$12+1,1))-AVERAGE(OFFSET($H$3,0,0,'Données projet'!$E$12+1,1))</f>
        <v>180.90147430936133</v>
      </c>
      <c r="CE128" s="59">
        <f t="shared" si="94"/>
        <v>226.87949199830018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projet'!$B$12,Paramètres!$A$1:$I$88,7,0))</f>
        <v>0</v>
      </c>
      <c r="CI128" s="16">
        <f>IF(ISNA(VLOOKUP(A128,'Données projet'!$A$113:$I$133,6,0)),0%,VLOOKUP(A128,'Données projet'!$A$113:$I$133,6,0)*VLOOKUP('Données projet'!$B$12,Paramètres!$A$1:$I$88,7,0))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projet'!$B$12,Paramètres!$A$1:$I$88,3,0)*0.475*44/12</f>
        <v>0</v>
      </c>
      <c r="CL128" s="21">
        <f>EXP(-LN(2)/25)*CL127+(1-EXP(-LN(2)/25))/(LN(2)/25)*Calculateur!CG128*Calculateur!CI128*VLOOKUP('Données projet'!$B$12,Paramètres!$A$1:$I$88,3,0)*0.475*44/12</f>
        <v>0.49326074980866585</v>
      </c>
      <c r="CM128" s="21">
        <f>EXP(-LN(2)/2)*CM127+(1-EXP(-LN(2)/2))/(LN(2)/2)*CG128*CJ128*VLOOKUP('Données projet'!$B$12,Paramètres!$A$1:$I$88,3,0)*0.475*44/12</f>
        <v>4.452762041907234E-14</v>
      </c>
      <c r="CN128" s="22">
        <f t="shared" si="66"/>
        <v>0.49326074980871037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5.6843418860808015E-14</v>
      </c>
      <c r="CU128" s="17">
        <f>CT128*VLOOKUP('Données projet'!$B$13,Paramètres!$A$1:$I$88,3,0)*VLOOKUP('Données projet'!$B$13,Paramètres!$A$1:$I$88,5,0)</f>
        <v>2.8908289095852525E-14</v>
      </c>
      <c r="CV128" s="13">
        <f t="shared" si="95"/>
        <v>5.0177780569126974E-13</v>
      </c>
      <c r="CW128" s="20">
        <f t="shared" si="67"/>
        <v>9.2427828175423786E-13</v>
      </c>
      <c r="CX128" s="59">
        <f t="shared" si="68"/>
        <v>293.33333333333422</v>
      </c>
      <c r="CY128" s="59">
        <f ca="1">AVERAGE(OFFSET($CX$3,0,0,'Données projet'!$E$13+1,1))-AVERAGE(OFFSET($H$3,0,0,'Données projet'!$E$13+1,1))</f>
        <v>133.08385802816008</v>
      </c>
      <c r="CZ128" s="59">
        <f t="shared" si="96"/>
        <v>316.59112511251385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projet'!$B$13,Paramètres!$A$1:$I$88,7,0))</f>
        <v>0</v>
      </c>
      <c r="DD128" s="16">
        <f>IF(ISNA(VLOOKUP(A128,'Données projet'!$A$139:$I$159,6,0)),0%,VLOOKUP(A128,'Données projet'!$A$139:$I$159,6,0)*VLOOKUP('Données projet'!$B$13,Paramètres!$A$1:$I$88,7,0))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projet'!$B$13,Paramètres!$A$1:$I$88,3,0)*0.475*44/12</f>
        <v>11.002518019138595</v>
      </c>
      <c r="DG128" s="21">
        <f>EXP(-LN(2)/25)*DG127+(1-EXP(-LN(2)/25))/(LN(2)/25)*Calculateur!DB128*Calculateur!DD128*VLOOKUP('Données projet'!$B$13,Paramètres!$A$1:$I$88,3,0)*0.475*44/12</f>
        <v>0</v>
      </c>
      <c r="DH128" s="21">
        <f>EXP(-LN(2)/2)*DH127+(1-EXP(-LN(2)/2))/(LN(2)/2)*DB128*DE128*VLOOKUP('Données projet'!$B$13,Paramètres!$A$1:$I$88,3,0)*0.475*44/12</f>
        <v>2.8409397127342516E-14</v>
      </c>
      <c r="DI128" s="22">
        <f t="shared" si="69"/>
        <v>11.002518019138623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projet'!$B$14,Paramètres!$A$1:$I$88,3,0)*VLOOKUP('Données projet'!$B$14,Paramètres!$A$1:$I$88,5,0)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projet'!$B$14,Paramètres!$A$1:$I$88,7,0))</f>
        <v>0</v>
      </c>
      <c r="DY128" s="16">
        <f>IF(ISNA(VLOOKUP(A128,'Données projet'!$A$165:$I$185,6,0)),0%,VLOOKUP(A128,'Données projet'!$A$165:$I$185,6,0)*VLOOKUP('Données projet'!$B$14,Paramètres!$A$1:$I$88,7,0))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projet'!$B$14,Paramètres!$A$1:$I$88,3,0)*0.475*44/12</f>
        <v>#N/A</v>
      </c>
      <c r="EB128" s="21" t="e">
        <f>EXP(-LN(2)/25)*EB127+(1-EXP(-LN(2)/25))/(LN(2)/25)*Calculateur!DW128*Calculateur!DY128*VLOOKUP('Données projet'!$B$14,Paramètres!$A$1:$I$88,3,0)*0.475*44/12</f>
        <v>#N/A</v>
      </c>
      <c r="EC128" s="21" t="e">
        <f>EXP(-LN(2)/2)*EC127+(1-EXP(-LN(2)/2))/(LN(2)/2)*DW128*DZ128*VLOOKUP('Données projet'!$B$14,Paramètres!$A$1:$I$88,3,0)*0.475*44/12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projet'!$B$15,Paramètres!$A$1:$I$88,3,0)*VLOOKUP('Données projet'!$B$15,Paramètres!$A$1:$I$88,5,0)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projet'!$B$15,Paramètres!$A$1:$I$88,7,0))</f>
        <v>0</v>
      </c>
      <c r="ET128" s="16">
        <f>IF(ISNA(VLOOKUP(A128,'Données projet'!$A$191:$I$211,6,0)),0%,VLOOKUP(A128,'Données projet'!$A$191:$I$211,6,0)*VLOOKUP('Données projet'!$B$15,Paramètres!$A$1:$I$88,7,0))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projet'!$B$15,Paramètres!$A$1:$I$88,3,0)*0.475*44/12</f>
        <v>#N/A</v>
      </c>
      <c r="EW128" s="21" t="e">
        <f>EXP(-LN(2)/25)*EW127+(1-EXP(-LN(2)/25))/(LN(2)/25)*Calculateur!ER128*Calculateur!ET128*VLOOKUP('Données projet'!$B$15,Paramètres!$A$1:$I$88,3,0)*0.475*44/12</f>
        <v>#N/A</v>
      </c>
      <c r="EX128" s="21" t="e">
        <f>EXP(-LN(2)/2)*EX127+(1-EXP(-LN(2)/2))/(LN(2)/2)*ER128*EU128*VLOOKUP('Données projet'!$B$15,Paramètres!$A$1:$I$88,3,0)*0.475*44/12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projet'!$B$16,Paramètres!$A$1:$I$88,3,0)*VLOOKUP('Données projet'!$B$16,Paramètres!$A$1:$I$88,5,0)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projet'!$B$16,Paramètres!$A$1:$I$88,7,0))</f>
        <v>0</v>
      </c>
      <c r="FO128" s="16">
        <f>IF(ISNA(VLOOKUP(A128,'Données projet'!$A$217:$I$237,6,0)),0%,VLOOKUP(A128,'Données projet'!$A$217:$I$237,6,0)*VLOOKUP('Données projet'!$B$16,Paramètres!$A$1:$I$88,7,0))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projet'!$B$16,Paramètres!$A$1:$I$88,3,0)*0.475*44/12</f>
        <v>#N/A</v>
      </c>
      <c r="FR128" s="21" t="e">
        <f>EXP(-LN(2)/25)*FR127+(1-EXP(-LN(2)/25))/(LN(2)/25)*Calculateur!FM128*Calculateur!FO128*VLOOKUP('Données projet'!$B$16,Paramètres!$A$1:$I$88,3,0)*0.475*44/12</f>
        <v>#N/A</v>
      </c>
      <c r="FS128" s="21" t="e">
        <f>EXP(-LN(2)/2)*FS127+(1-EXP(-LN(2)/2))/(LN(2)/2)*FM128*FP128*VLOOKUP('Données projet'!$B$16,Paramètres!$A$1:$I$88,3,0)*0.475*44/12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projet'!$B$17,Paramètres!$A$1:$I$88,3,0)*VLOOKUP('Données projet'!$B$17,Paramètres!$A$1:$I$88,5,0)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projet'!$B$17,Paramètres!$A$1:$I$88,7,0))</f>
        <v>0</v>
      </c>
      <c r="GJ128" s="16">
        <f>IF(ISNA(VLOOKUP(A128,'Données projet'!$A$243:$I$263,6,0)),0%,VLOOKUP(A128,'Données projet'!$A$243:$I$263,6,0)*VLOOKUP('Données projet'!$B$17,Paramètres!$A$1:$I$88,7,0))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projet'!$B$17,Paramètres!$A$1:$I$88,3,0)*0.475*44/12</f>
        <v>#N/A</v>
      </c>
      <c r="GM128" s="21" t="e">
        <f>EXP(-LN(2)/25)*GM127+(1-EXP(-LN(2)/25))/(LN(2)/25)*Calculateur!GH128*Calculateur!GJ128*VLOOKUP('Données projet'!$B$17,Paramètres!$A$1:$I$88,3,0)*0.475*44/12</f>
        <v>#N/A</v>
      </c>
      <c r="GN128" s="21" t="e">
        <f>EXP(-LN(2)/2)*GN127+(1-EXP(-LN(2)/2))/(LN(2)/2)*GH128*GK128*VLOOKUP('Données projet'!$B$17,Paramètres!$A$1:$I$88,3,0)*0.475*44/12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projet'!$B$18,Paramètres!$A$1:$I$88,3,0)*VLOOKUP('Données projet'!$B$18,Paramètres!$A$1:$I$88,5,0)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projet'!$B$18,Paramètres!$A$1:$I$88,7,0))</f>
        <v>0</v>
      </c>
      <c r="HE128" s="16">
        <f>IF(ISNA(VLOOKUP(A128,'Données projet'!$A$269:$I$289,6,0)),0%,VLOOKUP(A128,'Données projet'!$A$269:$I$289,6,0)*VLOOKUP('Données projet'!$B$18,Paramètres!$A$1:$I$88,7,0))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projet'!$B$18,Paramètres!$A$1:$I$88,3,0)*0.475*44/12</f>
        <v>#N/A</v>
      </c>
      <c r="HH128" s="21" t="e">
        <f>EXP(-LN(2)/25)*HH127+(1-EXP(-LN(2)/25))/(LN(2)/25)*Calculateur!HC128*Calculateur!HE128*VLOOKUP('Données projet'!$B$18,Paramètres!$A$1:$I$88,3,0)*0.475*44/12</f>
        <v>#N/A</v>
      </c>
      <c r="HI128" s="21" t="e">
        <f>EXP(-LN(2)/2)*HI127+(1-EXP(-LN(2)/2))/(LN(2)/2)*HC128*HF128*VLOOKUP('Données projet'!$B$18,Paramètres!$A$1:$I$88,3,0)*0.475*44/12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projet'!$B$9,Paramètres!$A$1:$I$88,3,0)*VLOOKUP('Données projet'!$B$9,Paramètres!$A$1:$I$88,5,0)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195.73441209602686</v>
      </c>
      <c r="T129" s="59">
        <f t="shared" si="88"/>
        <v>219.19129224309006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projet'!$B$9,Paramètres!$A$1:$I$88,7,0))</f>
        <v>0</v>
      </c>
      <c r="X129" s="16">
        <f>IF(ISNA(VLOOKUP(A129,'Données projet'!$A$35:$I$55,6,0)),0%,VLOOKUP(A129,'Données projet'!$A$35:$I$55,6,0)*VLOOKUP('Données projet'!$B$9,Paramètres!$A$1:$I$88,7,0))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projet'!$B$9,Paramètres!$A$1:$I$88,3,0)*0.475*44/12</f>
        <v>2.2785263350991896</v>
      </c>
      <c r="AA129" s="21">
        <f>EXP(-LN(2)/25)*AA128+(1-EXP(-LN(2)/25))/(LN(2)/25)*Calculateur!V129*Calculateur!X129*VLOOKUP('Données projet'!$B$9,Paramètres!$A$1:$I$88,3,0)*0.475*44/12</f>
        <v>0.98863494037111777</v>
      </c>
      <c r="AB129" s="21">
        <f>EXP(-LN(2)/2)*AB128+(1-EXP(-LN(2)/2))/(LN(2)/2)*V129*Y129*VLOOKUP('Données projet'!$B$9,Paramètres!$A$1:$I$88,3,0)*0.475*44/12</f>
        <v>1.4094452978081209E-16</v>
      </c>
      <c r="AC129" s="22">
        <f t="shared" si="57"/>
        <v>3.2671612754703072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-4.5474735088646412E-13</v>
      </c>
      <c r="AJ129" s="13">
        <f>AI129*VLOOKUP('Données projet'!$B$10,Paramètres!$A$1:$I$88,3,0)*VLOOKUP('Données projet'!$B$10,Paramètres!$A$1:$I$88,5,0)</f>
        <v>-2.7193891583010558E-13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246.59447135626942</v>
      </c>
      <c r="AO129" s="59">
        <f t="shared" si="90"/>
        <v>262.00382544285367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projet'!$B$10,Paramètres!$A$1:$I$88,7,0))</f>
        <v>0</v>
      </c>
      <c r="AS129" s="16">
        <f>IF(ISNA(VLOOKUP(A129,'Données projet'!$A$61:$I$81,6,0)),0%,VLOOKUP(A129,'Données projet'!$A$61:$I$81,6,0)*VLOOKUP('Données projet'!$B$10,Paramètres!$A$1:$I$88,7,0))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projet'!$B$10,Paramètres!$A$1:$I$88,3,0)*0.475*44/12</f>
        <v>0</v>
      </c>
      <c r="AV129" s="21">
        <f>EXP(-LN(2)/25)*AV128+(1-EXP(-LN(2)/25))/(LN(2)/25)*Calculateur!AQ129*Calculateur!AS129*VLOOKUP('Données projet'!$B$10,Paramètres!$A$1:$I$88,3,0)*0.475*44/12</f>
        <v>0.89726980626140329</v>
      </c>
      <c r="AW129" s="21">
        <f>EXP(-LN(2)/2)*AW128+(1-EXP(-LN(2)/2))/(LN(2)/2)*AQ129*AT129*VLOOKUP('Données projet'!$B$10,Paramètres!$A$1:$I$88,3,0)*0.475*44/12</f>
        <v>8.4303621412896389E-14</v>
      </c>
      <c r="AX129" s="21">
        <f t="shared" si="60"/>
        <v>0.89726980626148756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-5.6843418860808015E-13</v>
      </c>
      <c r="BE129" s="13">
        <f>BD129*VLOOKUP('Données projet'!$B$11,Paramètres!$A$1:$I$88,3,0)*VLOOKUP('Données projet'!$B$11,Paramètres!$A$1:$I$88,5,0)</f>
        <v>-3.177547114319168E-13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355.96253323046608</v>
      </c>
      <c r="BJ129" s="59">
        <f t="shared" si="92"/>
        <v>366.8380442809696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projet'!$B$11,Paramètres!$A$1:$I$88,7,0))</f>
        <v>0</v>
      </c>
      <c r="BN129" s="16">
        <f>IF(ISNA(VLOOKUP(A129,'Données projet'!$A$87:$I$107,6,0)),0%,VLOOKUP(A129,'Données projet'!$A$87:$I$107,6,0)*VLOOKUP('Données projet'!$B$11,Paramètres!$A$1:$I$88,7,0))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projet'!$B$11,Paramètres!$A$1:$I$88,3,0)*0.475*44/12</f>
        <v>0</v>
      </c>
      <c r="BQ129" s="21">
        <f>EXP(-LN(2)/25)*BQ128+(1-EXP(-LN(2)/25))/(LN(2)/25)*Calculateur!BL129*Calculateur!BN129*VLOOKUP('Données projet'!$B$11,Paramètres!$A$1:$I$88,3,0)*0.475*44/12</f>
        <v>1.5886284627011291</v>
      </c>
      <c r="BR129" s="21">
        <f>EXP(-LN(2)/2)*BR128+(1-EXP(-LN(2)/2))/(LN(2)/2)*BL129*BO129*VLOOKUP('Données projet'!$B$11,Paramètres!$A$1:$I$88,3,0)*0.475*44/12</f>
        <v>1.3034713528077073E-13</v>
      </c>
      <c r="BS129" s="22">
        <f t="shared" si="63"/>
        <v>1.5886284627012595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projet'!$B$12,Paramètres!$A$1:$I$88,3,0)*VLOOKUP('Données projet'!$B$12,Paramètres!$A$1:$I$88,5,0)</f>
        <v>3.7243808037601412E-14</v>
      </c>
      <c r="CA129" s="13">
        <f t="shared" si="93"/>
        <v>6.2767589361185393E-13</v>
      </c>
      <c r="CB129" s="20">
        <f t="shared" si="64"/>
        <v>1.1580684803728015E-12</v>
      </c>
      <c r="CC129" s="59">
        <f t="shared" si="65"/>
        <v>293.33333333333445</v>
      </c>
      <c r="CD129" s="59">
        <f ca="1">AVERAGE(OFFSET($CC$3,0,0,'Données projet'!$E$12+1,1))-AVERAGE(OFFSET($H$3,0,0,'Données projet'!$E$12+1,1))</f>
        <v>180.90147430936133</v>
      </c>
      <c r="CE129" s="59">
        <f t="shared" si="94"/>
        <v>226.87949199830018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projet'!$B$12,Paramètres!$A$1:$I$88,7,0))</f>
        <v>0</v>
      </c>
      <c r="CI129" s="16">
        <f>IF(ISNA(VLOOKUP(A129,'Données projet'!$A$113:$I$133,6,0)),0%,VLOOKUP(A129,'Données projet'!$A$113:$I$133,6,0)*VLOOKUP('Données projet'!$B$12,Paramètres!$A$1:$I$88,7,0))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projet'!$B$12,Paramètres!$A$1:$I$88,3,0)*0.475*44/12</f>
        <v>0</v>
      </c>
      <c r="CL129" s="21">
        <f>EXP(-LN(2)/25)*CL128+(1-EXP(-LN(2)/25))/(LN(2)/25)*Calculateur!CG129*Calculateur!CI129*VLOOKUP('Données projet'!$B$12,Paramètres!$A$1:$I$88,3,0)*0.475*44/12</f>
        <v>0.47977250866569243</v>
      </c>
      <c r="CM129" s="21">
        <f>EXP(-LN(2)/2)*CM128+(1-EXP(-LN(2)/2))/(LN(2)/2)*CG129*CJ129*VLOOKUP('Données projet'!$B$12,Paramètres!$A$1:$I$88,3,0)*0.475*44/12</f>
        <v>3.148578234842663E-14</v>
      </c>
      <c r="CN129" s="22">
        <f t="shared" si="66"/>
        <v>0.47977250866572391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5.6843418860808015E-14</v>
      </c>
      <c r="CU129" s="17">
        <f>CT129*VLOOKUP('Données projet'!$B$13,Paramètres!$A$1:$I$88,3,0)*VLOOKUP('Données projet'!$B$13,Paramètres!$A$1:$I$88,5,0)</f>
        <v>2.8908289095852525E-14</v>
      </c>
      <c r="CV129" s="13">
        <f t="shared" si="95"/>
        <v>5.0177780569126974E-13</v>
      </c>
      <c r="CW129" s="20">
        <f t="shared" si="67"/>
        <v>9.2427828175423786E-13</v>
      </c>
      <c r="CX129" s="59">
        <f t="shared" si="68"/>
        <v>293.33333333333422</v>
      </c>
      <c r="CY129" s="59">
        <f ca="1">AVERAGE(OFFSET($CX$3,0,0,'Données projet'!$E$13+1,1))-AVERAGE(OFFSET($H$3,0,0,'Données projet'!$E$13+1,1))</f>
        <v>133.08385802816008</v>
      </c>
      <c r="CZ129" s="59">
        <f t="shared" si="96"/>
        <v>316.59112511251385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projet'!$B$13,Paramètres!$A$1:$I$88,7,0))</f>
        <v>0</v>
      </c>
      <c r="DD129" s="16">
        <f>IF(ISNA(VLOOKUP(A129,'Données projet'!$A$139:$I$159,6,0)),0%,VLOOKUP(A129,'Données projet'!$A$139:$I$159,6,0)*VLOOKUP('Données projet'!$B$13,Paramètres!$A$1:$I$88,7,0))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projet'!$B$13,Paramètres!$A$1:$I$88,3,0)*0.475*44/12</f>
        <v>10.786765351656635</v>
      </c>
      <c r="DG129" s="21">
        <f>EXP(-LN(2)/25)*DG128+(1-EXP(-LN(2)/25))/(LN(2)/25)*Calculateur!DB129*Calculateur!DD129*VLOOKUP('Données projet'!$B$13,Paramètres!$A$1:$I$88,3,0)*0.475*44/12</f>
        <v>0</v>
      </c>
      <c r="DH129" s="21">
        <f>EXP(-LN(2)/2)*DH128+(1-EXP(-LN(2)/2))/(LN(2)/2)*DB129*DE129*VLOOKUP('Données projet'!$B$13,Paramètres!$A$1:$I$88,3,0)*0.475*44/12</f>
        <v>2.0088477358165519E-14</v>
      </c>
      <c r="DI129" s="22">
        <f t="shared" si="69"/>
        <v>10.786765351656655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projet'!$B$14,Paramètres!$A$1:$I$88,3,0)*VLOOKUP('Données projet'!$B$14,Paramètres!$A$1:$I$88,5,0)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projet'!$B$14,Paramètres!$A$1:$I$88,7,0))</f>
        <v>0</v>
      </c>
      <c r="DY129" s="16">
        <f>IF(ISNA(VLOOKUP(A129,'Données projet'!$A$165:$I$185,6,0)),0%,VLOOKUP(A129,'Données projet'!$A$165:$I$185,6,0)*VLOOKUP('Données projet'!$B$14,Paramètres!$A$1:$I$88,7,0))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projet'!$B$14,Paramètres!$A$1:$I$88,3,0)*0.475*44/12</f>
        <v>#N/A</v>
      </c>
      <c r="EB129" s="21" t="e">
        <f>EXP(-LN(2)/25)*EB128+(1-EXP(-LN(2)/25))/(LN(2)/25)*Calculateur!DW129*Calculateur!DY129*VLOOKUP('Données projet'!$B$14,Paramètres!$A$1:$I$88,3,0)*0.475*44/12</f>
        <v>#N/A</v>
      </c>
      <c r="EC129" s="21" t="e">
        <f>EXP(-LN(2)/2)*EC128+(1-EXP(-LN(2)/2))/(LN(2)/2)*DW129*DZ129*VLOOKUP('Données projet'!$B$14,Paramètres!$A$1:$I$88,3,0)*0.475*44/12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projet'!$B$15,Paramètres!$A$1:$I$88,3,0)*VLOOKUP('Données projet'!$B$15,Paramètres!$A$1:$I$88,5,0)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projet'!$B$15,Paramètres!$A$1:$I$88,7,0))</f>
        <v>0</v>
      </c>
      <c r="ET129" s="16">
        <f>IF(ISNA(VLOOKUP(A129,'Données projet'!$A$191:$I$211,6,0)),0%,VLOOKUP(A129,'Données projet'!$A$191:$I$211,6,0)*VLOOKUP('Données projet'!$B$15,Paramètres!$A$1:$I$88,7,0))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projet'!$B$15,Paramètres!$A$1:$I$88,3,0)*0.475*44/12</f>
        <v>#N/A</v>
      </c>
      <c r="EW129" s="21" t="e">
        <f>EXP(-LN(2)/25)*EW128+(1-EXP(-LN(2)/25))/(LN(2)/25)*Calculateur!ER129*Calculateur!ET129*VLOOKUP('Données projet'!$B$15,Paramètres!$A$1:$I$88,3,0)*0.475*44/12</f>
        <v>#N/A</v>
      </c>
      <c r="EX129" s="21" t="e">
        <f>EXP(-LN(2)/2)*EX128+(1-EXP(-LN(2)/2))/(LN(2)/2)*ER129*EU129*VLOOKUP('Données projet'!$B$15,Paramètres!$A$1:$I$88,3,0)*0.475*44/12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projet'!$B$16,Paramètres!$A$1:$I$88,3,0)*VLOOKUP('Données projet'!$B$16,Paramètres!$A$1:$I$88,5,0)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projet'!$B$16,Paramètres!$A$1:$I$88,7,0))</f>
        <v>0</v>
      </c>
      <c r="FO129" s="16">
        <f>IF(ISNA(VLOOKUP(A129,'Données projet'!$A$217:$I$237,6,0)),0%,VLOOKUP(A129,'Données projet'!$A$217:$I$237,6,0)*VLOOKUP('Données projet'!$B$16,Paramètres!$A$1:$I$88,7,0))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projet'!$B$16,Paramètres!$A$1:$I$88,3,0)*0.475*44/12</f>
        <v>#N/A</v>
      </c>
      <c r="FR129" s="21" t="e">
        <f>EXP(-LN(2)/25)*FR128+(1-EXP(-LN(2)/25))/(LN(2)/25)*Calculateur!FM129*Calculateur!FO129*VLOOKUP('Données projet'!$B$16,Paramètres!$A$1:$I$88,3,0)*0.475*44/12</f>
        <v>#N/A</v>
      </c>
      <c r="FS129" s="21" t="e">
        <f>EXP(-LN(2)/2)*FS128+(1-EXP(-LN(2)/2))/(LN(2)/2)*FM129*FP129*VLOOKUP('Données projet'!$B$16,Paramètres!$A$1:$I$88,3,0)*0.475*44/12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projet'!$B$17,Paramètres!$A$1:$I$88,3,0)*VLOOKUP('Données projet'!$B$17,Paramètres!$A$1:$I$88,5,0)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projet'!$B$17,Paramètres!$A$1:$I$88,7,0))</f>
        <v>0</v>
      </c>
      <c r="GJ129" s="16">
        <f>IF(ISNA(VLOOKUP(A129,'Données projet'!$A$243:$I$263,6,0)),0%,VLOOKUP(A129,'Données projet'!$A$243:$I$263,6,0)*VLOOKUP('Données projet'!$B$17,Paramètres!$A$1:$I$88,7,0))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projet'!$B$17,Paramètres!$A$1:$I$88,3,0)*0.475*44/12</f>
        <v>#N/A</v>
      </c>
      <c r="GM129" s="21" t="e">
        <f>EXP(-LN(2)/25)*GM128+(1-EXP(-LN(2)/25))/(LN(2)/25)*Calculateur!GH129*Calculateur!GJ129*VLOOKUP('Données projet'!$B$17,Paramètres!$A$1:$I$88,3,0)*0.475*44/12</f>
        <v>#N/A</v>
      </c>
      <c r="GN129" s="21" t="e">
        <f>EXP(-LN(2)/2)*GN128+(1-EXP(-LN(2)/2))/(LN(2)/2)*GH129*GK129*VLOOKUP('Données projet'!$B$17,Paramètres!$A$1:$I$88,3,0)*0.475*44/12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projet'!$B$18,Paramètres!$A$1:$I$88,3,0)*VLOOKUP('Données projet'!$B$18,Paramètres!$A$1:$I$88,5,0)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projet'!$B$18,Paramètres!$A$1:$I$88,7,0))</f>
        <v>0</v>
      </c>
      <c r="HE129" s="16">
        <f>IF(ISNA(VLOOKUP(A129,'Données projet'!$A$269:$I$289,6,0)),0%,VLOOKUP(A129,'Données projet'!$A$269:$I$289,6,0)*VLOOKUP('Données projet'!$B$18,Paramètres!$A$1:$I$88,7,0))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projet'!$B$18,Paramètres!$A$1:$I$88,3,0)*0.475*44/12</f>
        <v>#N/A</v>
      </c>
      <c r="HH129" s="21" t="e">
        <f>EXP(-LN(2)/25)*HH128+(1-EXP(-LN(2)/25))/(LN(2)/25)*Calculateur!HC129*Calculateur!HE129*VLOOKUP('Données projet'!$B$18,Paramètres!$A$1:$I$88,3,0)*0.475*44/12</f>
        <v>#N/A</v>
      </c>
      <c r="HI129" s="21" t="e">
        <f>EXP(-LN(2)/2)*HI128+(1-EXP(-LN(2)/2))/(LN(2)/2)*HC129*HF129*VLOOKUP('Données projet'!$B$18,Paramètres!$A$1:$I$88,3,0)*0.475*44/12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projet'!$B$9,Paramètres!$A$1:$I$88,3,0)*VLOOKUP('Données projet'!$B$9,Paramètres!$A$1:$I$88,5,0)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195.73441209602686</v>
      </c>
      <c r="T130" s="59">
        <f t="shared" si="88"/>
        <v>219.19129224309006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projet'!$B$9,Paramètres!$A$1:$I$88,7,0))</f>
        <v>0</v>
      </c>
      <c r="X130" s="16">
        <f>IF(ISNA(VLOOKUP(A130,'Données projet'!$A$35:$I$55,6,0)),0%,VLOOKUP(A130,'Données projet'!$A$35:$I$55,6,0)*VLOOKUP('Données projet'!$B$9,Paramètres!$A$1:$I$88,7,0))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projet'!$B$9,Paramètres!$A$1:$I$88,3,0)*0.475*44/12</f>
        <v>2.2338458234317309</v>
      </c>
      <c r="AA130" s="21">
        <f>EXP(-LN(2)/25)*AA129+(1-EXP(-LN(2)/25))/(LN(2)/25)*Calculateur!V130*Calculateur!X130*VLOOKUP('Données projet'!$B$9,Paramètres!$A$1:$I$88,3,0)*0.475*44/12</f>
        <v>0.96160066593661764</v>
      </c>
      <c r="AB130" s="21">
        <f>EXP(-LN(2)/2)*AB129+(1-EXP(-LN(2)/2))/(LN(2)/2)*V130*Y130*VLOOKUP('Données projet'!$B$9,Paramètres!$A$1:$I$88,3,0)*0.475*44/12</f>
        <v>9.9662832779161527E-17</v>
      </c>
      <c r="AC130" s="22">
        <f t="shared" si="57"/>
        <v>3.1954464893683485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-4.5474735088646412E-13</v>
      </c>
      <c r="AJ130" s="13">
        <f>AI130*VLOOKUP('Données projet'!$B$10,Paramètres!$A$1:$I$88,3,0)*VLOOKUP('Données projet'!$B$10,Paramètres!$A$1:$I$88,5,0)</f>
        <v>-2.7193891583010558E-13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246.59447135626942</v>
      </c>
      <c r="AO130" s="59">
        <f t="shared" si="90"/>
        <v>262.00382544285367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projet'!$B$10,Paramètres!$A$1:$I$88,7,0))</f>
        <v>0</v>
      </c>
      <c r="AS130" s="16">
        <f>IF(ISNA(VLOOKUP(A130,'Données projet'!$A$61:$I$81,6,0)),0%,VLOOKUP(A130,'Données projet'!$A$61:$I$81,6,0)*VLOOKUP('Données projet'!$B$10,Paramètres!$A$1:$I$88,7,0))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projet'!$B$10,Paramètres!$A$1:$I$88,3,0)*0.475*44/12</f>
        <v>0</v>
      </c>
      <c r="AV130" s="21">
        <f>EXP(-LN(2)/25)*AV129+(1-EXP(-LN(2)/25))/(LN(2)/25)*Calculateur!AQ130*Calculateur!AS130*VLOOKUP('Données projet'!$B$10,Paramètres!$A$1:$I$88,3,0)*0.475*44/12</f>
        <v>0.8727339162238168</v>
      </c>
      <c r="AW130" s="21">
        <f>EXP(-LN(2)/2)*AW129+(1-EXP(-LN(2)/2))/(LN(2)/2)*AQ130*AT130*VLOOKUP('Données projet'!$B$10,Paramètres!$A$1:$I$88,3,0)*0.475*44/12</f>
        <v>5.9611662379642468E-14</v>
      </c>
      <c r="AX130" s="21">
        <f t="shared" si="60"/>
        <v>0.87273391622387642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-5.6843418860808015E-13</v>
      </c>
      <c r="BE130" s="13">
        <f>BD130*VLOOKUP('Données projet'!$B$11,Paramètres!$A$1:$I$88,3,0)*VLOOKUP('Données projet'!$B$11,Paramètres!$A$1:$I$88,5,0)</f>
        <v>-3.177547114319168E-13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355.96253323046608</v>
      </c>
      <c r="BJ130" s="59">
        <f t="shared" si="92"/>
        <v>366.8380442809696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projet'!$B$11,Paramètres!$A$1:$I$88,7,0))</f>
        <v>0</v>
      </c>
      <c r="BN130" s="16">
        <f>IF(ISNA(VLOOKUP(A130,'Données projet'!$A$87:$I$107,6,0)),0%,VLOOKUP(A130,'Données projet'!$A$87:$I$107,6,0)*VLOOKUP('Données projet'!$B$11,Paramètres!$A$1:$I$88,7,0))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projet'!$B$11,Paramètres!$A$1:$I$88,3,0)*0.475*44/12</f>
        <v>0</v>
      </c>
      <c r="BQ130" s="21">
        <f>EXP(-LN(2)/25)*BQ129+(1-EXP(-LN(2)/25))/(LN(2)/25)*Calculateur!BL130*Calculateur!BN130*VLOOKUP('Données projet'!$B$11,Paramètres!$A$1:$I$88,3,0)*0.475*44/12</f>
        <v>1.5451873338462268</v>
      </c>
      <c r="BR130" s="21">
        <f>EXP(-LN(2)/2)*BR129+(1-EXP(-LN(2)/2))/(LN(2)/2)*BL130*BO130*VLOOKUP('Données projet'!$B$11,Paramètres!$A$1:$I$88,3,0)*0.475*44/12</f>
        <v>9.2169343265273259E-14</v>
      </c>
      <c r="BS130" s="22">
        <f t="shared" si="63"/>
        <v>1.5451873338463189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projet'!$B$12,Paramètres!$A$1:$I$88,3,0)*VLOOKUP('Données projet'!$B$12,Paramètres!$A$1:$I$88,5,0)</f>
        <v>3.7243808037601412E-14</v>
      </c>
      <c r="CA130" s="13">
        <f t="shared" si="93"/>
        <v>6.2767589361185393E-13</v>
      </c>
      <c r="CB130" s="20">
        <f t="shared" si="64"/>
        <v>1.1580684803728015E-12</v>
      </c>
      <c r="CC130" s="59">
        <f t="shared" si="65"/>
        <v>293.33333333333445</v>
      </c>
      <c r="CD130" s="59">
        <f ca="1">AVERAGE(OFFSET($CC$3,0,0,'Données projet'!$E$12+1,1))-AVERAGE(OFFSET($H$3,0,0,'Données projet'!$E$12+1,1))</f>
        <v>180.90147430936133</v>
      </c>
      <c r="CE130" s="59">
        <f t="shared" si="94"/>
        <v>226.87949199830018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projet'!$B$12,Paramètres!$A$1:$I$88,7,0))</f>
        <v>0</v>
      </c>
      <c r="CI130" s="16">
        <f>IF(ISNA(VLOOKUP(A130,'Données projet'!$A$113:$I$133,6,0)),0%,VLOOKUP(A130,'Données projet'!$A$113:$I$133,6,0)*VLOOKUP('Données projet'!$B$12,Paramètres!$A$1:$I$88,7,0))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projet'!$B$12,Paramètres!$A$1:$I$88,3,0)*0.475*44/12</f>
        <v>0</v>
      </c>
      <c r="CL130" s="21">
        <f>EXP(-LN(2)/25)*CL129+(1-EXP(-LN(2)/25))/(LN(2)/25)*Calculateur!CG130*Calculateur!CI130*VLOOKUP('Données projet'!$B$12,Paramètres!$A$1:$I$88,3,0)*0.475*44/12</f>
        <v>0.46665310418608935</v>
      </c>
      <c r="CM130" s="21">
        <f>EXP(-LN(2)/2)*CM129+(1-EXP(-LN(2)/2))/(LN(2)/2)*CG130*CJ130*VLOOKUP('Données projet'!$B$12,Paramètres!$A$1:$I$88,3,0)*0.475*44/12</f>
        <v>2.226381020953617E-14</v>
      </c>
      <c r="CN130" s="22">
        <f t="shared" si="66"/>
        <v>0.46665310418611161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5.6843418860808015E-14</v>
      </c>
      <c r="CU130" s="17">
        <f>CT130*VLOOKUP('Données projet'!$B$13,Paramètres!$A$1:$I$88,3,0)*VLOOKUP('Données projet'!$B$13,Paramètres!$A$1:$I$88,5,0)</f>
        <v>2.8908289095852525E-14</v>
      </c>
      <c r="CV130" s="13">
        <f t="shared" si="95"/>
        <v>5.0177780569126974E-13</v>
      </c>
      <c r="CW130" s="20">
        <f t="shared" si="67"/>
        <v>9.2427828175423786E-13</v>
      </c>
      <c r="CX130" s="59">
        <f t="shared" si="68"/>
        <v>293.33333333333422</v>
      </c>
      <c r="CY130" s="59">
        <f ca="1">AVERAGE(OFFSET($CX$3,0,0,'Données projet'!$E$13+1,1))-AVERAGE(OFFSET($H$3,0,0,'Données projet'!$E$13+1,1))</f>
        <v>133.08385802816008</v>
      </c>
      <c r="CZ130" s="59">
        <f t="shared" si="96"/>
        <v>316.59112511251385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projet'!$B$13,Paramètres!$A$1:$I$88,7,0))</f>
        <v>0</v>
      </c>
      <c r="DD130" s="16">
        <f>IF(ISNA(VLOOKUP(A130,'Données projet'!$A$139:$I$159,6,0)),0%,VLOOKUP(A130,'Données projet'!$A$139:$I$159,6,0)*VLOOKUP('Données projet'!$B$13,Paramètres!$A$1:$I$88,7,0))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projet'!$B$13,Paramètres!$A$1:$I$88,3,0)*0.475*44/12</f>
        <v>10.575243462387864</v>
      </c>
      <c r="DG130" s="21">
        <f>EXP(-LN(2)/25)*DG129+(1-EXP(-LN(2)/25))/(LN(2)/25)*Calculateur!DB130*Calculateur!DD130*VLOOKUP('Données projet'!$B$13,Paramètres!$A$1:$I$88,3,0)*0.475*44/12</f>
        <v>0</v>
      </c>
      <c r="DH130" s="21">
        <f>EXP(-LN(2)/2)*DH129+(1-EXP(-LN(2)/2))/(LN(2)/2)*DB130*DE130*VLOOKUP('Données projet'!$B$13,Paramètres!$A$1:$I$88,3,0)*0.475*44/12</f>
        <v>1.4204698563671261E-14</v>
      </c>
      <c r="DI130" s="22">
        <f t="shared" si="69"/>
        <v>10.575243462387878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projet'!$B$14,Paramètres!$A$1:$I$88,3,0)*VLOOKUP('Données projet'!$B$14,Paramètres!$A$1:$I$88,5,0)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projet'!$B$14,Paramètres!$A$1:$I$88,7,0))</f>
        <v>0</v>
      </c>
      <c r="DY130" s="16">
        <f>IF(ISNA(VLOOKUP(A130,'Données projet'!$A$165:$I$185,6,0)),0%,VLOOKUP(A130,'Données projet'!$A$165:$I$185,6,0)*VLOOKUP('Données projet'!$B$14,Paramètres!$A$1:$I$88,7,0))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projet'!$B$14,Paramètres!$A$1:$I$88,3,0)*0.475*44/12</f>
        <v>#N/A</v>
      </c>
      <c r="EB130" s="21" t="e">
        <f>EXP(-LN(2)/25)*EB129+(1-EXP(-LN(2)/25))/(LN(2)/25)*Calculateur!DW130*Calculateur!DY130*VLOOKUP('Données projet'!$B$14,Paramètres!$A$1:$I$88,3,0)*0.475*44/12</f>
        <v>#N/A</v>
      </c>
      <c r="EC130" s="21" t="e">
        <f>EXP(-LN(2)/2)*EC129+(1-EXP(-LN(2)/2))/(LN(2)/2)*DW130*DZ130*VLOOKUP('Données projet'!$B$14,Paramètres!$A$1:$I$88,3,0)*0.475*44/12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projet'!$B$15,Paramètres!$A$1:$I$88,3,0)*VLOOKUP('Données projet'!$B$15,Paramètres!$A$1:$I$88,5,0)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projet'!$B$15,Paramètres!$A$1:$I$88,7,0))</f>
        <v>0</v>
      </c>
      <c r="ET130" s="16">
        <f>IF(ISNA(VLOOKUP(A130,'Données projet'!$A$191:$I$211,6,0)),0%,VLOOKUP(A130,'Données projet'!$A$191:$I$211,6,0)*VLOOKUP('Données projet'!$B$15,Paramètres!$A$1:$I$88,7,0))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projet'!$B$15,Paramètres!$A$1:$I$88,3,0)*0.475*44/12</f>
        <v>#N/A</v>
      </c>
      <c r="EW130" s="21" t="e">
        <f>EXP(-LN(2)/25)*EW129+(1-EXP(-LN(2)/25))/(LN(2)/25)*Calculateur!ER130*Calculateur!ET130*VLOOKUP('Données projet'!$B$15,Paramètres!$A$1:$I$88,3,0)*0.475*44/12</f>
        <v>#N/A</v>
      </c>
      <c r="EX130" s="21" t="e">
        <f>EXP(-LN(2)/2)*EX129+(1-EXP(-LN(2)/2))/(LN(2)/2)*ER130*EU130*VLOOKUP('Données projet'!$B$15,Paramètres!$A$1:$I$88,3,0)*0.475*44/12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projet'!$B$16,Paramètres!$A$1:$I$88,3,0)*VLOOKUP('Données projet'!$B$16,Paramètres!$A$1:$I$88,5,0)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projet'!$B$16,Paramètres!$A$1:$I$88,7,0))</f>
        <v>0</v>
      </c>
      <c r="FO130" s="16">
        <f>IF(ISNA(VLOOKUP(A130,'Données projet'!$A$217:$I$237,6,0)),0%,VLOOKUP(A130,'Données projet'!$A$217:$I$237,6,0)*VLOOKUP('Données projet'!$B$16,Paramètres!$A$1:$I$88,7,0))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projet'!$B$16,Paramètres!$A$1:$I$88,3,0)*0.475*44/12</f>
        <v>#N/A</v>
      </c>
      <c r="FR130" s="21" t="e">
        <f>EXP(-LN(2)/25)*FR129+(1-EXP(-LN(2)/25))/(LN(2)/25)*Calculateur!FM130*Calculateur!FO130*VLOOKUP('Données projet'!$B$16,Paramètres!$A$1:$I$88,3,0)*0.475*44/12</f>
        <v>#N/A</v>
      </c>
      <c r="FS130" s="21" t="e">
        <f>EXP(-LN(2)/2)*FS129+(1-EXP(-LN(2)/2))/(LN(2)/2)*FM130*FP130*VLOOKUP('Données projet'!$B$16,Paramètres!$A$1:$I$88,3,0)*0.475*44/12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projet'!$B$17,Paramètres!$A$1:$I$88,3,0)*VLOOKUP('Données projet'!$B$17,Paramètres!$A$1:$I$88,5,0)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projet'!$B$17,Paramètres!$A$1:$I$88,7,0))</f>
        <v>0</v>
      </c>
      <c r="GJ130" s="16">
        <f>IF(ISNA(VLOOKUP(A130,'Données projet'!$A$243:$I$263,6,0)),0%,VLOOKUP(A130,'Données projet'!$A$243:$I$263,6,0)*VLOOKUP('Données projet'!$B$17,Paramètres!$A$1:$I$88,7,0))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projet'!$B$17,Paramètres!$A$1:$I$88,3,0)*0.475*44/12</f>
        <v>#N/A</v>
      </c>
      <c r="GM130" s="21" t="e">
        <f>EXP(-LN(2)/25)*GM129+(1-EXP(-LN(2)/25))/(LN(2)/25)*Calculateur!GH130*Calculateur!GJ130*VLOOKUP('Données projet'!$B$17,Paramètres!$A$1:$I$88,3,0)*0.475*44/12</f>
        <v>#N/A</v>
      </c>
      <c r="GN130" s="21" t="e">
        <f>EXP(-LN(2)/2)*GN129+(1-EXP(-LN(2)/2))/(LN(2)/2)*GH130*GK130*VLOOKUP('Données projet'!$B$17,Paramètres!$A$1:$I$88,3,0)*0.475*44/12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projet'!$B$18,Paramètres!$A$1:$I$88,3,0)*VLOOKUP('Données projet'!$B$18,Paramètres!$A$1:$I$88,5,0)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projet'!$B$18,Paramètres!$A$1:$I$88,7,0))</f>
        <v>0</v>
      </c>
      <c r="HE130" s="16">
        <f>IF(ISNA(VLOOKUP(A130,'Données projet'!$A$269:$I$289,6,0)),0%,VLOOKUP(A130,'Données projet'!$A$269:$I$289,6,0)*VLOOKUP('Données projet'!$B$18,Paramètres!$A$1:$I$88,7,0))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projet'!$B$18,Paramètres!$A$1:$I$88,3,0)*0.475*44/12</f>
        <v>#N/A</v>
      </c>
      <c r="HH130" s="21" t="e">
        <f>EXP(-LN(2)/25)*HH129+(1-EXP(-LN(2)/25))/(LN(2)/25)*Calculateur!HC130*Calculateur!HE130*VLOOKUP('Données projet'!$B$18,Paramètres!$A$1:$I$88,3,0)*0.475*44/12</f>
        <v>#N/A</v>
      </c>
      <c r="HI130" s="21" t="e">
        <f>EXP(-LN(2)/2)*HI129+(1-EXP(-LN(2)/2))/(LN(2)/2)*HC130*HF130*VLOOKUP('Données projet'!$B$18,Paramètres!$A$1:$I$88,3,0)*0.475*44/12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projet'!$B$9,Paramètres!$A$1:$I$88,3,0)*VLOOKUP('Données projet'!$B$9,Paramètres!$A$1:$I$88,5,0)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195.73441209602686</v>
      </c>
      <c r="T131" s="59">
        <f t="shared" si="88"/>
        <v>219.19129224309006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projet'!$B$9,Paramètres!$A$1:$I$88,7,0))</f>
        <v>0</v>
      </c>
      <c r="X131" s="16">
        <f>IF(ISNA(VLOOKUP(A131,'Données projet'!$A$35:$I$55,6,0)),0%,VLOOKUP(A131,'Données projet'!$A$35:$I$55,6,0)*VLOOKUP('Données projet'!$B$9,Paramètres!$A$1:$I$88,7,0))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projet'!$B$9,Paramètres!$A$1:$I$88,3,0)*0.475*44/12</f>
        <v>2.1900414693456502</v>
      </c>
      <c r="AA131" s="21">
        <f>EXP(-LN(2)/25)*AA130+(1-EXP(-LN(2)/25))/(LN(2)/25)*Calculateur!V131*Calculateur!X131*VLOOKUP('Données projet'!$B$9,Paramètres!$A$1:$I$88,3,0)*0.475*44/12</f>
        <v>0.93530564515819958</v>
      </c>
      <c r="AB131" s="21">
        <f>EXP(-LN(2)/2)*AB130+(1-EXP(-LN(2)/2))/(LN(2)/2)*V131*Y131*VLOOKUP('Données projet'!$B$9,Paramètres!$A$1:$I$88,3,0)*0.475*44/12</f>
        <v>7.0472264890406045E-17</v>
      </c>
      <c r="AC131" s="22">
        <f t="shared" si="57"/>
        <v>3.1253471145038496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-4.5474735088646412E-13</v>
      </c>
      <c r="AJ131" s="13">
        <f>AI131*VLOOKUP('Données projet'!$B$10,Paramètres!$A$1:$I$88,3,0)*VLOOKUP('Données projet'!$B$10,Paramètres!$A$1:$I$88,5,0)</f>
        <v>-2.7193891583010558E-13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246.59447135626942</v>
      </c>
      <c r="AO131" s="59">
        <f t="shared" si="90"/>
        <v>262.00382544285367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projet'!$B$10,Paramètres!$A$1:$I$88,7,0))</f>
        <v>0</v>
      </c>
      <c r="AS131" s="16">
        <f>IF(ISNA(VLOOKUP(A131,'Données projet'!$A$61:$I$81,6,0)),0%,VLOOKUP(A131,'Données projet'!$A$61:$I$81,6,0)*VLOOKUP('Données projet'!$B$10,Paramètres!$A$1:$I$88,7,0))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projet'!$B$10,Paramètres!$A$1:$I$88,3,0)*0.475*44/12</f>
        <v>0</v>
      </c>
      <c r="AV131" s="21">
        <f>EXP(-LN(2)/25)*AV130+(1-EXP(-LN(2)/25))/(LN(2)/25)*Calculateur!AQ131*Calculateur!AS131*VLOOKUP('Données projet'!$B$10,Paramètres!$A$1:$I$88,3,0)*0.475*44/12</f>
        <v>0.84886896138959456</v>
      </c>
      <c r="AW131" s="21">
        <f>EXP(-LN(2)/2)*AW130+(1-EXP(-LN(2)/2))/(LN(2)/2)*AQ131*AT131*VLOOKUP('Données projet'!$B$10,Paramètres!$A$1:$I$88,3,0)*0.475*44/12</f>
        <v>4.2151810706448194E-14</v>
      </c>
      <c r="AX131" s="21">
        <f t="shared" si="60"/>
        <v>0.84886896138963674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-5.6843418860808015E-13</v>
      </c>
      <c r="BE131" s="13">
        <f>BD131*VLOOKUP('Données projet'!$B$11,Paramètres!$A$1:$I$88,3,0)*VLOOKUP('Données projet'!$B$11,Paramètres!$A$1:$I$88,5,0)</f>
        <v>-3.177547114319168E-13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355.96253323046608</v>
      </c>
      <c r="BJ131" s="59">
        <f t="shared" si="92"/>
        <v>366.8380442809696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projet'!$B$11,Paramètres!$A$1:$I$88,7,0))</f>
        <v>0</v>
      </c>
      <c r="BN131" s="16">
        <f>IF(ISNA(VLOOKUP(A131,'Données projet'!$A$87:$I$107,6,0)),0%,VLOOKUP(A131,'Données projet'!$A$87:$I$107,6,0)*VLOOKUP('Données projet'!$B$11,Paramètres!$A$1:$I$88,7,0))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projet'!$B$11,Paramètres!$A$1:$I$88,3,0)*0.475*44/12</f>
        <v>0</v>
      </c>
      <c r="BQ131" s="21">
        <f>EXP(-LN(2)/25)*BQ130+(1-EXP(-LN(2)/25))/(LN(2)/25)*Calculateur!BL131*Calculateur!BN131*VLOOKUP('Données projet'!$B$11,Paramètres!$A$1:$I$88,3,0)*0.475*44/12</f>
        <v>1.5029341049443314</v>
      </c>
      <c r="BR131" s="21">
        <f>EXP(-LN(2)/2)*BR130+(1-EXP(-LN(2)/2))/(LN(2)/2)*BL131*BO131*VLOOKUP('Données projet'!$B$11,Paramètres!$A$1:$I$88,3,0)*0.475*44/12</f>
        <v>6.5173567640385365E-14</v>
      </c>
      <c r="BS131" s="22">
        <f t="shared" si="63"/>
        <v>1.5029341049443967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projet'!$B$12,Paramètres!$A$1:$I$88,3,0)*VLOOKUP('Données projet'!$B$12,Paramètres!$A$1:$I$88,5,0)</f>
        <v>3.7243808037601412E-14</v>
      </c>
      <c r="CA131" s="13">
        <f t="shared" si="93"/>
        <v>6.2767589361185393E-13</v>
      </c>
      <c r="CB131" s="20">
        <f t="shared" si="64"/>
        <v>1.1580684803728015E-12</v>
      </c>
      <c r="CC131" s="59">
        <f t="shared" si="65"/>
        <v>293.33333333333445</v>
      </c>
      <c r="CD131" s="59">
        <f ca="1">AVERAGE(OFFSET($CC$3,0,0,'Données projet'!$E$12+1,1))-AVERAGE(OFFSET($H$3,0,0,'Données projet'!$E$12+1,1))</f>
        <v>180.90147430936133</v>
      </c>
      <c r="CE131" s="59">
        <f t="shared" si="94"/>
        <v>226.87949199830018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projet'!$B$12,Paramètres!$A$1:$I$88,7,0))</f>
        <v>0</v>
      </c>
      <c r="CI131" s="16">
        <f>IF(ISNA(VLOOKUP(A131,'Données projet'!$A$113:$I$133,6,0)),0%,VLOOKUP(A131,'Données projet'!$A$113:$I$133,6,0)*VLOOKUP('Données projet'!$B$12,Paramètres!$A$1:$I$88,7,0))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projet'!$B$12,Paramètres!$A$1:$I$88,3,0)*0.475*44/12</f>
        <v>0</v>
      </c>
      <c r="CL131" s="21">
        <f>EXP(-LN(2)/25)*CL130+(1-EXP(-LN(2)/25))/(LN(2)/25)*Calculateur!CG131*Calculateur!CI131*VLOOKUP('Données projet'!$B$12,Paramètres!$A$1:$I$88,3,0)*0.475*44/12</f>
        <v>0.45389245051190052</v>
      </c>
      <c r="CM131" s="21">
        <f>EXP(-LN(2)/2)*CM130+(1-EXP(-LN(2)/2))/(LN(2)/2)*CG131*CJ131*VLOOKUP('Données projet'!$B$12,Paramètres!$A$1:$I$88,3,0)*0.475*44/12</f>
        <v>1.5742891174213315E-14</v>
      </c>
      <c r="CN131" s="22">
        <f t="shared" si="66"/>
        <v>0.45389245051191629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5.6843418860808015E-14</v>
      </c>
      <c r="CU131" s="17">
        <f>CT131*VLOOKUP('Données projet'!$B$13,Paramètres!$A$1:$I$88,3,0)*VLOOKUP('Données projet'!$B$13,Paramètres!$A$1:$I$88,5,0)</f>
        <v>2.8908289095852525E-14</v>
      </c>
      <c r="CV131" s="13">
        <f t="shared" si="95"/>
        <v>5.0177780569126974E-13</v>
      </c>
      <c r="CW131" s="20">
        <f t="shared" si="67"/>
        <v>9.2427828175423786E-13</v>
      </c>
      <c r="CX131" s="59">
        <f t="shared" si="68"/>
        <v>293.33333333333422</v>
      </c>
      <c r="CY131" s="59">
        <f ca="1">AVERAGE(OFFSET($CX$3,0,0,'Données projet'!$E$13+1,1))-AVERAGE(OFFSET($H$3,0,0,'Données projet'!$E$13+1,1))</f>
        <v>133.08385802816008</v>
      </c>
      <c r="CZ131" s="59">
        <f t="shared" si="96"/>
        <v>316.59112511251385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projet'!$B$13,Paramètres!$A$1:$I$88,7,0))</f>
        <v>0</v>
      </c>
      <c r="DD131" s="16">
        <f>IF(ISNA(VLOOKUP(A131,'Données projet'!$A$139:$I$159,6,0)),0%,VLOOKUP(A131,'Données projet'!$A$139:$I$159,6,0)*VLOOKUP('Données projet'!$B$13,Paramètres!$A$1:$I$88,7,0))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projet'!$B$13,Paramètres!$A$1:$I$88,3,0)*0.475*44/12</f>
        <v>10.367869388352039</v>
      </c>
      <c r="DG131" s="21">
        <f>EXP(-LN(2)/25)*DG130+(1-EXP(-LN(2)/25))/(LN(2)/25)*Calculateur!DB131*Calculateur!DD131*VLOOKUP('Données projet'!$B$13,Paramètres!$A$1:$I$88,3,0)*0.475*44/12</f>
        <v>0</v>
      </c>
      <c r="DH131" s="21">
        <f>EXP(-LN(2)/2)*DH130+(1-EXP(-LN(2)/2))/(LN(2)/2)*DB131*DE131*VLOOKUP('Données projet'!$B$13,Paramètres!$A$1:$I$88,3,0)*0.475*44/12</f>
        <v>1.0044238679082761E-14</v>
      </c>
      <c r="DI131" s="22">
        <f t="shared" si="69"/>
        <v>10.36786938835205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projet'!$B$14,Paramètres!$A$1:$I$88,3,0)*VLOOKUP('Données projet'!$B$14,Paramètres!$A$1:$I$88,5,0)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projet'!$B$14,Paramètres!$A$1:$I$88,7,0))</f>
        <v>0</v>
      </c>
      <c r="DY131" s="16">
        <f>IF(ISNA(VLOOKUP(A131,'Données projet'!$A$165:$I$185,6,0)),0%,VLOOKUP(A131,'Données projet'!$A$165:$I$185,6,0)*VLOOKUP('Données projet'!$B$14,Paramètres!$A$1:$I$88,7,0))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projet'!$B$14,Paramètres!$A$1:$I$88,3,0)*0.475*44/12</f>
        <v>#N/A</v>
      </c>
      <c r="EB131" s="21" t="e">
        <f>EXP(-LN(2)/25)*EB130+(1-EXP(-LN(2)/25))/(LN(2)/25)*Calculateur!DW131*Calculateur!DY131*VLOOKUP('Données projet'!$B$14,Paramètres!$A$1:$I$88,3,0)*0.475*44/12</f>
        <v>#N/A</v>
      </c>
      <c r="EC131" s="21" t="e">
        <f>EXP(-LN(2)/2)*EC130+(1-EXP(-LN(2)/2))/(LN(2)/2)*DW131*DZ131*VLOOKUP('Données projet'!$B$14,Paramètres!$A$1:$I$88,3,0)*0.475*44/12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projet'!$B$15,Paramètres!$A$1:$I$88,3,0)*VLOOKUP('Données projet'!$B$15,Paramètres!$A$1:$I$88,5,0)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projet'!$B$15,Paramètres!$A$1:$I$88,7,0))</f>
        <v>0</v>
      </c>
      <c r="ET131" s="16">
        <f>IF(ISNA(VLOOKUP(A131,'Données projet'!$A$191:$I$211,6,0)),0%,VLOOKUP(A131,'Données projet'!$A$191:$I$211,6,0)*VLOOKUP('Données projet'!$B$15,Paramètres!$A$1:$I$88,7,0))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projet'!$B$15,Paramètres!$A$1:$I$88,3,0)*0.475*44/12</f>
        <v>#N/A</v>
      </c>
      <c r="EW131" s="21" t="e">
        <f>EXP(-LN(2)/25)*EW130+(1-EXP(-LN(2)/25))/(LN(2)/25)*Calculateur!ER131*Calculateur!ET131*VLOOKUP('Données projet'!$B$15,Paramètres!$A$1:$I$88,3,0)*0.475*44/12</f>
        <v>#N/A</v>
      </c>
      <c r="EX131" s="21" t="e">
        <f>EXP(-LN(2)/2)*EX130+(1-EXP(-LN(2)/2))/(LN(2)/2)*ER131*EU131*VLOOKUP('Données projet'!$B$15,Paramètres!$A$1:$I$88,3,0)*0.475*44/12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projet'!$B$16,Paramètres!$A$1:$I$88,3,0)*VLOOKUP('Données projet'!$B$16,Paramètres!$A$1:$I$88,5,0)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projet'!$B$16,Paramètres!$A$1:$I$88,7,0))</f>
        <v>0</v>
      </c>
      <c r="FO131" s="16">
        <f>IF(ISNA(VLOOKUP(A131,'Données projet'!$A$217:$I$237,6,0)),0%,VLOOKUP(A131,'Données projet'!$A$217:$I$237,6,0)*VLOOKUP('Données projet'!$B$16,Paramètres!$A$1:$I$88,7,0))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projet'!$B$16,Paramètres!$A$1:$I$88,3,0)*0.475*44/12</f>
        <v>#N/A</v>
      </c>
      <c r="FR131" s="21" t="e">
        <f>EXP(-LN(2)/25)*FR130+(1-EXP(-LN(2)/25))/(LN(2)/25)*Calculateur!FM131*Calculateur!FO131*VLOOKUP('Données projet'!$B$16,Paramètres!$A$1:$I$88,3,0)*0.475*44/12</f>
        <v>#N/A</v>
      </c>
      <c r="FS131" s="21" t="e">
        <f>EXP(-LN(2)/2)*FS130+(1-EXP(-LN(2)/2))/(LN(2)/2)*FM131*FP131*VLOOKUP('Données projet'!$B$16,Paramètres!$A$1:$I$88,3,0)*0.475*44/12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projet'!$B$17,Paramètres!$A$1:$I$88,3,0)*VLOOKUP('Données projet'!$B$17,Paramètres!$A$1:$I$88,5,0)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projet'!$B$17,Paramètres!$A$1:$I$88,7,0))</f>
        <v>0</v>
      </c>
      <c r="GJ131" s="16">
        <f>IF(ISNA(VLOOKUP(A131,'Données projet'!$A$243:$I$263,6,0)),0%,VLOOKUP(A131,'Données projet'!$A$243:$I$263,6,0)*VLOOKUP('Données projet'!$B$17,Paramètres!$A$1:$I$88,7,0))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projet'!$B$17,Paramètres!$A$1:$I$88,3,0)*0.475*44/12</f>
        <v>#N/A</v>
      </c>
      <c r="GM131" s="21" t="e">
        <f>EXP(-LN(2)/25)*GM130+(1-EXP(-LN(2)/25))/(LN(2)/25)*Calculateur!GH131*Calculateur!GJ131*VLOOKUP('Données projet'!$B$17,Paramètres!$A$1:$I$88,3,0)*0.475*44/12</f>
        <v>#N/A</v>
      </c>
      <c r="GN131" s="21" t="e">
        <f>EXP(-LN(2)/2)*GN130+(1-EXP(-LN(2)/2))/(LN(2)/2)*GH131*GK131*VLOOKUP('Données projet'!$B$17,Paramètres!$A$1:$I$88,3,0)*0.475*44/12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projet'!$B$18,Paramètres!$A$1:$I$88,3,0)*VLOOKUP('Données projet'!$B$18,Paramètres!$A$1:$I$88,5,0)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projet'!$B$18,Paramètres!$A$1:$I$88,7,0))</f>
        <v>0</v>
      </c>
      <c r="HE131" s="16">
        <f>IF(ISNA(VLOOKUP(A131,'Données projet'!$A$269:$I$289,6,0)),0%,VLOOKUP(A131,'Données projet'!$A$269:$I$289,6,0)*VLOOKUP('Données projet'!$B$18,Paramètres!$A$1:$I$88,7,0))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projet'!$B$18,Paramètres!$A$1:$I$88,3,0)*0.475*44/12</f>
        <v>#N/A</v>
      </c>
      <c r="HH131" s="21" t="e">
        <f>EXP(-LN(2)/25)*HH130+(1-EXP(-LN(2)/25))/(LN(2)/25)*Calculateur!HC131*Calculateur!HE131*VLOOKUP('Données projet'!$B$18,Paramètres!$A$1:$I$88,3,0)*0.475*44/12</f>
        <v>#N/A</v>
      </c>
      <c r="HI131" s="21" t="e">
        <f>EXP(-LN(2)/2)*HI130+(1-EXP(-LN(2)/2))/(LN(2)/2)*HC131*HF131*VLOOKUP('Données projet'!$B$18,Paramètres!$A$1:$I$88,3,0)*0.475*44/12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projet'!$B$9,Paramètres!$A$1:$I$88,3,0)*VLOOKUP('Données projet'!$B$9,Paramètres!$A$1:$I$88,5,0)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195.73441209602686</v>
      </c>
      <c r="T132" s="59">
        <f t="shared" si="88"/>
        <v>219.19129224309006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projet'!$B$9,Paramètres!$A$1:$I$88,7,0))</f>
        <v>0</v>
      </c>
      <c r="X132" s="16">
        <f>IF(ISNA(VLOOKUP(A132,'Données projet'!$A$35:$I$55,6,0)),0%,VLOOKUP(A132,'Données projet'!$A$35:$I$55,6,0)*VLOOKUP('Données projet'!$B$9,Paramètres!$A$1:$I$88,7,0))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projet'!$B$9,Paramètres!$A$1:$I$88,3,0)*0.475*44/12</f>
        <v>2.1470960919251798</v>
      </c>
      <c r="AA132" s="21">
        <f>EXP(-LN(2)/25)*AA131+(1-EXP(-LN(2)/25))/(LN(2)/25)*Calculateur!V132*Calculateur!X132*VLOOKUP('Données projet'!$B$9,Paramètres!$A$1:$I$88,3,0)*0.475*44/12</f>
        <v>0.90972966310576242</v>
      </c>
      <c r="AB132" s="21">
        <f>EXP(-LN(2)/2)*AB131+(1-EXP(-LN(2)/2))/(LN(2)/2)*V132*Y132*VLOOKUP('Données projet'!$B$9,Paramètres!$A$1:$I$88,3,0)*0.475*44/12</f>
        <v>4.9831416389580763E-17</v>
      </c>
      <c r="AC132" s="22">
        <f t="shared" ref="AC132:AC153" si="111">SUM(Z132:AB132)</f>
        <v>3.0568257550309421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-4.5474735088646412E-13</v>
      </c>
      <c r="AJ132" s="13">
        <f>AI132*VLOOKUP('Données projet'!$B$10,Paramètres!$A$1:$I$88,3,0)*VLOOKUP('Données projet'!$B$10,Paramètres!$A$1:$I$88,5,0)</f>
        <v>-2.7193891583010558E-13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246.59447135626942</v>
      </c>
      <c r="AO132" s="59">
        <f t="shared" si="90"/>
        <v>262.00382544285367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projet'!$B$10,Paramètres!$A$1:$I$88,7,0))</f>
        <v>0</v>
      </c>
      <c r="AS132" s="16">
        <f>IF(ISNA(VLOOKUP(A132,'Données projet'!$A$61:$I$81,6,0)),0%,VLOOKUP(A132,'Données projet'!$A$61:$I$81,6,0)*VLOOKUP('Données projet'!$B$10,Paramètres!$A$1:$I$88,7,0))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projet'!$B$10,Paramètres!$A$1:$I$88,3,0)*0.475*44/12</f>
        <v>0</v>
      </c>
      <c r="AV132" s="21">
        <f>EXP(-LN(2)/25)*AV131+(1-EXP(-LN(2)/25))/(LN(2)/25)*Calculateur!AQ132*Calculateur!AS132*VLOOKUP('Données projet'!$B$10,Paramètres!$A$1:$I$88,3,0)*0.475*44/12</f>
        <v>0.82565659500031752</v>
      </c>
      <c r="AW132" s="21">
        <f>EXP(-LN(2)/2)*AW131+(1-EXP(-LN(2)/2))/(LN(2)/2)*AQ132*AT132*VLOOKUP('Données projet'!$B$10,Paramètres!$A$1:$I$88,3,0)*0.475*44/12</f>
        <v>2.9805831189821234E-14</v>
      </c>
      <c r="AX132" s="21">
        <f t="shared" ref="AX132:AX153" si="114">SUM(AU132:AW132)</f>
        <v>0.82565659500034727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-5.6843418860808015E-13</v>
      </c>
      <c r="BE132" s="13">
        <f>BD132*VLOOKUP('Données projet'!$B$11,Paramètres!$A$1:$I$88,3,0)*VLOOKUP('Données projet'!$B$11,Paramètres!$A$1:$I$88,5,0)</f>
        <v>-3.177547114319168E-13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355.96253323046608</v>
      </c>
      <c r="BJ132" s="59">
        <f t="shared" si="92"/>
        <v>366.8380442809696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projet'!$B$11,Paramètres!$A$1:$I$88,7,0))</f>
        <v>0</v>
      </c>
      <c r="BN132" s="16">
        <f>IF(ISNA(VLOOKUP(A132,'Données projet'!$A$87:$I$107,6,0)),0%,VLOOKUP(A132,'Données projet'!$A$87:$I$107,6,0)*VLOOKUP('Données projet'!$B$11,Paramètres!$A$1:$I$88,7,0))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projet'!$B$11,Paramètres!$A$1:$I$88,3,0)*0.475*44/12</f>
        <v>0</v>
      </c>
      <c r="BQ132" s="21">
        <f>EXP(-LN(2)/25)*BQ131+(1-EXP(-LN(2)/25))/(LN(2)/25)*Calculateur!BL132*Calculateur!BN132*VLOOKUP('Données projet'!$B$11,Paramètres!$A$1:$I$88,3,0)*0.475*44/12</f>
        <v>1.4618362928087592</v>
      </c>
      <c r="BR132" s="21">
        <f>EXP(-LN(2)/2)*BR131+(1-EXP(-LN(2)/2))/(LN(2)/2)*BL132*BO132*VLOOKUP('Données projet'!$B$11,Paramètres!$A$1:$I$88,3,0)*0.475*44/12</f>
        <v>4.608467163263663E-14</v>
      </c>
      <c r="BS132" s="22">
        <f t="shared" ref="BS132:BS153" si="117">SUM(BP132:BR132)</f>
        <v>1.4618362928088053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projet'!$B$12,Paramètres!$A$1:$I$88,3,0)*VLOOKUP('Données projet'!$B$12,Paramètres!$A$1:$I$88,5,0)</f>
        <v>3.7243808037601412E-14</v>
      </c>
      <c r="CA132" s="13">
        <f t="shared" si="93"/>
        <v>6.2767589361185393E-13</v>
      </c>
      <c r="CB132" s="20">
        <f t="shared" ref="CB132:CB153" si="118">(BZ132+CA132)*0.475*44/12</f>
        <v>1.1580684803728015E-12</v>
      </c>
      <c r="CC132" s="59">
        <f t="shared" ref="CC132:CC195" si="119">CB132+(BT132+BU132)*44/12</f>
        <v>293.33333333333445</v>
      </c>
      <c r="CD132" s="59">
        <f ca="1">AVERAGE(OFFSET($CC$3,0,0,'Données projet'!$E$12+1,1))-AVERAGE(OFFSET($H$3,0,0,'Données projet'!$E$12+1,1))</f>
        <v>180.90147430936133</v>
      </c>
      <c r="CE132" s="59">
        <f t="shared" si="94"/>
        <v>226.87949199830018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projet'!$B$12,Paramètres!$A$1:$I$88,7,0))</f>
        <v>0</v>
      </c>
      <c r="CI132" s="16">
        <f>IF(ISNA(VLOOKUP(A132,'Données projet'!$A$113:$I$133,6,0)),0%,VLOOKUP(A132,'Données projet'!$A$113:$I$133,6,0)*VLOOKUP('Données projet'!$B$12,Paramètres!$A$1:$I$88,7,0))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projet'!$B$12,Paramètres!$A$1:$I$88,3,0)*0.475*44/12</f>
        <v>0</v>
      </c>
      <c r="CL132" s="21">
        <f>EXP(-LN(2)/25)*CL131+(1-EXP(-LN(2)/25))/(LN(2)/25)*Calculateur!CG132*Calculateur!CI132*VLOOKUP('Données projet'!$B$12,Paramètres!$A$1:$I$88,3,0)*0.475*44/12</f>
        <v>0.44148073758348599</v>
      </c>
      <c r="CM132" s="21">
        <f>EXP(-LN(2)/2)*CM131+(1-EXP(-LN(2)/2))/(LN(2)/2)*CG132*CJ132*VLOOKUP('Données projet'!$B$12,Paramètres!$A$1:$I$88,3,0)*0.475*44/12</f>
        <v>1.1131905104768085E-14</v>
      </c>
      <c r="CN132" s="22">
        <f t="shared" ref="CN132:CN153" si="120">SUM(CK132:CM132)</f>
        <v>0.44148073758349715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5.6843418860808015E-14</v>
      </c>
      <c r="CU132" s="17">
        <f>CT132*VLOOKUP('Données projet'!$B$13,Paramètres!$A$1:$I$88,3,0)*VLOOKUP('Données projet'!$B$13,Paramètres!$A$1:$I$88,5,0)</f>
        <v>2.8908289095852525E-14</v>
      </c>
      <c r="CV132" s="13">
        <f t="shared" si="95"/>
        <v>5.0177780569126974E-13</v>
      </c>
      <c r="CW132" s="20">
        <f t="shared" ref="CW132:CW153" si="121">(CU132+CV132)*0.475*44/12</f>
        <v>9.2427828175423786E-13</v>
      </c>
      <c r="CX132" s="59">
        <f t="shared" ref="CX132:CX195" si="122">CW132+(CO132+CP132)*44/12</f>
        <v>293.33333333333422</v>
      </c>
      <c r="CY132" s="59">
        <f ca="1">AVERAGE(OFFSET($CX$3,0,0,'Données projet'!$E$13+1,1))-AVERAGE(OFFSET($H$3,0,0,'Données projet'!$E$13+1,1))</f>
        <v>133.08385802816008</v>
      </c>
      <c r="CZ132" s="59">
        <f t="shared" si="96"/>
        <v>316.59112511251385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projet'!$B$13,Paramètres!$A$1:$I$88,7,0))</f>
        <v>0</v>
      </c>
      <c r="DD132" s="16">
        <f>IF(ISNA(VLOOKUP(A132,'Données projet'!$A$139:$I$159,6,0)),0%,VLOOKUP(A132,'Données projet'!$A$139:$I$159,6,0)*VLOOKUP('Données projet'!$B$13,Paramètres!$A$1:$I$88,7,0))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projet'!$B$13,Paramètres!$A$1:$I$88,3,0)*0.475*44/12</f>
        <v>10.164561793422362</v>
      </c>
      <c r="DG132" s="21">
        <f>EXP(-LN(2)/25)*DG131+(1-EXP(-LN(2)/25))/(LN(2)/25)*Calculateur!DB132*Calculateur!DD132*VLOOKUP('Données projet'!$B$13,Paramètres!$A$1:$I$88,3,0)*0.475*44/12</f>
        <v>0</v>
      </c>
      <c r="DH132" s="21">
        <f>EXP(-LN(2)/2)*DH131+(1-EXP(-LN(2)/2))/(LN(2)/2)*DB132*DE132*VLOOKUP('Données projet'!$B$13,Paramètres!$A$1:$I$88,3,0)*0.475*44/12</f>
        <v>7.1023492818356313E-15</v>
      </c>
      <c r="DI132" s="22">
        <f t="shared" ref="DI132:DI153" si="123">SUM(DF132:DH132)</f>
        <v>10.164561793422369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projet'!$B$14,Paramètres!$A$1:$I$88,3,0)*VLOOKUP('Données projet'!$B$14,Paramètres!$A$1:$I$88,5,0)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projet'!$B$14,Paramètres!$A$1:$I$88,7,0))</f>
        <v>0</v>
      </c>
      <c r="DY132" s="16">
        <f>IF(ISNA(VLOOKUP(A132,'Données projet'!$A$165:$I$185,6,0)),0%,VLOOKUP(A132,'Données projet'!$A$165:$I$185,6,0)*VLOOKUP('Données projet'!$B$14,Paramètres!$A$1:$I$88,7,0))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projet'!$B$14,Paramètres!$A$1:$I$88,3,0)*0.475*44/12</f>
        <v>#N/A</v>
      </c>
      <c r="EB132" s="21" t="e">
        <f>EXP(-LN(2)/25)*EB131+(1-EXP(-LN(2)/25))/(LN(2)/25)*Calculateur!DW132*Calculateur!DY132*VLOOKUP('Données projet'!$B$14,Paramètres!$A$1:$I$88,3,0)*0.475*44/12</f>
        <v>#N/A</v>
      </c>
      <c r="EC132" s="21" t="e">
        <f>EXP(-LN(2)/2)*EC131+(1-EXP(-LN(2)/2))/(LN(2)/2)*DW132*DZ132*VLOOKUP('Données projet'!$B$14,Paramètres!$A$1:$I$88,3,0)*0.475*44/12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projet'!$B$15,Paramètres!$A$1:$I$88,3,0)*VLOOKUP('Données projet'!$B$15,Paramètres!$A$1:$I$88,5,0)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projet'!$B$15,Paramètres!$A$1:$I$88,7,0))</f>
        <v>0</v>
      </c>
      <c r="ET132" s="16">
        <f>IF(ISNA(VLOOKUP(A132,'Données projet'!$A$191:$I$211,6,0)),0%,VLOOKUP(A132,'Données projet'!$A$191:$I$211,6,0)*VLOOKUP('Données projet'!$B$15,Paramètres!$A$1:$I$88,7,0))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projet'!$B$15,Paramètres!$A$1:$I$88,3,0)*0.475*44/12</f>
        <v>#N/A</v>
      </c>
      <c r="EW132" s="21" t="e">
        <f>EXP(-LN(2)/25)*EW131+(1-EXP(-LN(2)/25))/(LN(2)/25)*Calculateur!ER132*Calculateur!ET132*VLOOKUP('Données projet'!$B$15,Paramètres!$A$1:$I$88,3,0)*0.475*44/12</f>
        <v>#N/A</v>
      </c>
      <c r="EX132" s="21" t="e">
        <f>EXP(-LN(2)/2)*EX131+(1-EXP(-LN(2)/2))/(LN(2)/2)*ER132*EU132*VLOOKUP('Données projet'!$B$15,Paramètres!$A$1:$I$88,3,0)*0.475*44/12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projet'!$B$16,Paramètres!$A$1:$I$88,3,0)*VLOOKUP('Données projet'!$B$16,Paramètres!$A$1:$I$88,5,0)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projet'!$B$16,Paramètres!$A$1:$I$88,7,0))</f>
        <v>0</v>
      </c>
      <c r="FO132" s="16">
        <f>IF(ISNA(VLOOKUP(A132,'Données projet'!$A$217:$I$237,6,0)),0%,VLOOKUP(A132,'Données projet'!$A$217:$I$237,6,0)*VLOOKUP('Données projet'!$B$16,Paramètres!$A$1:$I$88,7,0))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projet'!$B$16,Paramètres!$A$1:$I$88,3,0)*0.475*44/12</f>
        <v>#N/A</v>
      </c>
      <c r="FR132" s="21" t="e">
        <f>EXP(-LN(2)/25)*FR131+(1-EXP(-LN(2)/25))/(LN(2)/25)*Calculateur!FM132*Calculateur!FO132*VLOOKUP('Données projet'!$B$16,Paramètres!$A$1:$I$88,3,0)*0.475*44/12</f>
        <v>#N/A</v>
      </c>
      <c r="FS132" s="21" t="e">
        <f>EXP(-LN(2)/2)*FS131+(1-EXP(-LN(2)/2))/(LN(2)/2)*FM132*FP132*VLOOKUP('Données projet'!$B$16,Paramètres!$A$1:$I$88,3,0)*0.475*44/12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projet'!$B$17,Paramètres!$A$1:$I$88,3,0)*VLOOKUP('Données projet'!$B$17,Paramètres!$A$1:$I$88,5,0)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projet'!$B$17,Paramètres!$A$1:$I$88,7,0))</f>
        <v>0</v>
      </c>
      <c r="GJ132" s="16">
        <f>IF(ISNA(VLOOKUP(A132,'Données projet'!$A$243:$I$263,6,0)),0%,VLOOKUP(A132,'Données projet'!$A$243:$I$263,6,0)*VLOOKUP('Données projet'!$B$17,Paramètres!$A$1:$I$88,7,0))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projet'!$B$17,Paramètres!$A$1:$I$88,3,0)*0.475*44/12</f>
        <v>#N/A</v>
      </c>
      <c r="GM132" s="21" t="e">
        <f>EXP(-LN(2)/25)*GM131+(1-EXP(-LN(2)/25))/(LN(2)/25)*Calculateur!GH132*Calculateur!GJ132*VLOOKUP('Données projet'!$B$17,Paramètres!$A$1:$I$88,3,0)*0.475*44/12</f>
        <v>#N/A</v>
      </c>
      <c r="GN132" s="21" t="e">
        <f>EXP(-LN(2)/2)*GN131+(1-EXP(-LN(2)/2))/(LN(2)/2)*GH132*GK132*VLOOKUP('Données projet'!$B$17,Paramètres!$A$1:$I$88,3,0)*0.475*44/12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projet'!$B$18,Paramètres!$A$1:$I$88,3,0)*VLOOKUP('Données projet'!$B$18,Paramètres!$A$1:$I$88,5,0)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projet'!$B$18,Paramètres!$A$1:$I$88,7,0))</f>
        <v>0</v>
      </c>
      <c r="HE132" s="16">
        <f>IF(ISNA(VLOOKUP(A132,'Données projet'!$A$269:$I$289,6,0)),0%,VLOOKUP(A132,'Données projet'!$A$269:$I$289,6,0)*VLOOKUP('Données projet'!$B$18,Paramètres!$A$1:$I$88,7,0))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projet'!$B$18,Paramètres!$A$1:$I$88,3,0)*0.475*44/12</f>
        <v>#N/A</v>
      </c>
      <c r="HH132" s="21" t="e">
        <f>EXP(-LN(2)/25)*HH131+(1-EXP(-LN(2)/25))/(LN(2)/25)*Calculateur!HC132*Calculateur!HE132*VLOOKUP('Données projet'!$B$18,Paramètres!$A$1:$I$88,3,0)*0.475*44/12</f>
        <v>#N/A</v>
      </c>
      <c r="HI132" s="21" t="e">
        <f>EXP(-LN(2)/2)*HI131+(1-EXP(-LN(2)/2))/(LN(2)/2)*HC132*HF132*VLOOKUP('Données projet'!$B$18,Paramètres!$A$1:$I$88,3,0)*0.475*44/12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projet'!$B$9,Paramètres!$A$1:$I$88,3,0)*VLOOKUP('Données projet'!$B$9,Paramètres!$A$1:$I$88,5,0)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195.73441209602686</v>
      </c>
      <c r="T133" s="59">
        <f t="shared" ref="T133:T196" si="142">$T$3</f>
        <v>219.19129224309006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projet'!$B$9,Paramètres!$A$1:$I$88,7,0))</f>
        <v>0</v>
      </c>
      <c r="X133" s="16">
        <f>IF(ISNA(VLOOKUP(A133,'Données projet'!$A$35:$I$55,6,0)),0%,VLOOKUP(A133,'Données projet'!$A$35:$I$55,6,0)*VLOOKUP('Données projet'!$B$9,Paramètres!$A$1:$I$88,7,0))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projet'!$B$9,Paramètres!$A$1:$I$88,3,0)*0.475*44/12</f>
        <v>2.1049928471618311</v>
      </c>
      <c r="AA133" s="21">
        <f>EXP(-LN(2)/25)*AA132+(1-EXP(-LN(2)/25))/(LN(2)/25)*Calculateur!V133*Calculateur!X133*VLOOKUP('Données projet'!$B$9,Paramètres!$A$1:$I$88,3,0)*0.475*44/12</f>
        <v>0.88485305762753153</v>
      </c>
      <c r="AB133" s="21">
        <f>EXP(-LN(2)/2)*AB132+(1-EXP(-LN(2)/2))/(LN(2)/2)*V133*Y133*VLOOKUP('Données projet'!$B$9,Paramètres!$A$1:$I$88,3,0)*0.475*44/12</f>
        <v>3.5236132445203022E-17</v>
      </c>
      <c r="AC133" s="22">
        <f t="shared" si="111"/>
        <v>2.9898459047893624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-4.5474735088646412E-13</v>
      </c>
      <c r="AJ133" s="13">
        <f>AI133*VLOOKUP('Données projet'!$B$10,Paramètres!$A$1:$I$88,3,0)*VLOOKUP('Données projet'!$B$10,Paramètres!$A$1:$I$88,5,0)</f>
        <v>-2.7193891583010558E-13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246.59447135626942</v>
      </c>
      <c r="AO133" s="59">
        <f t="shared" ref="AO133:AO196" si="144">$AO$3</f>
        <v>262.00382544285367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projet'!$B$10,Paramètres!$A$1:$I$88,7,0))</f>
        <v>0</v>
      </c>
      <c r="AS133" s="16">
        <f>IF(ISNA(VLOOKUP(A133,'Données projet'!$A$61:$I$81,6,0)),0%,VLOOKUP(A133,'Données projet'!$A$61:$I$81,6,0)*VLOOKUP('Données projet'!$B$10,Paramètres!$A$1:$I$88,7,0))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projet'!$B$10,Paramètres!$A$1:$I$88,3,0)*0.475*44/12</f>
        <v>0</v>
      </c>
      <c r="AV133" s="21">
        <f>EXP(-LN(2)/25)*AV132+(1-EXP(-LN(2)/25))/(LN(2)/25)*Calculateur!AQ133*Calculateur!AS133*VLOOKUP('Données projet'!$B$10,Paramètres!$A$1:$I$88,3,0)*0.475*44/12</f>
        <v>0.8030789719906406</v>
      </c>
      <c r="AW133" s="21">
        <f>EXP(-LN(2)/2)*AW132+(1-EXP(-LN(2)/2))/(LN(2)/2)*AQ133*AT133*VLOOKUP('Données projet'!$B$10,Paramètres!$A$1:$I$88,3,0)*0.475*44/12</f>
        <v>2.1075905353224097E-14</v>
      </c>
      <c r="AX133" s="21">
        <f t="shared" si="114"/>
        <v>0.80307897199066169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-5.6843418860808015E-13</v>
      </c>
      <c r="BE133" s="13">
        <f>BD133*VLOOKUP('Données projet'!$B$11,Paramètres!$A$1:$I$88,3,0)*VLOOKUP('Données projet'!$B$11,Paramètres!$A$1:$I$88,5,0)</f>
        <v>-3.177547114319168E-13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355.96253323046608</v>
      </c>
      <c r="BJ133" s="59">
        <f t="shared" ref="BJ133:BJ196" si="146">$BJ$3</f>
        <v>366.8380442809696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projet'!$B$11,Paramètres!$A$1:$I$88,7,0))</f>
        <v>0</v>
      </c>
      <c r="BN133" s="16">
        <f>IF(ISNA(VLOOKUP(A133,'Données projet'!$A$87:$I$107,6,0)),0%,VLOOKUP(A133,'Données projet'!$A$87:$I$107,6,0)*VLOOKUP('Données projet'!$B$11,Paramètres!$A$1:$I$88,7,0))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projet'!$B$11,Paramètres!$A$1:$I$88,3,0)*0.475*44/12</f>
        <v>0</v>
      </c>
      <c r="BQ133" s="21">
        <f>EXP(-LN(2)/25)*BQ132+(1-EXP(-LN(2)/25))/(LN(2)/25)*Calculateur!BL133*Calculateur!BN133*VLOOKUP('Données projet'!$B$11,Paramètres!$A$1:$I$88,3,0)*0.475*44/12</f>
        <v>1.4218623025072741</v>
      </c>
      <c r="BR133" s="21">
        <f>EXP(-LN(2)/2)*BR132+(1-EXP(-LN(2)/2))/(LN(2)/2)*BL133*BO133*VLOOKUP('Données projet'!$B$11,Paramètres!$A$1:$I$88,3,0)*0.475*44/12</f>
        <v>3.2586783820192682E-14</v>
      </c>
      <c r="BS133" s="22">
        <f t="shared" si="117"/>
        <v>1.4218623025073067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projet'!$B$12,Paramètres!$A$1:$I$88,3,0)*VLOOKUP('Données projet'!$B$12,Paramètres!$A$1:$I$88,5,0)</f>
        <v>3.7243808037601412E-14</v>
      </c>
      <c r="CA133" s="13">
        <f t="shared" ref="CA133:CA153" si="147">EXP(-1.0587+0.8836*LN(BZ133)+0.284)</f>
        <v>6.2767589361185393E-13</v>
      </c>
      <c r="CB133" s="20">
        <f t="shared" si="118"/>
        <v>1.1580684803728015E-12</v>
      </c>
      <c r="CC133" s="59">
        <f t="shared" si="119"/>
        <v>293.33333333333445</v>
      </c>
      <c r="CD133" s="59">
        <f ca="1">AVERAGE(OFFSET($CC$3,0,0,'Données projet'!$E$12+1,1))-AVERAGE(OFFSET($H$3,0,0,'Données projet'!$E$12+1,1))</f>
        <v>180.90147430936133</v>
      </c>
      <c r="CE133" s="59">
        <f t="shared" ref="CE133:CE196" si="148">$CE$3</f>
        <v>226.87949199830018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projet'!$B$12,Paramètres!$A$1:$I$88,7,0))</f>
        <v>0</v>
      </c>
      <c r="CI133" s="16">
        <f>IF(ISNA(VLOOKUP(A133,'Données projet'!$A$113:$I$133,6,0)),0%,VLOOKUP(A133,'Données projet'!$A$113:$I$133,6,0)*VLOOKUP('Données projet'!$B$12,Paramètres!$A$1:$I$88,7,0))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projet'!$B$12,Paramètres!$A$1:$I$88,3,0)*0.475*44/12</f>
        <v>0</v>
      </c>
      <c r="CL133" s="21">
        <f>EXP(-LN(2)/25)*CL132+(1-EXP(-LN(2)/25))/(LN(2)/25)*Calculateur!CG133*Calculateur!CI133*VLOOKUP('Données projet'!$B$12,Paramètres!$A$1:$I$88,3,0)*0.475*44/12</f>
        <v>0.42940842359780262</v>
      </c>
      <c r="CM133" s="21">
        <f>EXP(-LN(2)/2)*CM132+(1-EXP(-LN(2)/2))/(LN(2)/2)*CG133*CJ133*VLOOKUP('Données projet'!$B$12,Paramètres!$A$1:$I$88,3,0)*0.475*44/12</f>
        <v>7.8714455871066575E-15</v>
      </c>
      <c r="CN133" s="22">
        <f t="shared" si="120"/>
        <v>0.42940842359781051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5.6843418860808015E-14</v>
      </c>
      <c r="CU133" s="17">
        <f>CT133*VLOOKUP('Données projet'!$B$13,Paramètres!$A$1:$I$88,3,0)*VLOOKUP('Données projet'!$B$13,Paramètres!$A$1:$I$88,5,0)</f>
        <v>2.8908289095852525E-14</v>
      </c>
      <c r="CV133" s="13">
        <f t="shared" ref="CV133:CV153" si="149">EXP(-1.0587+0.8836*LN(CU133)+0.284)</f>
        <v>5.0177780569126974E-13</v>
      </c>
      <c r="CW133" s="20">
        <f t="shared" si="121"/>
        <v>9.2427828175423786E-13</v>
      </c>
      <c r="CX133" s="59">
        <f t="shared" si="122"/>
        <v>293.33333333333422</v>
      </c>
      <c r="CY133" s="59">
        <f ca="1">AVERAGE(OFFSET($CX$3,0,0,'Données projet'!$E$13+1,1))-AVERAGE(OFFSET($H$3,0,0,'Données projet'!$E$13+1,1))</f>
        <v>133.08385802816008</v>
      </c>
      <c r="CZ133" s="59">
        <f t="shared" ref="CZ133:CZ196" si="150">$CZ$3</f>
        <v>316.59112511251385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projet'!$B$13,Paramètres!$A$1:$I$88,7,0))</f>
        <v>0</v>
      </c>
      <c r="DD133" s="16">
        <f>IF(ISNA(VLOOKUP(A133,'Données projet'!$A$139:$I$159,6,0)),0%,VLOOKUP(A133,'Données projet'!$A$139:$I$159,6,0)*VLOOKUP('Données projet'!$B$13,Paramètres!$A$1:$I$88,7,0))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projet'!$B$13,Paramètres!$A$1:$I$88,3,0)*0.475*44/12</f>
        <v>9.9652409364238661</v>
      </c>
      <c r="DG133" s="21">
        <f>EXP(-LN(2)/25)*DG132+(1-EXP(-LN(2)/25))/(LN(2)/25)*Calculateur!DB133*Calculateur!DD133*VLOOKUP('Données projet'!$B$13,Paramètres!$A$1:$I$88,3,0)*0.475*44/12</f>
        <v>0</v>
      </c>
      <c r="DH133" s="21">
        <f>EXP(-LN(2)/2)*DH132+(1-EXP(-LN(2)/2))/(LN(2)/2)*DB133*DE133*VLOOKUP('Données projet'!$B$13,Paramètres!$A$1:$I$88,3,0)*0.475*44/12</f>
        <v>5.0221193395413813E-15</v>
      </c>
      <c r="DI133" s="22">
        <f t="shared" si="123"/>
        <v>9.9652409364238714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projet'!$B$14,Paramètres!$A$1:$I$88,3,0)*VLOOKUP('Données projet'!$B$14,Paramètres!$A$1:$I$88,5,0)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projet'!$B$14,Paramètres!$A$1:$I$88,7,0))</f>
        <v>0</v>
      </c>
      <c r="DY133" s="16">
        <f>IF(ISNA(VLOOKUP(A133,'Données projet'!$A$165:$I$185,6,0)),0%,VLOOKUP(A133,'Données projet'!$A$165:$I$185,6,0)*VLOOKUP('Données projet'!$B$14,Paramètres!$A$1:$I$88,7,0))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projet'!$B$14,Paramètres!$A$1:$I$88,3,0)*0.475*44/12</f>
        <v>#N/A</v>
      </c>
      <c r="EB133" s="21" t="e">
        <f>EXP(-LN(2)/25)*EB132+(1-EXP(-LN(2)/25))/(LN(2)/25)*Calculateur!DW133*Calculateur!DY133*VLOOKUP('Données projet'!$B$14,Paramètres!$A$1:$I$88,3,0)*0.475*44/12</f>
        <v>#N/A</v>
      </c>
      <c r="EC133" s="21" t="e">
        <f>EXP(-LN(2)/2)*EC132+(1-EXP(-LN(2)/2))/(LN(2)/2)*DW133*DZ133*VLOOKUP('Données projet'!$B$14,Paramètres!$A$1:$I$88,3,0)*0.475*44/12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projet'!$B$15,Paramètres!$A$1:$I$88,3,0)*VLOOKUP('Données projet'!$B$15,Paramètres!$A$1:$I$88,5,0)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projet'!$B$15,Paramètres!$A$1:$I$88,7,0))</f>
        <v>0</v>
      </c>
      <c r="ET133" s="16">
        <f>IF(ISNA(VLOOKUP(A133,'Données projet'!$A$191:$I$211,6,0)),0%,VLOOKUP(A133,'Données projet'!$A$191:$I$211,6,0)*VLOOKUP('Données projet'!$B$15,Paramètres!$A$1:$I$88,7,0))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projet'!$B$15,Paramètres!$A$1:$I$88,3,0)*0.475*44/12</f>
        <v>#N/A</v>
      </c>
      <c r="EW133" s="21" t="e">
        <f>EXP(-LN(2)/25)*EW132+(1-EXP(-LN(2)/25))/(LN(2)/25)*Calculateur!ER133*Calculateur!ET133*VLOOKUP('Données projet'!$B$15,Paramètres!$A$1:$I$88,3,0)*0.475*44/12</f>
        <v>#N/A</v>
      </c>
      <c r="EX133" s="21" t="e">
        <f>EXP(-LN(2)/2)*EX132+(1-EXP(-LN(2)/2))/(LN(2)/2)*ER133*EU133*VLOOKUP('Données projet'!$B$15,Paramètres!$A$1:$I$88,3,0)*0.475*44/12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projet'!$B$16,Paramètres!$A$1:$I$88,3,0)*VLOOKUP('Données projet'!$B$16,Paramètres!$A$1:$I$88,5,0)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projet'!$B$16,Paramètres!$A$1:$I$88,7,0))</f>
        <v>0</v>
      </c>
      <c r="FO133" s="16">
        <f>IF(ISNA(VLOOKUP(A133,'Données projet'!$A$217:$I$237,6,0)),0%,VLOOKUP(A133,'Données projet'!$A$217:$I$237,6,0)*VLOOKUP('Données projet'!$B$16,Paramètres!$A$1:$I$88,7,0))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projet'!$B$16,Paramètres!$A$1:$I$88,3,0)*0.475*44/12</f>
        <v>#N/A</v>
      </c>
      <c r="FR133" s="21" t="e">
        <f>EXP(-LN(2)/25)*FR132+(1-EXP(-LN(2)/25))/(LN(2)/25)*Calculateur!FM133*Calculateur!FO133*VLOOKUP('Données projet'!$B$16,Paramètres!$A$1:$I$88,3,0)*0.475*44/12</f>
        <v>#N/A</v>
      </c>
      <c r="FS133" s="21" t="e">
        <f>EXP(-LN(2)/2)*FS132+(1-EXP(-LN(2)/2))/(LN(2)/2)*FM133*FP133*VLOOKUP('Données projet'!$B$16,Paramètres!$A$1:$I$88,3,0)*0.475*44/12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projet'!$B$17,Paramètres!$A$1:$I$88,3,0)*VLOOKUP('Données projet'!$B$17,Paramètres!$A$1:$I$88,5,0)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projet'!$B$17,Paramètres!$A$1:$I$88,7,0))</f>
        <v>0</v>
      </c>
      <c r="GJ133" s="16">
        <f>IF(ISNA(VLOOKUP(A133,'Données projet'!$A$243:$I$263,6,0)),0%,VLOOKUP(A133,'Données projet'!$A$243:$I$263,6,0)*VLOOKUP('Données projet'!$B$17,Paramètres!$A$1:$I$88,7,0))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projet'!$B$17,Paramètres!$A$1:$I$88,3,0)*0.475*44/12</f>
        <v>#N/A</v>
      </c>
      <c r="GM133" s="21" t="e">
        <f>EXP(-LN(2)/25)*GM132+(1-EXP(-LN(2)/25))/(LN(2)/25)*Calculateur!GH133*Calculateur!GJ133*VLOOKUP('Données projet'!$B$17,Paramètres!$A$1:$I$88,3,0)*0.475*44/12</f>
        <v>#N/A</v>
      </c>
      <c r="GN133" s="21" t="e">
        <f>EXP(-LN(2)/2)*GN132+(1-EXP(-LN(2)/2))/(LN(2)/2)*GH133*GK133*VLOOKUP('Données projet'!$B$17,Paramètres!$A$1:$I$88,3,0)*0.475*44/12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projet'!$B$18,Paramètres!$A$1:$I$88,3,0)*VLOOKUP('Données projet'!$B$18,Paramètres!$A$1:$I$88,5,0)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projet'!$B$18,Paramètres!$A$1:$I$88,7,0))</f>
        <v>0</v>
      </c>
      <c r="HE133" s="16">
        <f>IF(ISNA(VLOOKUP(A133,'Données projet'!$A$269:$I$289,6,0)),0%,VLOOKUP(A133,'Données projet'!$A$269:$I$289,6,0)*VLOOKUP('Données projet'!$B$18,Paramètres!$A$1:$I$88,7,0))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projet'!$B$18,Paramètres!$A$1:$I$88,3,0)*0.475*44/12</f>
        <v>#N/A</v>
      </c>
      <c r="HH133" s="21" t="e">
        <f>EXP(-LN(2)/25)*HH132+(1-EXP(-LN(2)/25))/(LN(2)/25)*Calculateur!HC133*Calculateur!HE133*VLOOKUP('Données projet'!$B$18,Paramètres!$A$1:$I$88,3,0)*0.475*44/12</f>
        <v>#N/A</v>
      </c>
      <c r="HI133" s="21" t="e">
        <f>EXP(-LN(2)/2)*HI132+(1-EXP(-LN(2)/2))/(LN(2)/2)*HC133*HF133*VLOOKUP('Données projet'!$B$18,Paramètres!$A$1:$I$88,3,0)*0.475*44/12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projet'!$B$9,Paramètres!$A$1:$I$88,3,0)*VLOOKUP('Données projet'!$B$9,Paramètres!$A$1:$I$88,5,0)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195.73441209602686</v>
      </c>
      <c r="T134" s="59">
        <f t="shared" si="142"/>
        <v>219.19129224309006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projet'!$B$9,Paramètres!$A$1:$I$88,7,0))</f>
        <v>0</v>
      </c>
      <c r="X134" s="16">
        <f>IF(ISNA(VLOOKUP(A134,'Données projet'!$A$35:$I$55,6,0)),0%,VLOOKUP(A134,'Données projet'!$A$35:$I$55,6,0)*VLOOKUP('Données projet'!$B$9,Paramètres!$A$1:$I$88,7,0))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projet'!$B$9,Paramètres!$A$1:$I$88,3,0)*0.475*44/12</f>
        <v>2.0637152213478478</v>
      </c>
      <c r="AA134" s="21">
        <f>EXP(-LN(2)/25)*AA133+(1-EXP(-LN(2)/25))/(LN(2)/25)*Calculateur!V134*Calculateur!X134*VLOOKUP('Données projet'!$B$9,Paramètres!$A$1:$I$88,3,0)*0.475*44/12</f>
        <v>0.86065670423430674</v>
      </c>
      <c r="AB134" s="21">
        <f>EXP(-LN(2)/2)*AB133+(1-EXP(-LN(2)/2))/(LN(2)/2)*V134*Y134*VLOOKUP('Données projet'!$B$9,Paramètres!$A$1:$I$88,3,0)*0.475*44/12</f>
        <v>2.4915708194790382E-17</v>
      </c>
      <c r="AC134" s="22">
        <f t="shared" si="111"/>
        <v>2.9243719255821548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-4.5474735088646412E-13</v>
      </c>
      <c r="AJ134" s="13">
        <f>AI134*VLOOKUP('Données projet'!$B$10,Paramètres!$A$1:$I$88,3,0)*VLOOKUP('Données projet'!$B$10,Paramètres!$A$1:$I$88,5,0)</f>
        <v>-2.7193891583010558E-13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246.59447135626942</v>
      </c>
      <c r="AO134" s="59">
        <f t="shared" si="144"/>
        <v>262.00382544285367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projet'!$B$10,Paramètres!$A$1:$I$88,7,0))</f>
        <v>0</v>
      </c>
      <c r="AS134" s="16">
        <f>IF(ISNA(VLOOKUP(A134,'Données projet'!$A$61:$I$81,6,0)),0%,VLOOKUP(A134,'Données projet'!$A$61:$I$81,6,0)*VLOOKUP('Données projet'!$B$10,Paramètres!$A$1:$I$88,7,0))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projet'!$B$10,Paramètres!$A$1:$I$88,3,0)*0.475*44/12</f>
        <v>0</v>
      </c>
      <c r="AV134" s="21">
        <f>EXP(-LN(2)/25)*AV133+(1-EXP(-LN(2)/25))/(LN(2)/25)*Calculateur!AQ134*Calculateur!AS134*VLOOKUP('Données projet'!$B$10,Paramètres!$A$1:$I$88,3,0)*0.475*44/12</f>
        <v>0.78111873526946884</v>
      </c>
      <c r="AW134" s="21">
        <f>EXP(-LN(2)/2)*AW133+(1-EXP(-LN(2)/2))/(LN(2)/2)*AQ134*AT134*VLOOKUP('Données projet'!$B$10,Paramètres!$A$1:$I$88,3,0)*0.475*44/12</f>
        <v>1.4902915594910617E-14</v>
      </c>
      <c r="AX134" s="21">
        <f t="shared" si="114"/>
        <v>0.78111873526948372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-5.6843418860808015E-13</v>
      </c>
      <c r="BE134" s="13">
        <f>BD134*VLOOKUP('Données projet'!$B$11,Paramètres!$A$1:$I$88,3,0)*VLOOKUP('Données projet'!$B$11,Paramètres!$A$1:$I$88,5,0)</f>
        <v>-3.177547114319168E-13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355.96253323046608</v>
      </c>
      <c r="BJ134" s="59">
        <f t="shared" si="146"/>
        <v>366.8380442809696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projet'!$B$11,Paramètres!$A$1:$I$88,7,0))</f>
        <v>0</v>
      </c>
      <c r="BN134" s="16">
        <f>IF(ISNA(VLOOKUP(A134,'Données projet'!$A$87:$I$107,6,0)),0%,VLOOKUP(A134,'Données projet'!$A$87:$I$107,6,0)*VLOOKUP('Données projet'!$B$11,Paramètres!$A$1:$I$88,7,0))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projet'!$B$11,Paramètres!$A$1:$I$88,3,0)*0.475*44/12</f>
        <v>0</v>
      </c>
      <c r="BQ134" s="21">
        <f>EXP(-LN(2)/25)*BQ133+(1-EXP(-LN(2)/25))/(LN(2)/25)*Calculateur!BL134*Calculateur!BN134*VLOOKUP('Données projet'!$B$11,Paramètres!$A$1:$I$88,3,0)*0.475*44/12</f>
        <v>1.3829814030727239</v>
      </c>
      <c r="BR134" s="21">
        <f>EXP(-LN(2)/2)*BR133+(1-EXP(-LN(2)/2))/(LN(2)/2)*BL134*BO134*VLOOKUP('Données projet'!$B$11,Paramètres!$A$1:$I$88,3,0)*0.475*44/12</f>
        <v>2.3042335816318315E-14</v>
      </c>
      <c r="BS134" s="22">
        <f t="shared" si="117"/>
        <v>1.382981403072747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projet'!$B$12,Paramètres!$A$1:$I$88,3,0)*VLOOKUP('Données projet'!$B$12,Paramètres!$A$1:$I$88,5,0)</f>
        <v>3.7243808037601412E-14</v>
      </c>
      <c r="CA134" s="13">
        <f t="shared" si="147"/>
        <v>6.2767589361185393E-13</v>
      </c>
      <c r="CB134" s="20">
        <f t="shared" si="118"/>
        <v>1.1580684803728015E-12</v>
      </c>
      <c r="CC134" s="59">
        <f t="shared" si="119"/>
        <v>293.33333333333445</v>
      </c>
      <c r="CD134" s="59">
        <f ca="1">AVERAGE(OFFSET($CC$3,0,0,'Données projet'!$E$12+1,1))-AVERAGE(OFFSET($H$3,0,0,'Données projet'!$E$12+1,1))</f>
        <v>180.90147430936133</v>
      </c>
      <c r="CE134" s="59">
        <f t="shared" si="148"/>
        <v>226.87949199830018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projet'!$B$12,Paramètres!$A$1:$I$88,7,0))</f>
        <v>0</v>
      </c>
      <c r="CI134" s="16">
        <f>IF(ISNA(VLOOKUP(A134,'Données projet'!$A$113:$I$133,6,0)),0%,VLOOKUP(A134,'Données projet'!$A$113:$I$133,6,0)*VLOOKUP('Données projet'!$B$12,Paramètres!$A$1:$I$88,7,0))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projet'!$B$12,Paramètres!$A$1:$I$88,3,0)*0.475*44/12</f>
        <v>0</v>
      </c>
      <c r="CL134" s="21">
        <f>EXP(-LN(2)/25)*CL133+(1-EXP(-LN(2)/25))/(LN(2)/25)*Calculateur!CG134*Calculateur!CI134*VLOOKUP('Données projet'!$B$12,Paramètres!$A$1:$I$88,3,0)*0.475*44/12</f>
        <v>0.41766622767291312</v>
      </c>
      <c r="CM134" s="21">
        <f>EXP(-LN(2)/2)*CM133+(1-EXP(-LN(2)/2))/(LN(2)/2)*CG134*CJ134*VLOOKUP('Données projet'!$B$12,Paramètres!$A$1:$I$88,3,0)*0.475*44/12</f>
        <v>5.5659525523840426E-15</v>
      </c>
      <c r="CN134" s="22">
        <f t="shared" si="120"/>
        <v>0.41766622767291867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5.6843418860808015E-14</v>
      </c>
      <c r="CU134" s="17">
        <f>CT134*VLOOKUP('Données projet'!$B$13,Paramètres!$A$1:$I$88,3,0)*VLOOKUP('Données projet'!$B$13,Paramètres!$A$1:$I$88,5,0)</f>
        <v>2.8908289095852525E-14</v>
      </c>
      <c r="CV134" s="13">
        <f t="shared" si="149"/>
        <v>5.0177780569126974E-13</v>
      </c>
      <c r="CW134" s="20">
        <f t="shared" si="121"/>
        <v>9.2427828175423786E-13</v>
      </c>
      <c r="CX134" s="59">
        <f t="shared" si="122"/>
        <v>293.33333333333422</v>
      </c>
      <c r="CY134" s="59">
        <f ca="1">AVERAGE(OFFSET($CX$3,0,0,'Données projet'!$E$13+1,1))-AVERAGE(OFFSET($H$3,0,0,'Données projet'!$E$13+1,1))</f>
        <v>133.08385802816008</v>
      </c>
      <c r="CZ134" s="59">
        <f t="shared" si="150"/>
        <v>316.59112511251385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projet'!$B$13,Paramètres!$A$1:$I$88,7,0))</f>
        <v>0</v>
      </c>
      <c r="DD134" s="16">
        <f>IF(ISNA(VLOOKUP(A134,'Données projet'!$A$139:$I$159,6,0)),0%,VLOOKUP(A134,'Données projet'!$A$139:$I$159,6,0)*VLOOKUP('Données projet'!$B$13,Paramètres!$A$1:$I$88,7,0))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projet'!$B$13,Paramètres!$A$1:$I$88,3,0)*0.475*44/12</f>
        <v>9.7698286398573924</v>
      </c>
      <c r="DG134" s="21">
        <f>EXP(-LN(2)/25)*DG133+(1-EXP(-LN(2)/25))/(LN(2)/25)*Calculateur!DB134*Calculateur!DD134*VLOOKUP('Données projet'!$B$13,Paramètres!$A$1:$I$88,3,0)*0.475*44/12</f>
        <v>0</v>
      </c>
      <c r="DH134" s="21">
        <f>EXP(-LN(2)/2)*DH133+(1-EXP(-LN(2)/2))/(LN(2)/2)*DB134*DE134*VLOOKUP('Données projet'!$B$13,Paramètres!$A$1:$I$88,3,0)*0.475*44/12</f>
        <v>3.5511746409178164E-15</v>
      </c>
      <c r="DI134" s="22">
        <f t="shared" si="123"/>
        <v>9.7698286398573959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projet'!$B$14,Paramètres!$A$1:$I$88,3,0)*VLOOKUP('Données projet'!$B$14,Paramètres!$A$1:$I$88,5,0)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projet'!$B$14,Paramètres!$A$1:$I$88,7,0))</f>
        <v>0</v>
      </c>
      <c r="DY134" s="16">
        <f>IF(ISNA(VLOOKUP(A134,'Données projet'!$A$165:$I$185,6,0)),0%,VLOOKUP(A134,'Données projet'!$A$165:$I$185,6,0)*VLOOKUP('Données projet'!$B$14,Paramètres!$A$1:$I$88,7,0))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projet'!$B$14,Paramètres!$A$1:$I$88,3,0)*0.475*44/12</f>
        <v>#N/A</v>
      </c>
      <c r="EB134" s="21" t="e">
        <f>EXP(-LN(2)/25)*EB133+(1-EXP(-LN(2)/25))/(LN(2)/25)*Calculateur!DW134*Calculateur!DY134*VLOOKUP('Données projet'!$B$14,Paramètres!$A$1:$I$88,3,0)*0.475*44/12</f>
        <v>#N/A</v>
      </c>
      <c r="EC134" s="21" t="e">
        <f>EXP(-LN(2)/2)*EC133+(1-EXP(-LN(2)/2))/(LN(2)/2)*DW134*DZ134*VLOOKUP('Données projet'!$B$14,Paramètres!$A$1:$I$88,3,0)*0.475*44/12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projet'!$B$15,Paramètres!$A$1:$I$88,3,0)*VLOOKUP('Données projet'!$B$15,Paramètres!$A$1:$I$88,5,0)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projet'!$B$15,Paramètres!$A$1:$I$88,7,0))</f>
        <v>0</v>
      </c>
      <c r="ET134" s="16">
        <f>IF(ISNA(VLOOKUP(A134,'Données projet'!$A$191:$I$211,6,0)),0%,VLOOKUP(A134,'Données projet'!$A$191:$I$211,6,0)*VLOOKUP('Données projet'!$B$15,Paramètres!$A$1:$I$88,7,0))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projet'!$B$15,Paramètres!$A$1:$I$88,3,0)*0.475*44/12</f>
        <v>#N/A</v>
      </c>
      <c r="EW134" s="21" t="e">
        <f>EXP(-LN(2)/25)*EW133+(1-EXP(-LN(2)/25))/(LN(2)/25)*Calculateur!ER134*Calculateur!ET134*VLOOKUP('Données projet'!$B$15,Paramètres!$A$1:$I$88,3,0)*0.475*44/12</f>
        <v>#N/A</v>
      </c>
      <c r="EX134" s="21" t="e">
        <f>EXP(-LN(2)/2)*EX133+(1-EXP(-LN(2)/2))/(LN(2)/2)*ER134*EU134*VLOOKUP('Données projet'!$B$15,Paramètres!$A$1:$I$88,3,0)*0.475*44/12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projet'!$B$16,Paramètres!$A$1:$I$88,3,0)*VLOOKUP('Données projet'!$B$16,Paramètres!$A$1:$I$88,5,0)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projet'!$B$16,Paramètres!$A$1:$I$88,7,0))</f>
        <v>0</v>
      </c>
      <c r="FO134" s="16">
        <f>IF(ISNA(VLOOKUP(A134,'Données projet'!$A$217:$I$237,6,0)),0%,VLOOKUP(A134,'Données projet'!$A$217:$I$237,6,0)*VLOOKUP('Données projet'!$B$16,Paramètres!$A$1:$I$88,7,0))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projet'!$B$16,Paramètres!$A$1:$I$88,3,0)*0.475*44/12</f>
        <v>#N/A</v>
      </c>
      <c r="FR134" s="21" t="e">
        <f>EXP(-LN(2)/25)*FR133+(1-EXP(-LN(2)/25))/(LN(2)/25)*Calculateur!FM134*Calculateur!FO134*VLOOKUP('Données projet'!$B$16,Paramètres!$A$1:$I$88,3,0)*0.475*44/12</f>
        <v>#N/A</v>
      </c>
      <c r="FS134" s="21" t="e">
        <f>EXP(-LN(2)/2)*FS133+(1-EXP(-LN(2)/2))/(LN(2)/2)*FM134*FP134*VLOOKUP('Données projet'!$B$16,Paramètres!$A$1:$I$88,3,0)*0.475*44/12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projet'!$B$17,Paramètres!$A$1:$I$88,3,0)*VLOOKUP('Données projet'!$B$17,Paramètres!$A$1:$I$88,5,0)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projet'!$B$17,Paramètres!$A$1:$I$88,7,0))</f>
        <v>0</v>
      </c>
      <c r="GJ134" s="16">
        <f>IF(ISNA(VLOOKUP(A134,'Données projet'!$A$243:$I$263,6,0)),0%,VLOOKUP(A134,'Données projet'!$A$243:$I$263,6,0)*VLOOKUP('Données projet'!$B$17,Paramètres!$A$1:$I$88,7,0))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projet'!$B$17,Paramètres!$A$1:$I$88,3,0)*0.475*44/12</f>
        <v>#N/A</v>
      </c>
      <c r="GM134" s="21" t="e">
        <f>EXP(-LN(2)/25)*GM133+(1-EXP(-LN(2)/25))/(LN(2)/25)*Calculateur!GH134*Calculateur!GJ134*VLOOKUP('Données projet'!$B$17,Paramètres!$A$1:$I$88,3,0)*0.475*44/12</f>
        <v>#N/A</v>
      </c>
      <c r="GN134" s="21" t="e">
        <f>EXP(-LN(2)/2)*GN133+(1-EXP(-LN(2)/2))/(LN(2)/2)*GH134*GK134*VLOOKUP('Données projet'!$B$17,Paramètres!$A$1:$I$88,3,0)*0.475*44/12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projet'!$B$18,Paramètres!$A$1:$I$88,3,0)*VLOOKUP('Données projet'!$B$18,Paramètres!$A$1:$I$88,5,0)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projet'!$B$18,Paramètres!$A$1:$I$88,7,0))</f>
        <v>0</v>
      </c>
      <c r="HE134" s="16">
        <f>IF(ISNA(VLOOKUP(A134,'Données projet'!$A$269:$I$289,6,0)),0%,VLOOKUP(A134,'Données projet'!$A$269:$I$289,6,0)*VLOOKUP('Données projet'!$B$18,Paramètres!$A$1:$I$88,7,0))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projet'!$B$18,Paramètres!$A$1:$I$88,3,0)*0.475*44/12</f>
        <v>#N/A</v>
      </c>
      <c r="HH134" s="21" t="e">
        <f>EXP(-LN(2)/25)*HH133+(1-EXP(-LN(2)/25))/(LN(2)/25)*Calculateur!HC134*Calculateur!HE134*VLOOKUP('Données projet'!$B$18,Paramètres!$A$1:$I$88,3,0)*0.475*44/12</f>
        <v>#N/A</v>
      </c>
      <c r="HI134" s="21" t="e">
        <f>EXP(-LN(2)/2)*HI133+(1-EXP(-LN(2)/2))/(LN(2)/2)*HC134*HF134*VLOOKUP('Données projet'!$B$18,Paramètres!$A$1:$I$88,3,0)*0.475*44/12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projet'!$B$9,Paramètres!$A$1:$I$88,3,0)*VLOOKUP('Données projet'!$B$9,Paramètres!$A$1:$I$88,5,0)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195.73441209602686</v>
      </c>
      <c r="T135" s="59">
        <f t="shared" si="142"/>
        <v>219.19129224309006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projet'!$B$9,Paramètres!$A$1:$I$88,7,0))</f>
        <v>0</v>
      </c>
      <c r="X135" s="16">
        <f>IF(ISNA(VLOOKUP(A135,'Données projet'!$A$35:$I$55,6,0)),0%,VLOOKUP(A135,'Données projet'!$A$35:$I$55,6,0)*VLOOKUP('Données projet'!$B$9,Paramètres!$A$1:$I$88,7,0))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projet'!$B$9,Paramètres!$A$1:$I$88,3,0)*0.475*44/12</f>
        <v>2.0232470245992111</v>
      </c>
      <c r="AA135" s="21">
        <f>EXP(-LN(2)/25)*AA134+(1-EXP(-LN(2)/25))/(LN(2)/25)*Calculateur!V135*Calculateur!X135*VLOOKUP('Données projet'!$B$9,Paramètres!$A$1:$I$88,3,0)*0.475*44/12</f>
        <v>0.83712200139705062</v>
      </c>
      <c r="AB135" s="21">
        <f>EXP(-LN(2)/2)*AB134+(1-EXP(-LN(2)/2))/(LN(2)/2)*V135*Y135*VLOOKUP('Données projet'!$B$9,Paramètres!$A$1:$I$88,3,0)*0.475*44/12</f>
        <v>1.7618066222601511E-17</v>
      </c>
      <c r="AC135" s="22">
        <f t="shared" si="111"/>
        <v>2.8603690259962615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-4.5474735088646412E-13</v>
      </c>
      <c r="AJ135" s="13">
        <f>AI135*VLOOKUP('Données projet'!$B$10,Paramètres!$A$1:$I$88,3,0)*VLOOKUP('Données projet'!$B$10,Paramètres!$A$1:$I$88,5,0)</f>
        <v>-2.7193891583010558E-13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246.59447135626942</v>
      </c>
      <c r="AO135" s="59">
        <f t="shared" si="144"/>
        <v>262.00382544285367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projet'!$B$10,Paramètres!$A$1:$I$88,7,0))</f>
        <v>0</v>
      </c>
      <c r="AS135" s="16">
        <f>IF(ISNA(VLOOKUP(A135,'Données projet'!$A$61:$I$81,6,0)),0%,VLOOKUP(A135,'Données projet'!$A$61:$I$81,6,0)*VLOOKUP('Données projet'!$B$10,Paramètres!$A$1:$I$88,7,0))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projet'!$B$10,Paramètres!$A$1:$I$88,3,0)*0.475*44/12</f>
        <v>0</v>
      </c>
      <c r="AV135" s="21">
        <f>EXP(-LN(2)/25)*AV134+(1-EXP(-LN(2)/25))/(LN(2)/25)*Calculateur!AQ135*Calculateur!AS135*VLOOKUP('Données projet'!$B$10,Paramètres!$A$1:$I$88,3,0)*0.475*44/12</f>
        <v>0.75975900237627625</v>
      </c>
      <c r="AW135" s="21">
        <f>EXP(-LN(2)/2)*AW134+(1-EXP(-LN(2)/2))/(LN(2)/2)*AQ135*AT135*VLOOKUP('Données projet'!$B$10,Paramètres!$A$1:$I$88,3,0)*0.475*44/12</f>
        <v>1.0537952676612049E-14</v>
      </c>
      <c r="AX135" s="21">
        <f t="shared" si="114"/>
        <v>0.7597590023762868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-5.6843418860808015E-13</v>
      </c>
      <c r="BE135" s="13">
        <f>BD135*VLOOKUP('Données projet'!$B$11,Paramètres!$A$1:$I$88,3,0)*VLOOKUP('Données projet'!$B$11,Paramètres!$A$1:$I$88,5,0)</f>
        <v>-3.177547114319168E-13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355.96253323046608</v>
      </c>
      <c r="BJ135" s="59">
        <f t="shared" si="146"/>
        <v>366.8380442809696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projet'!$B$11,Paramètres!$A$1:$I$88,7,0))</f>
        <v>0</v>
      </c>
      <c r="BN135" s="16">
        <f>IF(ISNA(VLOOKUP(A135,'Données projet'!$A$87:$I$107,6,0)),0%,VLOOKUP(A135,'Données projet'!$A$87:$I$107,6,0)*VLOOKUP('Données projet'!$B$11,Paramètres!$A$1:$I$88,7,0))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projet'!$B$11,Paramètres!$A$1:$I$88,3,0)*0.475*44/12</f>
        <v>0</v>
      </c>
      <c r="BQ135" s="21">
        <f>EXP(-LN(2)/25)*BQ134+(1-EXP(-LN(2)/25))/(LN(2)/25)*Calculateur!BL135*Calculateur!BN135*VLOOKUP('Données projet'!$B$11,Paramètres!$A$1:$I$88,3,0)*0.475*44/12</f>
        <v>1.3451637038778692</v>
      </c>
      <c r="BR135" s="21">
        <f>EXP(-LN(2)/2)*BR134+(1-EXP(-LN(2)/2))/(LN(2)/2)*BL135*BO135*VLOOKUP('Données projet'!$B$11,Paramètres!$A$1:$I$88,3,0)*0.475*44/12</f>
        <v>1.6293391910096341E-14</v>
      </c>
      <c r="BS135" s="22">
        <f t="shared" si="117"/>
        <v>1.3451637038778854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projet'!$B$12,Paramètres!$A$1:$I$88,3,0)*VLOOKUP('Données projet'!$B$12,Paramètres!$A$1:$I$88,5,0)</f>
        <v>3.7243808037601412E-14</v>
      </c>
      <c r="CA135" s="13">
        <f t="shared" si="147"/>
        <v>6.2767589361185393E-13</v>
      </c>
      <c r="CB135" s="20">
        <f t="shared" si="118"/>
        <v>1.1580684803728015E-12</v>
      </c>
      <c r="CC135" s="59">
        <f t="shared" si="119"/>
        <v>293.33333333333445</v>
      </c>
      <c r="CD135" s="59">
        <f ca="1">AVERAGE(OFFSET($CC$3,0,0,'Données projet'!$E$12+1,1))-AVERAGE(OFFSET($H$3,0,0,'Données projet'!$E$12+1,1))</f>
        <v>180.90147430936133</v>
      </c>
      <c r="CE135" s="59">
        <f t="shared" si="148"/>
        <v>226.87949199830018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projet'!$B$12,Paramètres!$A$1:$I$88,7,0))</f>
        <v>0</v>
      </c>
      <c r="CI135" s="16">
        <f>IF(ISNA(VLOOKUP(A135,'Données projet'!$A$113:$I$133,6,0)),0%,VLOOKUP(A135,'Données projet'!$A$113:$I$133,6,0)*VLOOKUP('Données projet'!$B$12,Paramètres!$A$1:$I$88,7,0))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projet'!$B$12,Paramètres!$A$1:$I$88,3,0)*0.475*44/12</f>
        <v>0</v>
      </c>
      <c r="CL135" s="21">
        <f>EXP(-LN(2)/25)*CL134+(1-EXP(-LN(2)/25))/(LN(2)/25)*Calculateur!CG135*Calculateur!CI135*VLOOKUP('Données projet'!$B$12,Paramètres!$A$1:$I$88,3,0)*0.475*44/12</f>
        <v>0.40624512271308499</v>
      </c>
      <c r="CM135" s="21">
        <f>EXP(-LN(2)/2)*CM134+(1-EXP(-LN(2)/2))/(LN(2)/2)*CG135*CJ135*VLOOKUP('Données projet'!$B$12,Paramètres!$A$1:$I$88,3,0)*0.475*44/12</f>
        <v>3.9357227935533288E-15</v>
      </c>
      <c r="CN135" s="22">
        <f t="shared" si="120"/>
        <v>0.40624512271308894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5.6843418860808015E-14</v>
      </c>
      <c r="CU135" s="17">
        <f>CT135*VLOOKUP('Données projet'!$B$13,Paramètres!$A$1:$I$88,3,0)*VLOOKUP('Données projet'!$B$13,Paramètres!$A$1:$I$88,5,0)</f>
        <v>2.8908289095852525E-14</v>
      </c>
      <c r="CV135" s="13">
        <f t="shared" si="149"/>
        <v>5.0177780569126974E-13</v>
      </c>
      <c r="CW135" s="20">
        <f t="shared" si="121"/>
        <v>9.2427828175423786E-13</v>
      </c>
      <c r="CX135" s="59">
        <f t="shared" si="122"/>
        <v>293.33333333333422</v>
      </c>
      <c r="CY135" s="59">
        <f ca="1">AVERAGE(OFFSET($CX$3,0,0,'Données projet'!$E$13+1,1))-AVERAGE(OFFSET($H$3,0,0,'Données projet'!$E$13+1,1))</f>
        <v>133.08385802816008</v>
      </c>
      <c r="CZ135" s="59">
        <f t="shared" si="150"/>
        <v>316.59112511251385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projet'!$B$13,Paramètres!$A$1:$I$88,7,0))</f>
        <v>0</v>
      </c>
      <c r="DD135" s="16">
        <f>IF(ISNA(VLOOKUP(A135,'Données projet'!$A$139:$I$159,6,0)),0%,VLOOKUP(A135,'Données projet'!$A$139:$I$159,6,0)*VLOOKUP('Données projet'!$B$13,Paramètres!$A$1:$I$88,7,0))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projet'!$B$13,Paramètres!$A$1:$I$88,3,0)*0.475*44/12</f>
        <v>9.5782482592368563</v>
      </c>
      <c r="DG135" s="21">
        <f>EXP(-LN(2)/25)*DG134+(1-EXP(-LN(2)/25))/(LN(2)/25)*Calculateur!DB135*Calculateur!DD135*VLOOKUP('Données projet'!$B$13,Paramètres!$A$1:$I$88,3,0)*0.475*44/12</f>
        <v>0</v>
      </c>
      <c r="DH135" s="21">
        <f>EXP(-LN(2)/2)*DH134+(1-EXP(-LN(2)/2))/(LN(2)/2)*DB135*DE135*VLOOKUP('Données projet'!$B$13,Paramètres!$A$1:$I$88,3,0)*0.475*44/12</f>
        <v>2.511059669770691E-15</v>
      </c>
      <c r="DI135" s="22">
        <f t="shared" si="123"/>
        <v>9.5782482592368581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projet'!$B$14,Paramètres!$A$1:$I$88,3,0)*VLOOKUP('Données projet'!$B$14,Paramètres!$A$1:$I$88,5,0)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projet'!$B$14,Paramètres!$A$1:$I$88,7,0))</f>
        <v>0</v>
      </c>
      <c r="DY135" s="16">
        <f>IF(ISNA(VLOOKUP(A135,'Données projet'!$A$165:$I$185,6,0)),0%,VLOOKUP(A135,'Données projet'!$A$165:$I$185,6,0)*VLOOKUP('Données projet'!$B$14,Paramètres!$A$1:$I$88,7,0))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projet'!$B$14,Paramètres!$A$1:$I$88,3,0)*0.475*44/12</f>
        <v>#N/A</v>
      </c>
      <c r="EB135" s="21" t="e">
        <f>EXP(-LN(2)/25)*EB134+(1-EXP(-LN(2)/25))/(LN(2)/25)*Calculateur!DW135*Calculateur!DY135*VLOOKUP('Données projet'!$B$14,Paramètres!$A$1:$I$88,3,0)*0.475*44/12</f>
        <v>#N/A</v>
      </c>
      <c r="EC135" s="21" t="e">
        <f>EXP(-LN(2)/2)*EC134+(1-EXP(-LN(2)/2))/(LN(2)/2)*DW135*DZ135*VLOOKUP('Données projet'!$B$14,Paramètres!$A$1:$I$88,3,0)*0.475*44/12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projet'!$B$15,Paramètres!$A$1:$I$88,3,0)*VLOOKUP('Données projet'!$B$15,Paramètres!$A$1:$I$88,5,0)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projet'!$B$15,Paramètres!$A$1:$I$88,7,0))</f>
        <v>0</v>
      </c>
      <c r="ET135" s="16">
        <f>IF(ISNA(VLOOKUP(A135,'Données projet'!$A$191:$I$211,6,0)),0%,VLOOKUP(A135,'Données projet'!$A$191:$I$211,6,0)*VLOOKUP('Données projet'!$B$15,Paramètres!$A$1:$I$88,7,0))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projet'!$B$15,Paramètres!$A$1:$I$88,3,0)*0.475*44/12</f>
        <v>#N/A</v>
      </c>
      <c r="EW135" s="21" t="e">
        <f>EXP(-LN(2)/25)*EW134+(1-EXP(-LN(2)/25))/(LN(2)/25)*Calculateur!ER135*Calculateur!ET135*VLOOKUP('Données projet'!$B$15,Paramètres!$A$1:$I$88,3,0)*0.475*44/12</f>
        <v>#N/A</v>
      </c>
      <c r="EX135" s="21" t="e">
        <f>EXP(-LN(2)/2)*EX134+(1-EXP(-LN(2)/2))/(LN(2)/2)*ER135*EU135*VLOOKUP('Données projet'!$B$15,Paramètres!$A$1:$I$88,3,0)*0.475*44/12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projet'!$B$16,Paramètres!$A$1:$I$88,3,0)*VLOOKUP('Données projet'!$B$16,Paramètres!$A$1:$I$88,5,0)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projet'!$B$16,Paramètres!$A$1:$I$88,7,0))</f>
        <v>0</v>
      </c>
      <c r="FO135" s="16">
        <f>IF(ISNA(VLOOKUP(A135,'Données projet'!$A$217:$I$237,6,0)),0%,VLOOKUP(A135,'Données projet'!$A$217:$I$237,6,0)*VLOOKUP('Données projet'!$B$16,Paramètres!$A$1:$I$88,7,0))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projet'!$B$16,Paramètres!$A$1:$I$88,3,0)*0.475*44/12</f>
        <v>#N/A</v>
      </c>
      <c r="FR135" s="21" t="e">
        <f>EXP(-LN(2)/25)*FR134+(1-EXP(-LN(2)/25))/(LN(2)/25)*Calculateur!FM135*Calculateur!FO135*VLOOKUP('Données projet'!$B$16,Paramètres!$A$1:$I$88,3,0)*0.475*44/12</f>
        <v>#N/A</v>
      </c>
      <c r="FS135" s="21" t="e">
        <f>EXP(-LN(2)/2)*FS134+(1-EXP(-LN(2)/2))/(LN(2)/2)*FM135*FP135*VLOOKUP('Données projet'!$B$16,Paramètres!$A$1:$I$88,3,0)*0.475*44/12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projet'!$B$17,Paramètres!$A$1:$I$88,3,0)*VLOOKUP('Données projet'!$B$17,Paramètres!$A$1:$I$88,5,0)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projet'!$B$17,Paramètres!$A$1:$I$88,7,0))</f>
        <v>0</v>
      </c>
      <c r="GJ135" s="16">
        <f>IF(ISNA(VLOOKUP(A135,'Données projet'!$A$243:$I$263,6,0)),0%,VLOOKUP(A135,'Données projet'!$A$243:$I$263,6,0)*VLOOKUP('Données projet'!$B$17,Paramètres!$A$1:$I$88,7,0))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projet'!$B$17,Paramètres!$A$1:$I$88,3,0)*0.475*44/12</f>
        <v>#N/A</v>
      </c>
      <c r="GM135" s="21" t="e">
        <f>EXP(-LN(2)/25)*GM134+(1-EXP(-LN(2)/25))/(LN(2)/25)*Calculateur!GH135*Calculateur!GJ135*VLOOKUP('Données projet'!$B$17,Paramètres!$A$1:$I$88,3,0)*0.475*44/12</f>
        <v>#N/A</v>
      </c>
      <c r="GN135" s="21" t="e">
        <f>EXP(-LN(2)/2)*GN134+(1-EXP(-LN(2)/2))/(LN(2)/2)*GH135*GK135*VLOOKUP('Données projet'!$B$17,Paramètres!$A$1:$I$88,3,0)*0.475*44/12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projet'!$B$18,Paramètres!$A$1:$I$88,3,0)*VLOOKUP('Données projet'!$B$18,Paramètres!$A$1:$I$88,5,0)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projet'!$B$18,Paramètres!$A$1:$I$88,7,0))</f>
        <v>0</v>
      </c>
      <c r="HE135" s="16">
        <f>IF(ISNA(VLOOKUP(A135,'Données projet'!$A$269:$I$289,6,0)),0%,VLOOKUP(A135,'Données projet'!$A$269:$I$289,6,0)*VLOOKUP('Données projet'!$B$18,Paramètres!$A$1:$I$88,7,0))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projet'!$B$18,Paramètres!$A$1:$I$88,3,0)*0.475*44/12</f>
        <v>#N/A</v>
      </c>
      <c r="HH135" s="21" t="e">
        <f>EXP(-LN(2)/25)*HH134+(1-EXP(-LN(2)/25))/(LN(2)/25)*Calculateur!HC135*Calculateur!HE135*VLOOKUP('Données projet'!$B$18,Paramètres!$A$1:$I$88,3,0)*0.475*44/12</f>
        <v>#N/A</v>
      </c>
      <c r="HI135" s="21" t="e">
        <f>EXP(-LN(2)/2)*HI134+(1-EXP(-LN(2)/2))/(LN(2)/2)*HC135*HF135*VLOOKUP('Données projet'!$B$18,Paramètres!$A$1:$I$88,3,0)*0.475*44/12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projet'!$B$9,Paramètres!$A$1:$I$88,3,0)*VLOOKUP('Données projet'!$B$9,Paramètres!$A$1:$I$88,5,0)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195.73441209602686</v>
      </c>
      <c r="T136" s="59">
        <f t="shared" si="142"/>
        <v>219.19129224309006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projet'!$B$9,Paramètres!$A$1:$I$88,7,0))</f>
        <v>0</v>
      </c>
      <c r="X136" s="16">
        <f>IF(ISNA(VLOOKUP(A136,'Données projet'!$A$35:$I$55,6,0)),0%,VLOOKUP(A136,'Données projet'!$A$35:$I$55,6,0)*VLOOKUP('Données projet'!$B$9,Paramètres!$A$1:$I$88,7,0))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projet'!$B$9,Paramètres!$A$1:$I$88,3,0)*0.475*44/12</f>
        <v>1.9835723845056523</v>
      </c>
      <c r="AA136" s="21">
        <f>EXP(-LN(2)/25)*AA135+(1-EXP(-LN(2)/25))/(LN(2)/25)*Calculateur!V136*Calculateur!X136*VLOOKUP('Données projet'!$B$9,Paramètres!$A$1:$I$88,3,0)*0.475*44/12</f>
        <v>0.81423085624651548</v>
      </c>
      <c r="AB136" s="21">
        <f>EXP(-LN(2)/2)*AB135+(1-EXP(-LN(2)/2))/(LN(2)/2)*V136*Y136*VLOOKUP('Données projet'!$B$9,Paramètres!$A$1:$I$88,3,0)*0.475*44/12</f>
        <v>1.2457854097395191E-17</v>
      </c>
      <c r="AC136" s="22">
        <f t="shared" si="111"/>
        <v>2.7978032407521676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-4.5474735088646412E-13</v>
      </c>
      <c r="AJ136" s="13">
        <f>AI136*VLOOKUP('Données projet'!$B$10,Paramètres!$A$1:$I$88,3,0)*VLOOKUP('Données projet'!$B$10,Paramètres!$A$1:$I$88,5,0)</f>
        <v>-2.7193891583010558E-13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246.59447135626942</v>
      </c>
      <c r="AO136" s="59">
        <f t="shared" si="144"/>
        <v>262.00382544285367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projet'!$B$10,Paramètres!$A$1:$I$88,7,0))</f>
        <v>0</v>
      </c>
      <c r="AS136" s="16">
        <f>IF(ISNA(VLOOKUP(A136,'Données projet'!$A$61:$I$81,6,0)),0%,VLOOKUP(A136,'Données projet'!$A$61:$I$81,6,0)*VLOOKUP('Données projet'!$B$10,Paramètres!$A$1:$I$88,7,0))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projet'!$B$10,Paramètres!$A$1:$I$88,3,0)*0.475*44/12</f>
        <v>0</v>
      </c>
      <c r="AV136" s="21">
        <f>EXP(-LN(2)/25)*AV135+(1-EXP(-LN(2)/25))/(LN(2)/25)*Calculateur!AQ136*Calculateur!AS136*VLOOKUP('Données projet'!$B$10,Paramètres!$A$1:$I$88,3,0)*0.475*44/12</f>
        <v>0.73898335250230751</v>
      </c>
      <c r="AW136" s="21">
        <f>EXP(-LN(2)/2)*AW135+(1-EXP(-LN(2)/2))/(LN(2)/2)*AQ136*AT136*VLOOKUP('Données projet'!$B$10,Paramètres!$A$1:$I$88,3,0)*0.475*44/12</f>
        <v>7.4514577974553085E-15</v>
      </c>
      <c r="AX136" s="21">
        <f t="shared" si="114"/>
        <v>0.73898335250231495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-5.6843418860808015E-13</v>
      </c>
      <c r="BE136" s="13">
        <f>BD136*VLOOKUP('Données projet'!$B$11,Paramètres!$A$1:$I$88,3,0)*VLOOKUP('Données projet'!$B$11,Paramètres!$A$1:$I$88,5,0)</f>
        <v>-3.177547114319168E-13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355.96253323046608</v>
      </c>
      <c r="BJ136" s="59">
        <f t="shared" si="146"/>
        <v>366.8380442809696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projet'!$B$11,Paramètres!$A$1:$I$88,7,0))</f>
        <v>0</v>
      </c>
      <c r="BN136" s="16">
        <f>IF(ISNA(VLOOKUP(A136,'Données projet'!$A$87:$I$107,6,0)),0%,VLOOKUP(A136,'Données projet'!$A$87:$I$107,6,0)*VLOOKUP('Données projet'!$B$11,Paramètres!$A$1:$I$88,7,0))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projet'!$B$11,Paramètres!$A$1:$I$88,3,0)*0.475*44/12</f>
        <v>0</v>
      </c>
      <c r="BQ136" s="21">
        <f>EXP(-LN(2)/25)*BQ135+(1-EXP(-LN(2)/25))/(LN(2)/25)*Calculateur!BL136*Calculateur!BN136*VLOOKUP('Données projet'!$B$11,Paramètres!$A$1:$I$88,3,0)*0.475*44/12</f>
        <v>1.308380131656244</v>
      </c>
      <c r="BR136" s="21">
        <f>EXP(-LN(2)/2)*BR135+(1-EXP(-LN(2)/2))/(LN(2)/2)*BL136*BO136*VLOOKUP('Données projet'!$B$11,Paramètres!$A$1:$I$88,3,0)*0.475*44/12</f>
        <v>1.1521167908159157E-14</v>
      </c>
      <c r="BS136" s="22">
        <f t="shared" si="117"/>
        <v>1.3083801316562556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projet'!$B$12,Paramètres!$A$1:$I$88,3,0)*VLOOKUP('Données projet'!$B$12,Paramètres!$A$1:$I$88,5,0)</f>
        <v>3.7243808037601412E-14</v>
      </c>
      <c r="CA136" s="13">
        <f t="shared" si="147"/>
        <v>6.2767589361185393E-13</v>
      </c>
      <c r="CB136" s="20">
        <f t="shared" si="118"/>
        <v>1.1580684803728015E-12</v>
      </c>
      <c r="CC136" s="59">
        <f t="shared" si="119"/>
        <v>293.33333333333445</v>
      </c>
      <c r="CD136" s="59">
        <f ca="1">AVERAGE(OFFSET($CC$3,0,0,'Données projet'!$E$12+1,1))-AVERAGE(OFFSET($H$3,0,0,'Données projet'!$E$12+1,1))</f>
        <v>180.90147430936133</v>
      </c>
      <c r="CE136" s="59">
        <f t="shared" si="148"/>
        <v>226.87949199830018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projet'!$B$12,Paramètres!$A$1:$I$88,7,0))</f>
        <v>0</v>
      </c>
      <c r="CI136" s="16">
        <f>IF(ISNA(VLOOKUP(A136,'Données projet'!$A$113:$I$133,6,0)),0%,VLOOKUP(A136,'Données projet'!$A$113:$I$133,6,0)*VLOOKUP('Données projet'!$B$12,Paramètres!$A$1:$I$88,7,0))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projet'!$B$12,Paramètres!$A$1:$I$88,3,0)*0.475*44/12</f>
        <v>0</v>
      </c>
      <c r="CL136" s="21">
        <f>EXP(-LN(2)/25)*CL135+(1-EXP(-LN(2)/25))/(LN(2)/25)*Calculateur!CG136*Calculateur!CI136*VLOOKUP('Données projet'!$B$12,Paramètres!$A$1:$I$88,3,0)*0.475*44/12</f>
        <v>0.39513632846899316</v>
      </c>
      <c r="CM136" s="21">
        <f>EXP(-LN(2)/2)*CM135+(1-EXP(-LN(2)/2))/(LN(2)/2)*CG136*CJ136*VLOOKUP('Données projet'!$B$12,Paramètres!$A$1:$I$88,3,0)*0.475*44/12</f>
        <v>2.7829762761920213E-15</v>
      </c>
      <c r="CN136" s="22">
        <f t="shared" si="120"/>
        <v>0.39513632846899593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5.6843418860808015E-14</v>
      </c>
      <c r="CU136" s="17">
        <f>CT136*VLOOKUP('Données projet'!$B$13,Paramètres!$A$1:$I$88,3,0)*VLOOKUP('Données projet'!$B$13,Paramètres!$A$1:$I$88,5,0)</f>
        <v>2.8908289095852525E-14</v>
      </c>
      <c r="CV136" s="13">
        <f t="shared" si="149"/>
        <v>5.0177780569126974E-13</v>
      </c>
      <c r="CW136" s="20">
        <f t="shared" si="121"/>
        <v>9.2427828175423786E-13</v>
      </c>
      <c r="CX136" s="59">
        <f t="shared" si="122"/>
        <v>293.33333333333422</v>
      </c>
      <c r="CY136" s="59">
        <f ca="1">AVERAGE(OFFSET($CX$3,0,0,'Données projet'!$E$13+1,1))-AVERAGE(OFFSET($H$3,0,0,'Données projet'!$E$13+1,1))</f>
        <v>133.08385802816008</v>
      </c>
      <c r="CZ136" s="59">
        <f t="shared" si="150"/>
        <v>316.59112511251385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projet'!$B$13,Paramètres!$A$1:$I$88,7,0))</f>
        <v>0</v>
      </c>
      <c r="DD136" s="16">
        <f>IF(ISNA(VLOOKUP(A136,'Données projet'!$A$139:$I$159,6,0)),0%,VLOOKUP(A136,'Données projet'!$A$139:$I$159,6,0)*VLOOKUP('Données projet'!$B$13,Paramètres!$A$1:$I$88,7,0))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projet'!$B$13,Paramètres!$A$1:$I$88,3,0)*0.475*44/12</f>
        <v>9.3904246530277948</v>
      </c>
      <c r="DG136" s="21">
        <f>EXP(-LN(2)/25)*DG135+(1-EXP(-LN(2)/25))/(LN(2)/25)*Calculateur!DB136*Calculateur!DD136*VLOOKUP('Données projet'!$B$13,Paramètres!$A$1:$I$88,3,0)*0.475*44/12</f>
        <v>0</v>
      </c>
      <c r="DH136" s="21">
        <f>EXP(-LN(2)/2)*DH135+(1-EXP(-LN(2)/2))/(LN(2)/2)*DB136*DE136*VLOOKUP('Données projet'!$B$13,Paramètres!$A$1:$I$88,3,0)*0.475*44/12</f>
        <v>1.7755873204589084E-15</v>
      </c>
      <c r="DI136" s="22">
        <f t="shared" si="123"/>
        <v>9.3904246530277966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projet'!$B$14,Paramètres!$A$1:$I$88,3,0)*VLOOKUP('Données projet'!$B$14,Paramètres!$A$1:$I$88,5,0)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projet'!$B$14,Paramètres!$A$1:$I$88,7,0))</f>
        <v>0</v>
      </c>
      <c r="DY136" s="16">
        <f>IF(ISNA(VLOOKUP(A136,'Données projet'!$A$165:$I$185,6,0)),0%,VLOOKUP(A136,'Données projet'!$A$165:$I$185,6,0)*VLOOKUP('Données projet'!$B$14,Paramètres!$A$1:$I$88,7,0))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projet'!$B$14,Paramètres!$A$1:$I$88,3,0)*0.475*44/12</f>
        <v>#N/A</v>
      </c>
      <c r="EB136" s="21" t="e">
        <f>EXP(-LN(2)/25)*EB135+(1-EXP(-LN(2)/25))/(LN(2)/25)*Calculateur!DW136*Calculateur!DY136*VLOOKUP('Données projet'!$B$14,Paramètres!$A$1:$I$88,3,0)*0.475*44/12</f>
        <v>#N/A</v>
      </c>
      <c r="EC136" s="21" t="e">
        <f>EXP(-LN(2)/2)*EC135+(1-EXP(-LN(2)/2))/(LN(2)/2)*DW136*DZ136*VLOOKUP('Données projet'!$B$14,Paramètres!$A$1:$I$88,3,0)*0.475*44/12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projet'!$B$15,Paramètres!$A$1:$I$88,3,0)*VLOOKUP('Données projet'!$B$15,Paramètres!$A$1:$I$88,5,0)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projet'!$B$15,Paramètres!$A$1:$I$88,7,0))</f>
        <v>0</v>
      </c>
      <c r="ET136" s="16">
        <f>IF(ISNA(VLOOKUP(A136,'Données projet'!$A$191:$I$211,6,0)),0%,VLOOKUP(A136,'Données projet'!$A$191:$I$211,6,0)*VLOOKUP('Données projet'!$B$15,Paramètres!$A$1:$I$88,7,0))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projet'!$B$15,Paramètres!$A$1:$I$88,3,0)*0.475*44/12</f>
        <v>#N/A</v>
      </c>
      <c r="EW136" s="21" t="e">
        <f>EXP(-LN(2)/25)*EW135+(1-EXP(-LN(2)/25))/(LN(2)/25)*Calculateur!ER136*Calculateur!ET136*VLOOKUP('Données projet'!$B$15,Paramètres!$A$1:$I$88,3,0)*0.475*44/12</f>
        <v>#N/A</v>
      </c>
      <c r="EX136" s="21" t="e">
        <f>EXP(-LN(2)/2)*EX135+(1-EXP(-LN(2)/2))/(LN(2)/2)*ER136*EU136*VLOOKUP('Données projet'!$B$15,Paramètres!$A$1:$I$88,3,0)*0.475*44/12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projet'!$B$16,Paramètres!$A$1:$I$88,3,0)*VLOOKUP('Données projet'!$B$16,Paramètres!$A$1:$I$88,5,0)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projet'!$B$16,Paramètres!$A$1:$I$88,7,0))</f>
        <v>0</v>
      </c>
      <c r="FO136" s="16">
        <f>IF(ISNA(VLOOKUP(A136,'Données projet'!$A$217:$I$237,6,0)),0%,VLOOKUP(A136,'Données projet'!$A$217:$I$237,6,0)*VLOOKUP('Données projet'!$B$16,Paramètres!$A$1:$I$88,7,0))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projet'!$B$16,Paramètres!$A$1:$I$88,3,0)*0.475*44/12</f>
        <v>#N/A</v>
      </c>
      <c r="FR136" s="21" t="e">
        <f>EXP(-LN(2)/25)*FR135+(1-EXP(-LN(2)/25))/(LN(2)/25)*Calculateur!FM136*Calculateur!FO136*VLOOKUP('Données projet'!$B$16,Paramètres!$A$1:$I$88,3,0)*0.475*44/12</f>
        <v>#N/A</v>
      </c>
      <c r="FS136" s="21" t="e">
        <f>EXP(-LN(2)/2)*FS135+(1-EXP(-LN(2)/2))/(LN(2)/2)*FM136*FP136*VLOOKUP('Données projet'!$B$16,Paramètres!$A$1:$I$88,3,0)*0.475*44/12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projet'!$B$17,Paramètres!$A$1:$I$88,3,0)*VLOOKUP('Données projet'!$B$17,Paramètres!$A$1:$I$88,5,0)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projet'!$B$17,Paramètres!$A$1:$I$88,7,0))</f>
        <v>0</v>
      </c>
      <c r="GJ136" s="16">
        <f>IF(ISNA(VLOOKUP(A136,'Données projet'!$A$243:$I$263,6,0)),0%,VLOOKUP(A136,'Données projet'!$A$243:$I$263,6,0)*VLOOKUP('Données projet'!$B$17,Paramètres!$A$1:$I$88,7,0))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projet'!$B$17,Paramètres!$A$1:$I$88,3,0)*0.475*44/12</f>
        <v>#N/A</v>
      </c>
      <c r="GM136" s="21" t="e">
        <f>EXP(-LN(2)/25)*GM135+(1-EXP(-LN(2)/25))/(LN(2)/25)*Calculateur!GH136*Calculateur!GJ136*VLOOKUP('Données projet'!$B$17,Paramètres!$A$1:$I$88,3,0)*0.475*44/12</f>
        <v>#N/A</v>
      </c>
      <c r="GN136" s="21" t="e">
        <f>EXP(-LN(2)/2)*GN135+(1-EXP(-LN(2)/2))/(LN(2)/2)*GH136*GK136*VLOOKUP('Données projet'!$B$17,Paramètres!$A$1:$I$88,3,0)*0.475*44/12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projet'!$B$18,Paramètres!$A$1:$I$88,3,0)*VLOOKUP('Données projet'!$B$18,Paramètres!$A$1:$I$88,5,0)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projet'!$B$18,Paramètres!$A$1:$I$88,7,0))</f>
        <v>0</v>
      </c>
      <c r="HE136" s="16">
        <f>IF(ISNA(VLOOKUP(A136,'Données projet'!$A$269:$I$289,6,0)),0%,VLOOKUP(A136,'Données projet'!$A$269:$I$289,6,0)*VLOOKUP('Données projet'!$B$18,Paramètres!$A$1:$I$88,7,0))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projet'!$B$18,Paramètres!$A$1:$I$88,3,0)*0.475*44/12</f>
        <v>#N/A</v>
      </c>
      <c r="HH136" s="21" t="e">
        <f>EXP(-LN(2)/25)*HH135+(1-EXP(-LN(2)/25))/(LN(2)/25)*Calculateur!HC136*Calculateur!HE136*VLOOKUP('Données projet'!$B$18,Paramètres!$A$1:$I$88,3,0)*0.475*44/12</f>
        <v>#N/A</v>
      </c>
      <c r="HI136" s="21" t="e">
        <f>EXP(-LN(2)/2)*HI135+(1-EXP(-LN(2)/2))/(LN(2)/2)*HC136*HF136*VLOOKUP('Données projet'!$B$18,Paramètres!$A$1:$I$88,3,0)*0.475*44/12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projet'!$B$9,Paramètres!$A$1:$I$88,3,0)*VLOOKUP('Données projet'!$B$9,Paramètres!$A$1:$I$88,5,0)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195.73441209602686</v>
      </c>
      <c r="T137" s="59">
        <f t="shared" si="142"/>
        <v>219.19129224309006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projet'!$B$9,Paramètres!$A$1:$I$88,7,0))</f>
        <v>0</v>
      </c>
      <c r="X137" s="16">
        <f>IF(ISNA(VLOOKUP(A137,'Données projet'!$A$35:$I$55,6,0)),0%,VLOOKUP(A137,'Données projet'!$A$35:$I$55,6,0)*VLOOKUP('Données projet'!$B$9,Paramètres!$A$1:$I$88,7,0))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projet'!$B$9,Paramètres!$A$1:$I$88,3,0)*0.475*44/12</f>
        <v>1.9446757399051873</v>
      </c>
      <c r="AA137" s="21">
        <f>EXP(-LN(2)/25)*AA136+(1-EXP(-LN(2)/25))/(LN(2)/25)*Calculateur!V137*Calculateur!X137*VLOOKUP('Données projet'!$B$9,Paramètres!$A$1:$I$88,3,0)*0.475*44/12</f>
        <v>0.79196567066391477</v>
      </c>
      <c r="AB137" s="21">
        <f>EXP(-LN(2)/2)*AB136+(1-EXP(-LN(2)/2))/(LN(2)/2)*V137*Y137*VLOOKUP('Données projet'!$B$9,Paramètres!$A$1:$I$88,3,0)*0.475*44/12</f>
        <v>8.8090331113007556E-18</v>
      </c>
      <c r="AC137" s="22">
        <f t="shared" si="111"/>
        <v>2.7366414105691019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-4.5474735088646412E-13</v>
      </c>
      <c r="AJ137" s="13">
        <f>AI137*VLOOKUP('Données projet'!$B$10,Paramètres!$A$1:$I$88,3,0)*VLOOKUP('Données projet'!$B$10,Paramètres!$A$1:$I$88,5,0)</f>
        <v>-2.7193891583010558E-13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246.59447135626942</v>
      </c>
      <c r="AO137" s="59">
        <f t="shared" si="144"/>
        <v>262.00382544285367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projet'!$B$10,Paramètres!$A$1:$I$88,7,0))</f>
        <v>0</v>
      </c>
      <c r="AS137" s="16">
        <f>IF(ISNA(VLOOKUP(A137,'Données projet'!$A$61:$I$81,6,0)),0%,VLOOKUP(A137,'Données projet'!$A$61:$I$81,6,0)*VLOOKUP('Données projet'!$B$10,Paramètres!$A$1:$I$88,7,0))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projet'!$B$10,Paramètres!$A$1:$I$88,3,0)*0.475*44/12</f>
        <v>0</v>
      </c>
      <c r="AV137" s="21">
        <f>EXP(-LN(2)/25)*AV136+(1-EXP(-LN(2)/25))/(LN(2)/25)*Calculateur!AQ137*Calculateur!AS137*VLOOKUP('Données projet'!$B$10,Paramètres!$A$1:$I$88,3,0)*0.475*44/12</f>
        <v>0.71877581386668632</v>
      </c>
      <c r="AW137" s="21">
        <f>EXP(-LN(2)/2)*AW136+(1-EXP(-LN(2)/2))/(LN(2)/2)*AQ137*AT137*VLOOKUP('Données projet'!$B$10,Paramètres!$A$1:$I$88,3,0)*0.475*44/12</f>
        <v>5.2689763383060243E-15</v>
      </c>
      <c r="AX137" s="21">
        <f t="shared" si="114"/>
        <v>0.71877581386669154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-5.6843418860808015E-13</v>
      </c>
      <c r="BE137" s="13">
        <f>BD137*VLOOKUP('Données projet'!$B$11,Paramètres!$A$1:$I$88,3,0)*VLOOKUP('Données projet'!$B$11,Paramètres!$A$1:$I$88,5,0)</f>
        <v>-3.177547114319168E-13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355.96253323046608</v>
      </c>
      <c r="BJ137" s="59">
        <f t="shared" si="146"/>
        <v>366.8380442809696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projet'!$B$11,Paramètres!$A$1:$I$88,7,0))</f>
        <v>0</v>
      </c>
      <c r="BN137" s="16">
        <f>IF(ISNA(VLOOKUP(A137,'Données projet'!$A$87:$I$107,6,0)),0%,VLOOKUP(A137,'Données projet'!$A$87:$I$107,6,0)*VLOOKUP('Données projet'!$B$11,Paramètres!$A$1:$I$88,7,0))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projet'!$B$11,Paramètres!$A$1:$I$88,3,0)*0.475*44/12</f>
        <v>0</v>
      </c>
      <c r="BQ137" s="21">
        <f>EXP(-LN(2)/25)*BQ136+(1-EXP(-LN(2)/25))/(LN(2)/25)*Calculateur!BL137*Calculateur!BN137*VLOOKUP('Données projet'!$B$11,Paramètres!$A$1:$I$88,3,0)*0.475*44/12</f>
        <v>1.2726024081513831</v>
      </c>
      <c r="BR137" s="21">
        <f>EXP(-LN(2)/2)*BR136+(1-EXP(-LN(2)/2))/(LN(2)/2)*BL137*BO137*VLOOKUP('Données projet'!$B$11,Paramètres!$A$1:$I$88,3,0)*0.475*44/12</f>
        <v>8.1466959550481706E-15</v>
      </c>
      <c r="BS137" s="22">
        <f t="shared" si="117"/>
        <v>1.2726024081513914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projet'!$B$12,Paramètres!$A$1:$I$88,3,0)*VLOOKUP('Données projet'!$B$12,Paramètres!$A$1:$I$88,5,0)</f>
        <v>3.7243808037601412E-14</v>
      </c>
      <c r="CA137" s="13">
        <f t="shared" si="147"/>
        <v>6.2767589361185393E-13</v>
      </c>
      <c r="CB137" s="20">
        <f t="shared" si="118"/>
        <v>1.1580684803728015E-12</v>
      </c>
      <c r="CC137" s="59">
        <f t="shared" si="119"/>
        <v>293.33333333333445</v>
      </c>
      <c r="CD137" s="59">
        <f ca="1">AVERAGE(OFFSET($CC$3,0,0,'Données projet'!$E$12+1,1))-AVERAGE(OFFSET($H$3,0,0,'Données projet'!$E$12+1,1))</f>
        <v>180.90147430936133</v>
      </c>
      <c r="CE137" s="59">
        <f t="shared" si="148"/>
        <v>226.87949199830018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projet'!$B$12,Paramètres!$A$1:$I$88,7,0))</f>
        <v>0</v>
      </c>
      <c r="CI137" s="16">
        <f>IF(ISNA(VLOOKUP(A137,'Données projet'!$A$113:$I$133,6,0)),0%,VLOOKUP(A137,'Données projet'!$A$113:$I$133,6,0)*VLOOKUP('Données projet'!$B$12,Paramètres!$A$1:$I$88,7,0))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projet'!$B$12,Paramètres!$A$1:$I$88,3,0)*0.475*44/12</f>
        <v>0</v>
      </c>
      <c r="CL137" s="21">
        <f>EXP(-LN(2)/25)*CL136+(1-EXP(-LN(2)/25))/(LN(2)/25)*Calculateur!CG137*Calculateur!CI137*VLOOKUP('Données projet'!$B$12,Paramètres!$A$1:$I$88,3,0)*0.475*44/12</f>
        <v>0.38433130478769212</v>
      </c>
      <c r="CM137" s="21">
        <f>EXP(-LN(2)/2)*CM136+(1-EXP(-LN(2)/2))/(LN(2)/2)*CG137*CJ137*VLOOKUP('Données projet'!$B$12,Paramètres!$A$1:$I$88,3,0)*0.475*44/12</f>
        <v>1.9678613967766644E-15</v>
      </c>
      <c r="CN137" s="22">
        <f t="shared" si="120"/>
        <v>0.38433130478769406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5.6843418860808015E-14</v>
      </c>
      <c r="CU137" s="17">
        <f>CT137*VLOOKUP('Données projet'!$B$13,Paramètres!$A$1:$I$88,3,0)*VLOOKUP('Données projet'!$B$13,Paramètres!$A$1:$I$88,5,0)</f>
        <v>2.8908289095852525E-14</v>
      </c>
      <c r="CV137" s="13">
        <f t="shared" si="149"/>
        <v>5.0177780569126974E-13</v>
      </c>
      <c r="CW137" s="20">
        <f t="shared" si="121"/>
        <v>9.2427828175423786E-13</v>
      </c>
      <c r="CX137" s="59">
        <f t="shared" si="122"/>
        <v>293.33333333333422</v>
      </c>
      <c r="CY137" s="59">
        <f ca="1">AVERAGE(OFFSET($CX$3,0,0,'Données projet'!$E$13+1,1))-AVERAGE(OFFSET($H$3,0,0,'Données projet'!$E$13+1,1))</f>
        <v>133.08385802816008</v>
      </c>
      <c r="CZ137" s="59">
        <f t="shared" si="150"/>
        <v>316.59112511251385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projet'!$B$13,Paramètres!$A$1:$I$88,7,0))</f>
        <v>0</v>
      </c>
      <c r="DD137" s="16">
        <f>IF(ISNA(VLOOKUP(A137,'Données projet'!$A$139:$I$159,6,0)),0%,VLOOKUP(A137,'Données projet'!$A$139:$I$159,6,0)*VLOOKUP('Données projet'!$B$13,Paramètres!$A$1:$I$88,7,0))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projet'!$B$13,Paramètres!$A$1:$I$88,3,0)*0.475*44/12</f>
        <v>9.2062841531754049</v>
      </c>
      <c r="DG137" s="21">
        <f>EXP(-LN(2)/25)*DG136+(1-EXP(-LN(2)/25))/(LN(2)/25)*Calculateur!DB137*Calculateur!DD137*VLOOKUP('Données projet'!$B$13,Paramètres!$A$1:$I$88,3,0)*0.475*44/12</f>
        <v>0</v>
      </c>
      <c r="DH137" s="21">
        <f>EXP(-LN(2)/2)*DH136+(1-EXP(-LN(2)/2))/(LN(2)/2)*DB137*DE137*VLOOKUP('Données projet'!$B$13,Paramètres!$A$1:$I$88,3,0)*0.475*44/12</f>
        <v>1.2555298348853457E-15</v>
      </c>
      <c r="DI137" s="22">
        <f t="shared" si="123"/>
        <v>9.2062841531754067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projet'!$B$14,Paramètres!$A$1:$I$88,3,0)*VLOOKUP('Données projet'!$B$14,Paramètres!$A$1:$I$88,5,0)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projet'!$B$14,Paramètres!$A$1:$I$88,7,0))</f>
        <v>0</v>
      </c>
      <c r="DY137" s="16">
        <f>IF(ISNA(VLOOKUP(A137,'Données projet'!$A$165:$I$185,6,0)),0%,VLOOKUP(A137,'Données projet'!$A$165:$I$185,6,0)*VLOOKUP('Données projet'!$B$14,Paramètres!$A$1:$I$88,7,0))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projet'!$B$14,Paramètres!$A$1:$I$88,3,0)*0.475*44/12</f>
        <v>#N/A</v>
      </c>
      <c r="EB137" s="21" t="e">
        <f>EXP(-LN(2)/25)*EB136+(1-EXP(-LN(2)/25))/(LN(2)/25)*Calculateur!DW137*Calculateur!DY137*VLOOKUP('Données projet'!$B$14,Paramètres!$A$1:$I$88,3,0)*0.475*44/12</f>
        <v>#N/A</v>
      </c>
      <c r="EC137" s="21" t="e">
        <f>EXP(-LN(2)/2)*EC136+(1-EXP(-LN(2)/2))/(LN(2)/2)*DW137*DZ137*VLOOKUP('Données projet'!$B$14,Paramètres!$A$1:$I$88,3,0)*0.475*44/12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projet'!$B$15,Paramètres!$A$1:$I$88,3,0)*VLOOKUP('Données projet'!$B$15,Paramètres!$A$1:$I$88,5,0)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projet'!$B$15,Paramètres!$A$1:$I$88,7,0))</f>
        <v>0</v>
      </c>
      <c r="ET137" s="16">
        <f>IF(ISNA(VLOOKUP(A137,'Données projet'!$A$191:$I$211,6,0)),0%,VLOOKUP(A137,'Données projet'!$A$191:$I$211,6,0)*VLOOKUP('Données projet'!$B$15,Paramètres!$A$1:$I$88,7,0))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projet'!$B$15,Paramètres!$A$1:$I$88,3,0)*0.475*44/12</f>
        <v>#N/A</v>
      </c>
      <c r="EW137" s="21" t="e">
        <f>EXP(-LN(2)/25)*EW136+(1-EXP(-LN(2)/25))/(LN(2)/25)*Calculateur!ER137*Calculateur!ET137*VLOOKUP('Données projet'!$B$15,Paramètres!$A$1:$I$88,3,0)*0.475*44/12</f>
        <v>#N/A</v>
      </c>
      <c r="EX137" s="21" t="e">
        <f>EXP(-LN(2)/2)*EX136+(1-EXP(-LN(2)/2))/(LN(2)/2)*ER137*EU137*VLOOKUP('Données projet'!$B$15,Paramètres!$A$1:$I$88,3,0)*0.475*44/12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projet'!$B$16,Paramètres!$A$1:$I$88,3,0)*VLOOKUP('Données projet'!$B$16,Paramètres!$A$1:$I$88,5,0)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projet'!$B$16,Paramètres!$A$1:$I$88,7,0))</f>
        <v>0</v>
      </c>
      <c r="FO137" s="16">
        <f>IF(ISNA(VLOOKUP(A137,'Données projet'!$A$217:$I$237,6,0)),0%,VLOOKUP(A137,'Données projet'!$A$217:$I$237,6,0)*VLOOKUP('Données projet'!$B$16,Paramètres!$A$1:$I$88,7,0))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projet'!$B$16,Paramètres!$A$1:$I$88,3,0)*0.475*44/12</f>
        <v>#N/A</v>
      </c>
      <c r="FR137" s="21" t="e">
        <f>EXP(-LN(2)/25)*FR136+(1-EXP(-LN(2)/25))/(LN(2)/25)*Calculateur!FM137*Calculateur!FO137*VLOOKUP('Données projet'!$B$16,Paramètres!$A$1:$I$88,3,0)*0.475*44/12</f>
        <v>#N/A</v>
      </c>
      <c r="FS137" s="21" t="e">
        <f>EXP(-LN(2)/2)*FS136+(1-EXP(-LN(2)/2))/(LN(2)/2)*FM137*FP137*VLOOKUP('Données projet'!$B$16,Paramètres!$A$1:$I$88,3,0)*0.475*44/12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projet'!$B$17,Paramètres!$A$1:$I$88,3,0)*VLOOKUP('Données projet'!$B$17,Paramètres!$A$1:$I$88,5,0)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projet'!$B$17,Paramètres!$A$1:$I$88,7,0))</f>
        <v>0</v>
      </c>
      <c r="GJ137" s="16">
        <f>IF(ISNA(VLOOKUP(A137,'Données projet'!$A$243:$I$263,6,0)),0%,VLOOKUP(A137,'Données projet'!$A$243:$I$263,6,0)*VLOOKUP('Données projet'!$B$17,Paramètres!$A$1:$I$88,7,0))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projet'!$B$17,Paramètres!$A$1:$I$88,3,0)*0.475*44/12</f>
        <v>#N/A</v>
      </c>
      <c r="GM137" s="21" t="e">
        <f>EXP(-LN(2)/25)*GM136+(1-EXP(-LN(2)/25))/(LN(2)/25)*Calculateur!GH137*Calculateur!GJ137*VLOOKUP('Données projet'!$B$17,Paramètres!$A$1:$I$88,3,0)*0.475*44/12</f>
        <v>#N/A</v>
      </c>
      <c r="GN137" s="21" t="e">
        <f>EXP(-LN(2)/2)*GN136+(1-EXP(-LN(2)/2))/(LN(2)/2)*GH137*GK137*VLOOKUP('Données projet'!$B$17,Paramètres!$A$1:$I$88,3,0)*0.475*44/12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projet'!$B$18,Paramètres!$A$1:$I$88,3,0)*VLOOKUP('Données projet'!$B$18,Paramètres!$A$1:$I$88,5,0)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projet'!$B$18,Paramètres!$A$1:$I$88,7,0))</f>
        <v>0</v>
      </c>
      <c r="HE137" s="16">
        <f>IF(ISNA(VLOOKUP(A137,'Données projet'!$A$269:$I$289,6,0)),0%,VLOOKUP(A137,'Données projet'!$A$269:$I$289,6,0)*VLOOKUP('Données projet'!$B$18,Paramètres!$A$1:$I$88,7,0))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projet'!$B$18,Paramètres!$A$1:$I$88,3,0)*0.475*44/12</f>
        <v>#N/A</v>
      </c>
      <c r="HH137" s="21" t="e">
        <f>EXP(-LN(2)/25)*HH136+(1-EXP(-LN(2)/25))/(LN(2)/25)*Calculateur!HC137*Calculateur!HE137*VLOOKUP('Données projet'!$B$18,Paramètres!$A$1:$I$88,3,0)*0.475*44/12</f>
        <v>#N/A</v>
      </c>
      <c r="HI137" s="21" t="e">
        <f>EXP(-LN(2)/2)*HI136+(1-EXP(-LN(2)/2))/(LN(2)/2)*HC137*HF137*VLOOKUP('Données projet'!$B$18,Paramètres!$A$1:$I$88,3,0)*0.475*44/12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projet'!$B$9,Paramètres!$A$1:$I$88,3,0)*VLOOKUP('Données projet'!$B$9,Paramètres!$A$1:$I$88,5,0)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195.73441209602686</v>
      </c>
      <c r="T138" s="59">
        <f t="shared" si="142"/>
        <v>219.19129224309006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projet'!$B$9,Paramètres!$A$1:$I$88,7,0))</f>
        <v>0</v>
      </c>
      <c r="X138" s="16">
        <f>IF(ISNA(VLOOKUP(A138,'Données projet'!$A$35:$I$55,6,0)),0%,VLOOKUP(A138,'Données projet'!$A$35:$I$55,6,0)*VLOOKUP('Données projet'!$B$9,Paramètres!$A$1:$I$88,7,0))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projet'!$B$9,Paramètres!$A$1:$I$88,3,0)*0.475*44/12</f>
        <v>1.9065418347807268</v>
      </c>
      <c r="AA138" s="21">
        <f>EXP(-LN(2)/25)*AA137+(1-EXP(-LN(2)/25))/(LN(2)/25)*Calculateur!V138*Calculateur!X138*VLOOKUP('Données projet'!$B$9,Paramètres!$A$1:$I$88,3,0)*0.475*44/12</f>
        <v>0.77030932775194549</v>
      </c>
      <c r="AB138" s="21">
        <f>EXP(-LN(2)/2)*AB137+(1-EXP(-LN(2)/2))/(LN(2)/2)*V138*Y138*VLOOKUP('Données projet'!$B$9,Paramètres!$A$1:$I$88,3,0)*0.475*44/12</f>
        <v>6.2289270486975954E-18</v>
      </c>
      <c r="AC138" s="22">
        <f t="shared" si="111"/>
        <v>2.6768511625326723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-4.5474735088646412E-13</v>
      </c>
      <c r="AJ138" s="13">
        <f>AI138*VLOOKUP('Données projet'!$B$10,Paramètres!$A$1:$I$88,3,0)*VLOOKUP('Données projet'!$B$10,Paramètres!$A$1:$I$88,5,0)</f>
        <v>-2.7193891583010558E-13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246.59447135626942</v>
      </c>
      <c r="AO138" s="59">
        <f t="shared" si="144"/>
        <v>262.00382544285367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projet'!$B$10,Paramètres!$A$1:$I$88,7,0))</f>
        <v>0</v>
      </c>
      <c r="AS138" s="16">
        <f>IF(ISNA(VLOOKUP(A138,'Données projet'!$A$61:$I$81,6,0)),0%,VLOOKUP(A138,'Données projet'!$A$61:$I$81,6,0)*VLOOKUP('Données projet'!$B$10,Paramètres!$A$1:$I$88,7,0))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projet'!$B$10,Paramètres!$A$1:$I$88,3,0)*0.475*44/12</f>
        <v>0</v>
      </c>
      <c r="AV138" s="21">
        <f>EXP(-LN(2)/25)*AV137+(1-EXP(-LN(2)/25))/(LN(2)/25)*Calculateur!AQ138*Calculateur!AS138*VLOOKUP('Données projet'!$B$10,Paramètres!$A$1:$I$88,3,0)*0.475*44/12</f>
        <v>0.69912085143772451</v>
      </c>
      <c r="AW138" s="21">
        <f>EXP(-LN(2)/2)*AW137+(1-EXP(-LN(2)/2))/(LN(2)/2)*AQ138*AT138*VLOOKUP('Données projet'!$B$10,Paramètres!$A$1:$I$88,3,0)*0.475*44/12</f>
        <v>3.7257288987276542E-15</v>
      </c>
      <c r="AX138" s="21">
        <f t="shared" si="114"/>
        <v>0.69912085143772829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-5.6843418860808015E-13</v>
      </c>
      <c r="BE138" s="13">
        <f>BD138*VLOOKUP('Données projet'!$B$11,Paramètres!$A$1:$I$88,3,0)*VLOOKUP('Données projet'!$B$11,Paramètres!$A$1:$I$88,5,0)</f>
        <v>-3.177547114319168E-13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355.96253323046608</v>
      </c>
      <c r="BJ138" s="59">
        <f t="shared" si="146"/>
        <v>366.8380442809696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projet'!$B$11,Paramètres!$A$1:$I$88,7,0))</f>
        <v>0</v>
      </c>
      <c r="BN138" s="16">
        <f>IF(ISNA(VLOOKUP(A138,'Données projet'!$A$87:$I$107,6,0)),0%,VLOOKUP(A138,'Données projet'!$A$87:$I$107,6,0)*VLOOKUP('Données projet'!$B$11,Paramètres!$A$1:$I$88,7,0))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projet'!$B$11,Paramètres!$A$1:$I$88,3,0)*0.475*44/12</f>
        <v>0</v>
      </c>
      <c r="BQ138" s="21">
        <f>EXP(-LN(2)/25)*BQ137+(1-EXP(-LN(2)/25))/(LN(2)/25)*Calculateur!BL138*Calculateur!BN138*VLOOKUP('Données projet'!$B$11,Paramètres!$A$1:$I$88,3,0)*0.475*44/12</f>
        <v>1.2378030283772314</v>
      </c>
      <c r="BR138" s="21">
        <f>EXP(-LN(2)/2)*BR137+(1-EXP(-LN(2)/2))/(LN(2)/2)*BL138*BO138*VLOOKUP('Données projet'!$B$11,Paramètres!$A$1:$I$88,3,0)*0.475*44/12</f>
        <v>5.7605839540795787E-15</v>
      </c>
      <c r="BS138" s="22">
        <f t="shared" si="117"/>
        <v>1.2378030283772372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projet'!$B$12,Paramètres!$A$1:$I$88,3,0)*VLOOKUP('Données projet'!$B$12,Paramètres!$A$1:$I$88,5,0)</f>
        <v>3.7243808037601412E-14</v>
      </c>
      <c r="CA138" s="13">
        <f t="shared" si="147"/>
        <v>6.2767589361185393E-13</v>
      </c>
      <c r="CB138" s="20">
        <f t="shared" si="118"/>
        <v>1.1580684803728015E-12</v>
      </c>
      <c r="CC138" s="59">
        <f t="shared" si="119"/>
        <v>293.33333333333445</v>
      </c>
      <c r="CD138" s="59">
        <f ca="1">AVERAGE(OFFSET($CC$3,0,0,'Données projet'!$E$12+1,1))-AVERAGE(OFFSET($H$3,0,0,'Données projet'!$E$12+1,1))</f>
        <v>180.90147430936133</v>
      </c>
      <c r="CE138" s="59">
        <f t="shared" si="148"/>
        <v>226.87949199830018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projet'!$B$12,Paramètres!$A$1:$I$88,7,0))</f>
        <v>0</v>
      </c>
      <c r="CI138" s="16">
        <f>IF(ISNA(VLOOKUP(A138,'Données projet'!$A$113:$I$133,6,0)),0%,VLOOKUP(A138,'Données projet'!$A$113:$I$133,6,0)*VLOOKUP('Données projet'!$B$12,Paramètres!$A$1:$I$88,7,0))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projet'!$B$12,Paramètres!$A$1:$I$88,3,0)*0.475*44/12</f>
        <v>0</v>
      </c>
      <c r="CL138" s="21">
        <f>EXP(-LN(2)/25)*CL137+(1-EXP(-LN(2)/25))/(LN(2)/25)*Calculateur!CG138*Calculateur!CI138*VLOOKUP('Données projet'!$B$12,Paramètres!$A$1:$I$88,3,0)*0.475*44/12</f>
        <v>0.37382174504716775</v>
      </c>
      <c r="CM138" s="21">
        <f>EXP(-LN(2)/2)*CM137+(1-EXP(-LN(2)/2))/(LN(2)/2)*CG138*CJ138*VLOOKUP('Données projet'!$B$12,Paramètres!$A$1:$I$88,3,0)*0.475*44/12</f>
        <v>1.3914881380960106E-15</v>
      </c>
      <c r="CN138" s="22">
        <f t="shared" si="120"/>
        <v>0.37382174504716914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5.6843418860808015E-14</v>
      </c>
      <c r="CU138" s="17">
        <f>CT138*VLOOKUP('Données projet'!$B$13,Paramètres!$A$1:$I$88,3,0)*VLOOKUP('Données projet'!$B$13,Paramètres!$A$1:$I$88,5,0)</f>
        <v>2.8908289095852525E-14</v>
      </c>
      <c r="CV138" s="13">
        <f t="shared" si="149"/>
        <v>5.0177780569126974E-13</v>
      </c>
      <c r="CW138" s="20">
        <f t="shared" si="121"/>
        <v>9.2427828175423786E-13</v>
      </c>
      <c r="CX138" s="59">
        <f t="shared" si="122"/>
        <v>293.33333333333422</v>
      </c>
      <c r="CY138" s="59">
        <f ca="1">AVERAGE(OFFSET($CX$3,0,0,'Données projet'!$E$13+1,1))-AVERAGE(OFFSET($H$3,0,0,'Données projet'!$E$13+1,1))</f>
        <v>133.08385802816008</v>
      </c>
      <c r="CZ138" s="59">
        <f t="shared" si="150"/>
        <v>316.59112511251385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projet'!$B$13,Paramètres!$A$1:$I$88,7,0))</f>
        <v>0</v>
      </c>
      <c r="DD138" s="16">
        <f>IF(ISNA(VLOOKUP(A138,'Données projet'!$A$139:$I$159,6,0)),0%,VLOOKUP(A138,'Données projet'!$A$139:$I$159,6,0)*VLOOKUP('Données projet'!$B$13,Paramètres!$A$1:$I$88,7,0))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projet'!$B$13,Paramètres!$A$1:$I$88,3,0)*0.475*44/12</f>
        <v>9.0257545362105063</v>
      </c>
      <c r="DG138" s="21">
        <f>EXP(-LN(2)/25)*DG137+(1-EXP(-LN(2)/25))/(LN(2)/25)*Calculateur!DB138*Calculateur!DD138*VLOOKUP('Données projet'!$B$13,Paramètres!$A$1:$I$88,3,0)*0.475*44/12</f>
        <v>0</v>
      </c>
      <c r="DH138" s="21">
        <f>EXP(-LN(2)/2)*DH137+(1-EXP(-LN(2)/2))/(LN(2)/2)*DB138*DE138*VLOOKUP('Données projet'!$B$13,Paramètres!$A$1:$I$88,3,0)*0.475*44/12</f>
        <v>8.877936602294544E-16</v>
      </c>
      <c r="DI138" s="22">
        <f t="shared" si="123"/>
        <v>9.0257545362105063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projet'!$B$14,Paramètres!$A$1:$I$88,3,0)*VLOOKUP('Données projet'!$B$14,Paramètres!$A$1:$I$88,5,0)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projet'!$B$14,Paramètres!$A$1:$I$88,7,0))</f>
        <v>0</v>
      </c>
      <c r="DY138" s="16">
        <f>IF(ISNA(VLOOKUP(A138,'Données projet'!$A$165:$I$185,6,0)),0%,VLOOKUP(A138,'Données projet'!$A$165:$I$185,6,0)*VLOOKUP('Données projet'!$B$14,Paramètres!$A$1:$I$88,7,0))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projet'!$B$14,Paramètres!$A$1:$I$88,3,0)*0.475*44/12</f>
        <v>#N/A</v>
      </c>
      <c r="EB138" s="21" t="e">
        <f>EXP(-LN(2)/25)*EB137+(1-EXP(-LN(2)/25))/(LN(2)/25)*Calculateur!DW138*Calculateur!DY138*VLOOKUP('Données projet'!$B$14,Paramètres!$A$1:$I$88,3,0)*0.475*44/12</f>
        <v>#N/A</v>
      </c>
      <c r="EC138" s="21" t="e">
        <f>EXP(-LN(2)/2)*EC137+(1-EXP(-LN(2)/2))/(LN(2)/2)*DW138*DZ138*VLOOKUP('Données projet'!$B$14,Paramètres!$A$1:$I$88,3,0)*0.475*44/12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projet'!$B$15,Paramètres!$A$1:$I$88,3,0)*VLOOKUP('Données projet'!$B$15,Paramètres!$A$1:$I$88,5,0)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projet'!$B$15,Paramètres!$A$1:$I$88,7,0))</f>
        <v>0</v>
      </c>
      <c r="ET138" s="16">
        <f>IF(ISNA(VLOOKUP(A138,'Données projet'!$A$191:$I$211,6,0)),0%,VLOOKUP(A138,'Données projet'!$A$191:$I$211,6,0)*VLOOKUP('Données projet'!$B$15,Paramètres!$A$1:$I$88,7,0))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projet'!$B$15,Paramètres!$A$1:$I$88,3,0)*0.475*44/12</f>
        <v>#N/A</v>
      </c>
      <c r="EW138" s="21" t="e">
        <f>EXP(-LN(2)/25)*EW137+(1-EXP(-LN(2)/25))/(LN(2)/25)*Calculateur!ER138*Calculateur!ET138*VLOOKUP('Données projet'!$B$15,Paramètres!$A$1:$I$88,3,0)*0.475*44/12</f>
        <v>#N/A</v>
      </c>
      <c r="EX138" s="21" t="e">
        <f>EXP(-LN(2)/2)*EX137+(1-EXP(-LN(2)/2))/(LN(2)/2)*ER138*EU138*VLOOKUP('Données projet'!$B$15,Paramètres!$A$1:$I$88,3,0)*0.475*44/12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projet'!$B$16,Paramètres!$A$1:$I$88,3,0)*VLOOKUP('Données projet'!$B$16,Paramètres!$A$1:$I$88,5,0)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projet'!$B$16,Paramètres!$A$1:$I$88,7,0))</f>
        <v>0</v>
      </c>
      <c r="FO138" s="16">
        <f>IF(ISNA(VLOOKUP(A138,'Données projet'!$A$217:$I$237,6,0)),0%,VLOOKUP(A138,'Données projet'!$A$217:$I$237,6,0)*VLOOKUP('Données projet'!$B$16,Paramètres!$A$1:$I$88,7,0))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projet'!$B$16,Paramètres!$A$1:$I$88,3,0)*0.475*44/12</f>
        <v>#N/A</v>
      </c>
      <c r="FR138" s="21" t="e">
        <f>EXP(-LN(2)/25)*FR137+(1-EXP(-LN(2)/25))/(LN(2)/25)*Calculateur!FM138*Calculateur!FO138*VLOOKUP('Données projet'!$B$16,Paramètres!$A$1:$I$88,3,0)*0.475*44/12</f>
        <v>#N/A</v>
      </c>
      <c r="FS138" s="21" t="e">
        <f>EXP(-LN(2)/2)*FS137+(1-EXP(-LN(2)/2))/(LN(2)/2)*FM138*FP138*VLOOKUP('Données projet'!$B$16,Paramètres!$A$1:$I$88,3,0)*0.475*44/12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projet'!$B$17,Paramètres!$A$1:$I$88,3,0)*VLOOKUP('Données projet'!$B$17,Paramètres!$A$1:$I$88,5,0)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projet'!$B$17,Paramètres!$A$1:$I$88,7,0))</f>
        <v>0</v>
      </c>
      <c r="GJ138" s="16">
        <f>IF(ISNA(VLOOKUP(A138,'Données projet'!$A$243:$I$263,6,0)),0%,VLOOKUP(A138,'Données projet'!$A$243:$I$263,6,0)*VLOOKUP('Données projet'!$B$17,Paramètres!$A$1:$I$88,7,0))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projet'!$B$17,Paramètres!$A$1:$I$88,3,0)*0.475*44/12</f>
        <v>#N/A</v>
      </c>
      <c r="GM138" s="21" t="e">
        <f>EXP(-LN(2)/25)*GM137+(1-EXP(-LN(2)/25))/(LN(2)/25)*Calculateur!GH138*Calculateur!GJ138*VLOOKUP('Données projet'!$B$17,Paramètres!$A$1:$I$88,3,0)*0.475*44/12</f>
        <v>#N/A</v>
      </c>
      <c r="GN138" s="21" t="e">
        <f>EXP(-LN(2)/2)*GN137+(1-EXP(-LN(2)/2))/(LN(2)/2)*GH138*GK138*VLOOKUP('Données projet'!$B$17,Paramètres!$A$1:$I$88,3,0)*0.475*44/12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projet'!$B$18,Paramètres!$A$1:$I$88,3,0)*VLOOKUP('Données projet'!$B$18,Paramètres!$A$1:$I$88,5,0)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projet'!$B$18,Paramètres!$A$1:$I$88,7,0))</f>
        <v>0</v>
      </c>
      <c r="HE138" s="16">
        <f>IF(ISNA(VLOOKUP(A138,'Données projet'!$A$269:$I$289,6,0)),0%,VLOOKUP(A138,'Données projet'!$A$269:$I$289,6,0)*VLOOKUP('Données projet'!$B$18,Paramètres!$A$1:$I$88,7,0))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projet'!$B$18,Paramètres!$A$1:$I$88,3,0)*0.475*44/12</f>
        <v>#N/A</v>
      </c>
      <c r="HH138" s="21" t="e">
        <f>EXP(-LN(2)/25)*HH137+(1-EXP(-LN(2)/25))/(LN(2)/25)*Calculateur!HC138*Calculateur!HE138*VLOOKUP('Données projet'!$B$18,Paramètres!$A$1:$I$88,3,0)*0.475*44/12</f>
        <v>#N/A</v>
      </c>
      <c r="HI138" s="21" t="e">
        <f>EXP(-LN(2)/2)*HI137+(1-EXP(-LN(2)/2))/(LN(2)/2)*HC138*HF138*VLOOKUP('Données projet'!$B$18,Paramètres!$A$1:$I$88,3,0)*0.475*44/12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projet'!$B$9,Paramètres!$A$1:$I$88,3,0)*VLOOKUP('Données projet'!$B$9,Paramètres!$A$1:$I$88,5,0)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195.73441209602686</v>
      </c>
      <c r="T139" s="59">
        <f t="shared" si="142"/>
        <v>219.19129224309006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projet'!$B$9,Paramètres!$A$1:$I$88,7,0))</f>
        <v>0</v>
      </c>
      <c r="X139" s="16">
        <f>IF(ISNA(VLOOKUP(A139,'Données projet'!$A$35:$I$55,6,0)),0%,VLOOKUP(A139,'Données projet'!$A$35:$I$55,6,0)*VLOOKUP('Données projet'!$B$9,Paramètres!$A$1:$I$88,7,0))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projet'!$B$9,Paramètres!$A$1:$I$88,3,0)*0.475*44/12</f>
        <v>1.8691557122763716</v>
      </c>
      <c r="AA139" s="21">
        <f>EXP(-LN(2)/25)*AA138+(1-EXP(-LN(2)/25))/(LN(2)/25)*Calculateur!V139*Calculateur!X139*VLOOKUP('Données projet'!$B$9,Paramètres!$A$1:$I$88,3,0)*0.475*44/12</f>
        <v>0.74924517867576157</v>
      </c>
      <c r="AB139" s="21">
        <f>EXP(-LN(2)/2)*AB138+(1-EXP(-LN(2)/2))/(LN(2)/2)*V139*Y139*VLOOKUP('Données projet'!$B$9,Paramètres!$A$1:$I$88,3,0)*0.475*44/12</f>
        <v>4.4045165556503778E-18</v>
      </c>
      <c r="AC139" s="22">
        <f t="shared" si="111"/>
        <v>2.6184008909521332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-4.5474735088646412E-13</v>
      </c>
      <c r="AJ139" s="13">
        <f>AI139*VLOOKUP('Données projet'!$B$10,Paramètres!$A$1:$I$88,3,0)*VLOOKUP('Données projet'!$B$10,Paramètres!$A$1:$I$88,5,0)</f>
        <v>-2.7193891583010558E-13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246.59447135626942</v>
      </c>
      <c r="AO139" s="59">
        <f t="shared" si="144"/>
        <v>262.00382544285367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projet'!$B$10,Paramètres!$A$1:$I$88,7,0))</f>
        <v>0</v>
      </c>
      <c r="AS139" s="16">
        <f>IF(ISNA(VLOOKUP(A139,'Données projet'!$A$61:$I$81,6,0)),0%,VLOOKUP(A139,'Données projet'!$A$61:$I$81,6,0)*VLOOKUP('Données projet'!$B$10,Paramètres!$A$1:$I$88,7,0))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projet'!$B$10,Paramètres!$A$1:$I$88,3,0)*0.475*44/12</f>
        <v>0</v>
      </c>
      <c r="AV139" s="21">
        <f>EXP(-LN(2)/25)*AV138+(1-EXP(-LN(2)/25))/(LN(2)/25)*Calculateur!AQ139*Calculateur!AS139*VLOOKUP('Données projet'!$B$10,Paramètres!$A$1:$I$88,3,0)*0.475*44/12</f>
        <v>0.6800033549899922</v>
      </c>
      <c r="AW139" s="21">
        <f>EXP(-LN(2)/2)*AW138+(1-EXP(-LN(2)/2))/(LN(2)/2)*AQ139*AT139*VLOOKUP('Données projet'!$B$10,Paramètres!$A$1:$I$88,3,0)*0.475*44/12</f>
        <v>2.6344881691530121E-15</v>
      </c>
      <c r="AX139" s="21">
        <f t="shared" si="114"/>
        <v>0.68000335498999487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-5.6843418860808015E-13</v>
      </c>
      <c r="BE139" s="13">
        <f>BD139*VLOOKUP('Données projet'!$B$11,Paramètres!$A$1:$I$88,3,0)*VLOOKUP('Données projet'!$B$11,Paramètres!$A$1:$I$88,5,0)</f>
        <v>-3.177547114319168E-13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355.96253323046608</v>
      </c>
      <c r="BJ139" s="59">
        <f t="shared" si="146"/>
        <v>366.8380442809696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projet'!$B$11,Paramètres!$A$1:$I$88,7,0))</f>
        <v>0</v>
      </c>
      <c r="BN139" s="16">
        <f>IF(ISNA(VLOOKUP(A139,'Données projet'!$A$87:$I$107,6,0)),0%,VLOOKUP(A139,'Données projet'!$A$87:$I$107,6,0)*VLOOKUP('Données projet'!$B$11,Paramètres!$A$1:$I$88,7,0))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projet'!$B$11,Paramètres!$A$1:$I$88,3,0)*0.475*44/12</f>
        <v>0</v>
      </c>
      <c r="BQ139" s="21">
        <f>EXP(-LN(2)/25)*BQ138+(1-EXP(-LN(2)/25))/(LN(2)/25)*Calculateur!BL139*Calculateur!BN139*VLOOKUP('Données projet'!$B$11,Paramètres!$A$1:$I$88,3,0)*0.475*44/12</f>
        <v>1.2039552394730237</v>
      </c>
      <c r="BR139" s="21">
        <f>EXP(-LN(2)/2)*BR138+(1-EXP(-LN(2)/2))/(LN(2)/2)*BL139*BO139*VLOOKUP('Données projet'!$B$11,Paramètres!$A$1:$I$88,3,0)*0.475*44/12</f>
        <v>4.0733479775240853E-15</v>
      </c>
      <c r="BS139" s="22">
        <f t="shared" si="117"/>
        <v>1.2039552394730277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projet'!$B$12,Paramètres!$A$1:$I$88,3,0)*VLOOKUP('Données projet'!$B$12,Paramètres!$A$1:$I$88,5,0)</f>
        <v>3.7243808037601412E-14</v>
      </c>
      <c r="CA139" s="13">
        <f t="shared" si="147"/>
        <v>6.2767589361185393E-13</v>
      </c>
      <c r="CB139" s="20">
        <f t="shared" si="118"/>
        <v>1.1580684803728015E-12</v>
      </c>
      <c r="CC139" s="59">
        <f t="shared" si="119"/>
        <v>293.33333333333445</v>
      </c>
      <c r="CD139" s="59">
        <f ca="1">AVERAGE(OFFSET($CC$3,0,0,'Données projet'!$E$12+1,1))-AVERAGE(OFFSET($H$3,0,0,'Données projet'!$E$12+1,1))</f>
        <v>180.90147430936133</v>
      </c>
      <c r="CE139" s="59">
        <f t="shared" si="148"/>
        <v>226.87949199830018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projet'!$B$12,Paramètres!$A$1:$I$88,7,0))</f>
        <v>0</v>
      </c>
      <c r="CI139" s="16">
        <f>IF(ISNA(VLOOKUP(A139,'Données projet'!$A$113:$I$133,6,0)),0%,VLOOKUP(A139,'Données projet'!$A$113:$I$133,6,0)*VLOOKUP('Données projet'!$B$12,Paramètres!$A$1:$I$88,7,0))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projet'!$B$12,Paramètres!$A$1:$I$88,3,0)*0.475*44/12</f>
        <v>0</v>
      </c>
      <c r="CL139" s="21">
        <f>EXP(-LN(2)/25)*CL138+(1-EXP(-LN(2)/25))/(LN(2)/25)*Calculateur!CG139*Calculateur!CI139*VLOOKUP('Données projet'!$B$12,Paramètres!$A$1:$I$88,3,0)*0.475*44/12</f>
        <v>0.36359956977042174</v>
      </c>
      <c r="CM139" s="21">
        <f>EXP(-LN(2)/2)*CM138+(1-EXP(-LN(2)/2))/(LN(2)/2)*CG139*CJ139*VLOOKUP('Données projet'!$B$12,Paramètres!$A$1:$I$88,3,0)*0.475*44/12</f>
        <v>9.8393069838833219E-16</v>
      </c>
      <c r="CN139" s="22">
        <f t="shared" si="120"/>
        <v>0.36359956977042274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5.6843418860808015E-14</v>
      </c>
      <c r="CU139" s="17">
        <f>CT139*VLOOKUP('Données projet'!$B$13,Paramètres!$A$1:$I$88,3,0)*VLOOKUP('Données projet'!$B$13,Paramètres!$A$1:$I$88,5,0)</f>
        <v>2.8908289095852525E-14</v>
      </c>
      <c r="CV139" s="13">
        <f t="shared" si="149"/>
        <v>5.0177780569126974E-13</v>
      </c>
      <c r="CW139" s="20">
        <f t="shared" si="121"/>
        <v>9.2427828175423786E-13</v>
      </c>
      <c r="CX139" s="59">
        <f t="shared" si="122"/>
        <v>293.33333333333422</v>
      </c>
      <c r="CY139" s="59">
        <f ca="1">AVERAGE(OFFSET($CX$3,0,0,'Données projet'!$E$13+1,1))-AVERAGE(OFFSET($H$3,0,0,'Données projet'!$E$13+1,1))</f>
        <v>133.08385802816008</v>
      </c>
      <c r="CZ139" s="59">
        <f t="shared" si="150"/>
        <v>316.59112511251385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projet'!$B$13,Paramètres!$A$1:$I$88,7,0))</f>
        <v>0</v>
      </c>
      <c r="DD139" s="16">
        <f>IF(ISNA(VLOOKUP(A139,'Données projet'!$A$139:$I$159,6,0)),0%,VLOOKUP(A139,'Données projet'!$A$139:$I$159,6,0)*VLOOKUP('Données projet'!$B$13,Paramètres!$A$1:$I$88,7,0))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projet'!$B$13,Paramètres!$A$1:$I$88,3,0)*0.475*44/12</f>
        <v>8.8487649949220959</v>
      </c>
      <c r="DG139" s="21">
        <f>EXP(-LN(2)/25)*DG138+(1-EXP(-LN(2)/25))/(LN(2)/25)*Calculateur!DB139*Calculateur!DD139*VLOOKUP('Données projet'!$B$13,Paramètres!$A$1:$I$88,3,0)*0.475*44/12</f>
        <v>0</v>
      </c>
      <c r="DH139" s="21">
        <f>EXP(-LN(2)/2)*DH138+(1-EXP(-LN(2)/2))/(LN(2)/2)*DB139*DE139*VLOOKUP('Données projet'!$B$13,Paramètres!$A$1:$I$88,3,0)*0.475*44/12</f>
        <v>6.2776491744267296E-16</v>
      </c>
      <c r="DI139" s="22">
        <f t="shared" si="123"/>
        <v>8.8487649949220959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projet'!$B$14,Paramètres!$A$1:$I$88,3,0)*VLOOKUP('Données projet'!$B$14,Paramètres!$A$1:$I$88,5,0)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projet'!$B$14,Paramètres!$A$1:$I$88,7,0))</f>
        <v>0</v>
      </c>
      <c r="DY139" s="16">
        <f>IF(ISNA(VLOOKUP(A139,'Données projet'!$A$165:$I$185,6,0)),0%,VLOOKUP(A139,'Données projet'!$A$165:$I$185,6,0)*VLOOKUP('Données projet'!$B$14,Paramètres!$A$1:$I$88,7,0))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projet'!$B$14,Paramètres!$A$1:$I$88,3,0)*0.475*44/12</f>
        <v>#N/A</v>
      </c>
      <c r="EB139" s="21" t="e">
        <f>EXP(-LN(2)/25)*EB138+(1-EXP(-LN(2)/25))/(LN(2)/25)*Calculateur!DW139*Calculateur!DY139*VLOOKUP('Données projet'!$B$14,Paramètres!$A$1:$I$88,3,0)*0.475*44/12</f>
        <v>#N/A</v>
      </c>
      <c r="EC139" s="21" t="e">
        <f>EXP(-LN(2)/2)*EC138+(1-EXP(-LN(2)/2))/(LN(2)/2)*DW139*DZ139*VLOOKUP('Données projet'!$B$14,Paramètres!$A$1:$I$88,3,0)*0.475*44/12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projet'!$B$15,Paramètres!$A$1:$I$88,3,0)*VLOOKUP('Données projet'!$B$15,Paramètres!$A$1:$I$88,5,0)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projet'!$B$15,Paramètres!$A$1:$I$88,7,0))</f>
        <v>0</v>
      </c>
      <c r="ET139" s="16">
        <f>IF(ISNA(VLOOKUP(A139,'Données projet'!$A$191:$I$211,6,0)),0%,VLOOKUP(A139,'Données projet'!$A$191:$I$211,6,0)*VLOOKUP('Données projet'!$B$15,Paramètres!$A$1:$I$88,7,0))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projet'!$B$15,Paramètres!$A$1:$I$88,3,0)*0.475*44/12</f>
        <v>#N/A</v>
      </c>
      <c r="EW139" s="21" t="e">
        <f>EXP(-LN(2)/25)*EW138+(1-EXP(-LN(2)/25))/(LN(2)/25)*Calculateur!ER139*Calculateur!ET139*VLOOKUP('Données projet'!$B$15,Paramètres!$A$1:$I$88,3,0)*0.475*44/12</f>
        <v>#N/A</v>
      </c>
      <c r="EX139" s="21" t="e">
        <f>EXP(-LN(2)/2)*EX138+(1-EXP(-LN(2)/2))/(LN(2)/2)*ER139*EU139*VLOOKUP('Données projet'!$B$15,Paramètres!$A$1:$I$88,3,0)*0.475*44/12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projet'!$B$16,Paramètres!$A$1:$I$88,3,0)*VLOOKUP('Données projet'!$B$16,Paramètres!$A$1:$I$88,5,0)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projet'!$B$16,Paramètres!$A$1:$I$88,7,0))</f>
        <v>0</v>
      </c>
      <c r="FO139" s="16">
        <f>IF(ISNA(VLOOKUP(A139,'Données projet'!$A$217:$I$237,6,0)),0%,VLOOKUP(A139,'Données projet'!$A$217:$I$237,6,0)*VLOOKUP('Données projet'!$B$16,Paramètres!$A$1:$I$88,7,0))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projet'!$B$16,Paramètres!$A$1:$I$88,3,0)*0.475*44/12</f>
        <v>#N/A</v>
      </c>
      <c r="FR139" s="21" t="e">
        <f>EXP(-LN(2)/25)*FR138+(1-EXP(-LN(2)/25))/(LN(2)/25)*Calculateur!FM139*Calculateur!FO139*VLOOKUP('Données projet'!$B$16,Paramètres!$A$1:$I$88,3,0)*0.475*44/12</f>
        <v>#N/A</v>
      </c>
      <c r="FS139" s="21" t="e">
        <f>EXP(-LN(2)/2)*FS138+(1-EXP(-LN(2)/2))/(LN(2)/2)*FM139*FP139*VLOOKUP('Données projet'!$B$16,Paramètres!$A$1:$I$88,3,0)*0.475*44/12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projet'!$B$17,Paramètres!$A$1:$I$88,3,0)*VLOOKUP('Données projet'!$B$17,Paramètres!$A$1:$I$88,5,0)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projet'!$B$17,Paramètres!$A$1:$I$88,7,0))</f>
        <v>0</v>
      </c>
      <c r="GJ139" s="16">
        <f>IF(ISNA(VLOOKUP(A139,'Données projet'!$A$243:$I$263,6,0)),0%,VLOOKUP(A139,'Données projet'!$A$243:$I$263,6,0)*VLOOKUP('Données projet'!$B$17,Paramètres!$A$1:$I$88,7,0))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projet'!$B$17,Paramètres!$A$1:$I$88,3,0)*0.475*44/12</f>
        <v>#N/A</v>
      </c>
      <c r="GM139" s="21" t="e">
        <f>EXP(-LN(2)/25)*GM138+(1-EXP(-LN(2)/25))/(LN(2)/25)*Calculateur!GH139*Calculateur!GJ139*VLOOKUP('Données projet'!$B$17,Paramètres!$A$1:$I$88,3,0)*0.475*44/12</f>
        <v>#N/A</v>
      </c>
      <c r="GN139" s="21" t="e">
        <f>EXP(-LN(2)/2)*GN138+(1-EXP(-LN(2)/2))/(LN(2)/2)*GH139*GK139*VLOOKUP('Données projet'!$B$17,Paramètres!$A$1:$I$88,3,0)*0.475*44/12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projet'!$B$18,Paramètres!$A$1:$I$88,3,0)*VLOOKUP('Données projet'!$B$18,Paramètres!$A$1:$I$88,5,0)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projet'!$B$18,Paramètres!$A$1:$I$88,7,0))</f>
        <v>0</v>
      </c>
      <c r="HE139" s="16">
        <f>IF(ISNA(VLOOKUP(A139,'Données projet'!$A$269:$I$289,6,0)),0%,VLOOKUP(A139,'Données projet'!$A$269:$I$289,6,0)*VLOOKUP('Données projet'!$B$18,Paramètres!$A$1:$I$88,7,0))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projet'!$B$18,Paramètres!$A$1:$I$88,3,0)*0.475*44/12</f>
        <v>#N/A</v>
      </c>
      <c r="HH139" s="21" t="e">
        <f>EXP(-LN(2)/25)*HH138+(1-EXP(-LN(2)/25))/(LN(2)/25)*Calculateur!HC139*Calculateur!HE139*VLOOKUP('Données projet'!$B$18,Paramètres!$A$1:$I$88,3,0)*0.475*44/12</f>
        <v>#N/A</v>
      </c>
      <c r="HI139" s="21" t="e">
        <f>EXP(-LN(2)/2)*HI138+(1-EXP(-LN(2)/2))/(LN(2)/2)*HC139*HF139*VLOOKUP('Données projet'!$B$18,Paramètres!$A$1:$I$88,3,0)*0.475*44/12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projet'!$B$9,Paramètres!$A$1:$I$88,3,0)*VLOOKUP('Données projet'!$B$9,Paramètres!$A$1:$I$88,5,0)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195.73441209602686</v>
      </c>
      <c r="T140" s="59">
        <f t="shared" si="142"/>
        <v>219.19129224309006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projet'!$B$9,Paramètres!$A$1:$I$88,7,0))</f>
        <v>0</v>
      </c>
      <c r="X140" s="16">
        <f>IF(ISNA(VLOOKUP(A140,'Données projet'!$A$35:$I$55,6,0)),0%,VLOOKUP(A140,'Données projet'!$A$35:$I$55,6,0)*VLOOKUP('Données projet'!$B$9,Paramètres!$A$1:$I$88,7,0))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projet'!$B$9,Paramètres!$A$1:$I$88,3,0)*0.475*44/12</f>
        <v>1.8325027088310437</v>
      </c>
      <c r="AA140" s="21">
        <f>EXP(-LN(2)/25)*AA139+(1-EXP(-LN(2)/25))/(LN(2)/25)*Calculateur!V140*Calculateur!X140*VLOOKUP('Données projet'!$B$9,Paramètres!$A$1:$I$88,3,0)*0.475*44/12</f>
        <v>0.72875702986378132</v>
      </c>
      <c r="AB140" s="21">
        <f>EXP(-LN(2)/2)*AB139+(1-EXP(-LN(2)/2))/(LN(2)/2)*V140*Y140*VLOOKUP('Données projet'!$B$9,Paramètres!$A$1:$I$88,3,0)*0.475*44/12</f>
        <v>3.1144635243487977E-18</v>
      </c>
      <c r="AC140" s="22">
        <f t="shared" si="111"/>
        <v>2.561259738694825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-4.5474735088646412E-13</v>
      </c>
      <c r="AJ140" s="13">
        <f>AI140*VLOOKUP('Données projet'!$B$10,Paramètres!$A$1:$I$88,3,0)*VLOOKUP('Données projet'!$B$10,Paramètres!$A$1:$I$88,5,0)</f>
        <v>-2.7193891583010558E-13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246.59447135626942</v>
      </c>
      <c r="AO140" s="59">
        <f t="shared" si="144"/>
        <v>262.00382544285367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projet'!$B$10,Paramètres!$A$1:$I$88,7,0))</f>
        <v>0</v>
      </c>
      <c r="AS140" s="16">
        <f>IF(ISNA(VLOOKUP(A140,'Données projet'!$A$61:$I$81,6,0)),0%,VLOOKUP(A140,'Données projet'!$A$61:$I$81,6,0)*VLOOKUP('Données projet'!$B$10,Paramètres!$A$1:$I$88,7,0))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projet'!$B$10,Paramètres!$A$1:$I$88,3,0)*0.475*44/12</f>
        <v>0</v>
      </c>
      <c r="AV140" s="21">
        <f>EXP(-LN(2)/25)*AV139+(1-EXP(-LN(2)/25))/(LN(2)/25)*Calculateur!AQ140*Calculateur!AS140*VLOOKUP('Données projet'!$B$10,Paramètres!$A$1:$I$88,3,0)*0.475*44/12</f>
        <v>0.66140862748796858</v>
      </c>
      <c r="AW140" s="21">
        <f>EXP(-LN(2)/2)*AW139+(1-EXP(-LN(2)/2))/(LN(2)/2)*AQ140*AT140*VLOOKUP('Données projet'!$B$10,Paramètres!$A$1:$I$88,3,0)*0.475*44/12</f>
        <v>1.8628644493638271E-15</v>
      </c>
      <c r="AX140" s="21">
        <f t="shared" si="114"/>
        <v>0.66140862748797047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-5.6843418860808015E-13</v>
      </c>
      <c r="BE140" s="13">
        <f>BD140*VLOOKUP('Données projet'!$B$11,Paramètres!$A$1:$I$88,3,0)*VLOOKUP('Données projet'!$B$11,Paramètres!$A$1:$I$88,5,0)</f>
        <v>-3.177547114319168E-13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355.96253323046608</v>
      </c>
      <c r="BJ140" s="59">
        <f t="shared" si="146"/>
        <v>366.8380442809696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projet'!$B$11,Paramètres!$A$1:$I$88,7,0))</f>
        <v>0</v>
      </c>
      <c r="BN140" s="16">
        <f>IF(ISNA(VLOOKUP(A140,'Données projet'!$A$87:$I$107,6,0)),0%,VLOOKUP(A140,'Données projet'!$A$87:$I$107,6,0)*VLOOKUP('Données projet'!$B$11,Paramètres!$A$1:$I$88,7,0))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projet'!$B$11,Paramètres!$A$1:$I$88,3,0)*0.475*44/12</f>
        <v>0</v>
      </c>
      <c r="BQ140" s="21">
        <f>EXP(-LN(2)/25)*BQ139+(1-EXP(-LN(2)/25))/(LN(2)/25)*Calculateur!BL140*Calculateur!BN140*VLOOKUP('Données projet'!$B$11,Paramètres!$A$1:$I$88,3,0)*0.475*44/12</f>
        <v>1.1710330201363794</v>
      </c>
      <c r="BR140" s="21">
        <f>EXP(-LN(2)/2)*BR139+(1-EXP(-LN(2)/2))/(LN(2)/2)*BL140*BO140*VLOOKUP('Données projet'!$B$11,Paramètres!$A$1:$I$88,3,0)*0.475*44/12</f>
        <v>2.8802919770397893E-15</v>
      </c>
      <c r="BS140" s="22">
        <f t="shared" si="117"/>
        <v>1.1710330201363823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projet'!$B$12,Paramètres!$A$1:$I$88,3,0)*VLOOKUP('Données projet'!$B$12,Paramètres!$A$1:$I$88,5,0)</f>
        <v>3.7243808037601412E-14</v>
      </c>
      <c r="CA140" s="13">
        <f t="shared" si="147"/>
        <v>6.2767589361185393E-13</v>
      </c>
      <c r="CB140" s="20">
        <f t="shared" si="118"/>
        <v>1.1580684803728015E-12</v>
      </c>
      <c r="CC140" s="59">
        <f t="shared" si="119"/>
        <v>293.33333333333445</v>
      </c>
      <c r="CD140" s="59">
        <f ca="1">AVERAGE(OFFSET($CC$3,0,0,'Données projet'!$E$12+1,1))-AVERAGE(OFFSET($H$3,0,0,'Données projet'!$E$12+1,1))</f>
        <v>180.90147430936133</v>
      </c>
      <c r="CE140" s="59">
        <f t="shared" si="148"/>
        <v>226.87949199830018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projet'!$B$12,Paramètres!$A$1:$I$88,7,0))</f>
        <v>0</v>
      </c>
      <c r="CI140" s="16">
        <f>IF(ISNA(VLOOKUP(A140,'Données projet'!$A$113:$I$133,6,0)),0%,VLOOKUP(A140,'Données projet'!$A$113:$I$133,6,0)*VLOOKUP('Données projet'!$B$12,Paramètres!$A$1:$I$88,7,0))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projet'!$B$12,Paramètres!$A$1:$I$88,3,0)*0.475*44/12</f>
        <v>0</v>
      </c>
      <c r="CL140" s="21">
        <f>EXP(-LN(2)/25)*CL139+(1-EXP(-LN(2)/25))/(LN(2)/25)*Calculateur!CG140*Calculateur!CI140*VLOOKUP('Données projet'!$B$12,Paramètres!$A$1:$I$88,3,0)*0.475*44/12</f>
        <v>0.35365692041417918</v>
      </c>
      <c r="CM140" s="21">
        <f>EXP(-LN(2)/2)*CM139+(1-EXP(-LN(2)/2))/(LN(2)/2)*CG140*CJ140*VLOOKUP('Données projet'!$B$12,Paramètres!$A$1:$I$88,3,0)*0.475*44/12</f>
        <v>6.9574406904800532E-16</v>
      </c>
      <c r="CN140" s="22">
        <f t="shared" si="120"/>
        <v>0.3536569204141799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5.6843418860808015E-14</v>
      </c>
      <c r="CU140" s="17">
        <f>CT140*VLOOKUP('Données projet'!$B$13,Paramètres!$A$1:$I$88,3,0)*VLOOKUP('Données projet'!$B$13,Paramètres!$A$1:$I$88,5,0)</f>
        <v>2.8908289095852525E-14</v>
      </c>
      <c r="CV140" s="13">
        <f t="shared" si="149"/>
        <v>5.0177780569126974E-13</v>
      </c>
      <c r="CW140" s="20">
        <f t="shared" si="121"/>
        <v>9.2427828175423786E-13</v>
      </c>
      <c r="CX140" s="59">
        <f t="shared" si="122"/>
        <v>293.33333333333422</v>
      </c>
      <c r="CY140" s="59">
        <f ca="1">AVERAGE(OFFSET($CX$3,0,0,'Données projet'!$E$13+1,1))-AVERAGE(OFFSET($H$3,0,0,'Données projet'!$E$13+1,1))</f>
        <v>133.08385802816008</v>
      </c>
      <c r="CZ140" s="59">
        <f t="shared" si="150"/>
        <v>316.59112511251385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projet'!$B$13,Paramètres!$A$1:$I$88,7,0))</f>
        <v>0</v>
      </c>
      <c r="DD140" s="16">
        <f>IF(ISNA(VLOOKUP(A140,'Données projet'!$A$139:$I$159,6,0)),0%,VLOOKUP(A140,'Données projet'!$A$139:$I$159,6,0)*VLOOKUP('Données projet'!$B$13,Paramètres!$A$1:$I$88,7,0))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projet'!$B$13,Paramètres!$A$1:$I$88,3,0)*0.475*44/12</f>
        <v>8.6752461105853893</v>
      </c>
      <c r="DG140" s="21">
        <f>EXP(-LN(2)/25)*DG139+(1-EXP(-LN(2)/25))/(LN(2)/25)*Calculateur!DB140*Calculateur!DD140*VLOOKUP('Données projet'!$B$13,Paramètres!$A$1:$I$88,3,0)*0.475*44/12</f>
        <v>0</v>
      </c>
      <c r="DH140" s="21">
        <f>EXP(-LN(2)/2)*DH139+(1-EXP(-LN(2)/2))/(LN(2)/2)*DB140*DE140*VLOOKUP('Données projet'!$B$13,Paramètres!$A$1:$I$88,3,0)*0.475*44/12</f>
        <v>4.4389683011472725E-16</v>
      </c>
      <c r="DI140" s="22">
        <f t="shared" si="123"/>
        <v>8.6752461105853893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projet'!$B$14,Paramètres!$A$1:$I$88,3,0)*VLOOKUP('Données projet'!$B$14,Paramètres!$A$1:$I$88,5,0)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projet'!$B$14,Paramètres!$A$1:$I$88,7,0))</f>
        <v>0</v>
      </c>
      <c r="DY140" s="16">
        <f>IF(ISNA(VLOOKUP(A140,'Données projet'!$A$165:$I$185,6,0)),0%,VLOOKUP(A140,'Données projet'!$A$165:$I$185,6,0)*VLOOKUP('Données projet'!$B$14,Paramètres!$A$1:$I$88,7,0))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projet'!$B$14,Paramètres!$A$1:$I$88,3,0)*0.475*44/12</f>
        <v>#N/A</v>
      </c>
      <c r="EB140" s="21" t="e">
        <f>EXP(-LN(2)/25)*EB139+(1-EXP(-LN(2)/25))/(LN(2)/25)*Calculateur!DW140*Calculateur!DY140*VLOOKUP('Données projet'!$B$14,Paramètres!$A$1:$I$88,3,0)*0.475*44/12</f>
        <v>#N/A</v>
      </c>
      <c r="EC140" s="21" t="e">
        <f>EXP(-LN(2)/2)*EC139+(1-EXP(-LN(2)/2))/(LN(2)/2)*DW140*DZ140*VLOOKUP('Données projet'!$B$14,Paramètres!$A$1:$I$88,3,0)*0.475*44/12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projet'!$B$15,Paramètres!$A$1:$I$88,3,0)*VLOOKUP('Données projet'!$B$15,Paramètres!$A$1:$I$88,5,0)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projet'!$B$15,Paramètres!$A$1:$I$88,7,0))</f>
        <v>0</v>
      </c>
      <c r="ET140" s="16">
        <f>IF(ISNA(VLOOKUP(A140,'Données projet'!$A$191:$I$211,6,0)),0%,VLOOKUP(A140,'Données projet'!$A$191:$I$211,6,0)*VLOOKUP('Données projet'!$B$15,Paramètres!$A$1:$I$88,7,0))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projet'!$B$15,Paramètres!$A$1:$I$88,3,0)*0.475*44/12</f>
        <v>#N/A</v>
      </c>
      <c r="EW140" s="21" t="e">
        <f>EXP(-LN(2)/25)*EW139+(1-EXP(-LN(2)/25))/(LN(2)/25)*Calculateur!ER140*Calculateur!ET140*VLOOKUP('Données projet'!$B$15,Paramètres!$A$1:$I$88,3,0)*0.475*44/12</f>
        <v>#N/A</v>
      </c>
      <c r="EX140" s="21" t="e">
        <f>EXP(-LN(2)/2)*EX139+(1-EXP(-LN(2)/2))/(LN(2)/2)*ER140*EU140*VLOOKUP('Données projet'!$B$15,Paramètres!$A$1:$I$88,3,0)*0.475*44/12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projet'!$B$16,Paramètres!$A$1:$I$88,3,0)*VLOOKUP('Données projet'!$B$16,Paramètres!$A$1:$I$88,5,0)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projet'!$B$16,Paramètres!$A$1:$I$88,7,0))</f>
        <v>0</v>
      </c>
      <c r="FO140" s="16">
        <f>IF(ISNA(VLOOKUP(A140,'Données projet'!$A$217:$I$237,6,0)),0%,VLOOKUP(A140,'Données projet'!$A$217:$I$237,6,0)*VLOOKUP('Données projet'!$B$16,Paramètres!$A$1:$I$88,7,0))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projet'!$B$16,Paramètres!$A$1:$I$88,3,0)*0.475*44/12</f>
        <v>#N/A</v>
      </c>
      <c r="FR140" s="21" t="e">
        <f>EXP(-LN(2)/25)*FR139+(1-EXP(-LN(2)/25))/(LN(2)/25)*Calculateur!FM140*Calculateur!FO140*VLOOKUP('Données projet'!$B$16,Paramètres!$A$1:$I$88,3,0)*0.475*44/12</f>
        <v>#N/A</v>
      </c>
      <c r="FS140" s="21" t="e">
        <f>EXP(-LN(2)/2)*FS139+(1-EXP(-LN(2)/2))/(LN(2)/2)*FM140*FP140*VLOOKUP('Données projet'!$B$16,Paramètres!$A$1:$I$88,3,0)*0.475*44/12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projet'!$B$17,Paramètres!$A$1:$I$88,3,0)*VLOOKUP('Données projet'!$B$17,Paramètres!$A$1:$I$88,5,0)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projet'!$B$17,Paramètres!$A$1:$I$88,7,0))</f>
        <v>0</v>
      </c>
      <c r="GJ140" s="16">
        <f>IF(ISNA(VLOOKUP(A140,'Données projet'!$A$243:$I$263,6,0)),0%,VLOOKUP(A140,'Données projet'!$A$243:$I$263,6,0)*VLOOKUP('Données projet'!$B$17,Paramètres!$A$1:$I$88,7,0))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projet'!$B$17,Paramètres!$A$1:$I$88,3,0)*0.475*44/12</f>
        <v>#N/A</v>
      </c>
      <c r="GM140" s="21" t="e">
        <f>EXP(-LN(2)/25)*GM139+(1-EXP(-LN(2)/25))/(LN(2)/25)*Calculateur!GH140*Calculateur!GJ140*VLOOKUP('Données projet'!$B$17,Paramètres!$A$1:$I$88,3,0)*0.475*44/12</f>
        <v>#N/A</v>
      </c>
      <c r="GN140" s="21" t="e">
        <f>EXP(-LN(2)/2)*GN139+(1-EXP(-LN(2)/2))/(LN(2)/2)*GH140*GK140*VLOOKUP('Données projet'!$B$17,Paramètres!$A$1:$I$88,3,0)*0.475*44/12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projet'!$B$18,Paramètres!$A$1:$I$88,3,0)*VLOOKUP('Données projet'!$B$18,Paramètres!$A$1:$I$88,5,0)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projet'!$B$18,Paramètres!$A$1:$I$88,7,0))</f>
        <v>0</v>
      </c>
      <c r="HE140" s="16">
        <f>IF(ISNA(VLOOKUP(A140,'Données projet'!$A$269:$I$289,6,0)),0%,VLOOKUP(A140,'Données projet'!$A$269:$I$289,6,0)*VLOOKUP('Données projet'!$B$18,Paramètres!$A$1:$I$88,7,0))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projet'!$B$18,Paramètres!$A$1:$I$88,3,0)*0.475*44/12</f>
        <v>#N/A</v>
      </c>
      <c r="HH140" s="21" t="e">
        <f>EXP(-LN(2)/25)*HH139+(1-EXP(-LN(2)/25))/(LN(2)/25)*Calculateur!HC140*Calculateur!HE140*VLOOKUP('Données projet'!$B$18,Paramètres!$A$1:$I$88,3,0)*0.475*44/12</f>
        <v>#N/A</v>
      </c>
      <c r="HI140" s="21" t="e">
        <f>EXP(-LN(2)/2)*HI139+(1-EXP(-LN(2)/2))/(LN(2)/2)*HC140*HF140*VLOOKUP('Données projet'!$B$18,Paramètres!$A$1:$I$88,3,0)*0.475*44/12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projet'!$B$9,Paramètres!$A$1:$I$88,3,0)*VLOOKUP('Données projet'!$B$9,Paramètres!$A$1:$I$88,5,0)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195.73441209602686</v>
      </c>
      <c r="T141" s="59">
        <f t="shared" si="142"/>
        <v>219.19129224309006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projet'!$B$9,Paramètres!$A$1:$I$88,7,0))</f>
        <v>0</v>
      </c>
      <c r="X141" s="16">
        <f>IF(ISNA(VLOOKUP(A141,'Données projet'!$A$35:$I$55,6,0)),0%,VLOOKUP(A141,'Données projet'!$A$35:$I$55,6,0)*VLOOKUP('Données projet'!$B$9,Paramètres!$A$1:$I$88,7,0))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projet'!$B$9,Paramètres!$A$1:$I$88,3,0)*0.475*44/12</f>
        <v>1.796568448427154</v>
      </c>
      <c r="AA141" s="21">
        <f>EXP(-LN(2)/25)*AA140+(1-EXP(-LN(2)/25))/(LN(2)/25)*Calculateur!V141*Calculateur!X141*VLOOKUP('Données projet'!$B$9,Paramètres!$A$1:$I$88,3,0)*0.475*44/12</f>
        <v>0.70882913055848962</v>
      </c>
      <c r="AB141" s="21">
        <f>EXP(-LN(2)/2)*AB140+(1-EXP(-LN(2)/2))/(LN(2)/2)*V141*Y141*VLOOKUP('Données projet'!$B$9,Paramètres!$A$1:$I$88,3,0)*0.475*44/12</f>
        <v>2.2022582778251889E-18</v>
      </c>
      <c r="AC141" s="22">
        <f t="shared" si="111"/>
        <v>2.5053975789856437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-4.5474735088646412E-13</v>
      </c>
      <c r="AJ141" s="13">
        <f>AI141*VLOOKUP('Données projet'!$B$10,Paramètres!$A$1:$I$88,3,0)*VLOOKUP('Données projet'!$B$10,Paramètres!$A$1:$I$88,5,0)</f>
        <v>-2.7193891583010558E-13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246.59447135626942</v>
      </c>
      <c r="AO141" s="59">
        <f t="shared" si="144"/>
        <v>262.00382544285367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projet'!$B$10,Paramètres!$A$1:$I$88,7,0))</f>
        <v>0</v>
      </c>
      <c r="AS141" s="16">
        <f>IF(ISNA(VLOOKUP(A141,'Données projet'!$A$61:$I$81,6,0)),0%,VLOOKUP(A141,'Données projet'!$A$61:$I$81,6,0)*VLOOKUP('Données projet'!$B$10,Paramètres!$A$1:$I$88,7,0))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projet'!$B$10,Paramètres!$A$1:$I$88,3,0)*0.475*44/12</f>
        <v>0</v>
      </c>
      <c r="AV141" s="21">
        <f>EXP(-LN(2)/25)*AV140+(1-EXP(-LN(2)/25))/(LN(2)/25)*Calculateur!AQ141*Calculateur!AS141*VLOOKUP('Données projet'!$B$10,Paramètres!$A$1:$I$88,3,0)*0.475*44/12</f>
        <v>0.64332237378734203</v>
      </c>
      <c r="AW141" s="21">
        <f>EXP(-LN(2)/2)*AW140+(1-EXP(-LN(2)/2))/(LN(2)/2)*AQ141*AT141*VLOOKUP('Données projet'!$B$10,Paramètres!$A$1:$I$88,3,0)*0.475*44/12</f>
        <v>1.3172440845765061E-15</v>
      </c>
      <c r="AX141" s="21">
        <f t="shared" si="114"/>
        <v>0.64332237378734336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-5.6843418860808015E-13</v>
      </c>
      <c r="BE141" s="13">
        <f>BD141*VLOOKUP('Données projet'!$B$11,Paramètres!$A$1:$I$88,3,0)*VLOOKUP('Données projet'!$B$11,Paramètres!$A$1:$I$88,5,0)</f>
        <v>-3.177547114319168E-13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355.96253323046608</v>
      </c>
      <c r="BJ141" s="59">
        <f t="shared" si="146"/>
        <v>366.8380442809696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projet'!$B$11,Paramètres!$A$1:$I$88,7,0))</f>
        <v>0</v>
      </c>
      <c r="BN141" s="16">
        <f>IF(ISNA(VLOOKUP(A141,'Données projet'!$A$87:$I$107,6,0)),0%,VLOOKUP(A141,'Données projet'!$A$87:$I$107,6,0)*VLOOKUP('Données projet'!$B$11,Paramètres!$A$1:$I$88,7,0))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projet'!$B$11,Paramètres!$A$1:$I$88,3,0)*0.475*44/12</f>
        <v>0</v>
      </c>
      <c r="BQ141" s="21">
        <f>EXP(-LN(2)/25)*BQ140+(1-EXP(-LN(2)/25))/(LN(2)/25)*Calculateur!BL141*Calculateur!BN141*VLOOKUP('Données projet'!$B$11,Paramètres!$A$1:$I$88,3,0)*0.475*44/12</f>
        <v>1.1390110606188</v>
      </c>
      <c r="BR141" s="21">
        <f>EXP(-LN(2)/2)*BR140+(1-EXP(-LN(2)/2))/(LN(2)/2)*BL141*BO141*VLOOKUP('Données projet'!$B$11,Paramètres!$A$1:$I$88,3,0)*0.475*44/12</f>
        <v>2.0366739887620426E-15</v>
      </c>
      <c r="BS141" s="22">
        <f t="shared" si="117"/>
        <v>1.139011060618802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projet'!$B$12,Paramètres!$A$1:$I$88,3,0)*VLOOKUP('Données projet'!$B$12,Paramètres!$A$1:$I$88,5,0)</f>
        <v>3.7243808037601412E-14</v>
      </c>
      <c r="CA141" s="13">
        <f t="shared" si="147"/>
        <v>6.2767589361185393E-13</v>
      </c>
      <c r="CB141" s="20">
        <f t="shared" si="118"/>
        <v>1.1580684803728015E-12</v>
      </c>
      <c r="CC141" s="59">
        <f t="shared" si="119"/>
        <v>293.33333333333445</v>
      </c>
      <c r="CD141" s="59">
        <f ca="1">AVERAGE(OFFSET($CC$3,0,0,'Données projet'!$E$12+1,1))-AVERAGE(OFFSET($H$3,0,0,'Données projet'!$E$12+1,1))</f>
        <v>180.90147430936133</v>
      </c>
      <c r="CE141" s="59">
        <f t="shared" si="148"/>
        <v>226.87949199830018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projet'!$B$12,Paramètres!$A$1:$I$88,7,0))</f>
        <v>0</v>
      </c>
      <c r="CI141" s="16">
        <f>IF(ISNA(VLOOKUP(A141,'Données projet'!$A$113:$I$133,6,0)),0%,VLOOKUP(A141,'Données projet'!$A$113:$I$133,6,0)*VLOOKUP('Données projet'!$B$12,Paramètres!$A$1:$I$88,7,0))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projet'!$B$12,Paramètres!$A$1:$I$88,3,0)*0.475*44/12</f>
        <v>0</v>
      </c>
      <c r="CL141" s="21">
        <f>EXP(-LN(2)/25)*CL140+(1-EXP(-LN(2)/25))/(LN(2)/25)*Calculateur!CG141*Calculateur!CI141*VLOOKUP('Données projet'!$B$12,Paramètres!$A$1:$I$88,3,0)*0.475*44/12</f>
        <v>0.34398615332744431</v>
      </c>
      <c r="CM141" s="21">
        <f>EXP(-LN(2)/2)*CM140+(1-EXP(-LN(2)/2))/(LN(2)/2)*CG141*CJ141*VLOOKUP('Données projet'!$B$12,Paramètres!$A$1:$I$88,3,0)*0.475*44/12</f>
        <v>4.919653491941661E-16</v>
      </c>
      <c r="CN141" s="22">
        <f t="shared" si="120"/>
        <v>0.34398615332744481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5.6843418860808015E-14</v>
      </c>
      <c r="CU141" s="17">
        <f>CT141*VLOOKUP('Données projet'!$B$13,Paramètres!$A$1:$I$88,3,0)*VLOOKUP('Données projet'!$B$13,Paramètres!$A$1:$I$88,5,0)</f>
        <v>2.8908289095852525E-14</v>
      </c>
      <c r="CV141" s="13">
        <f t="shared" si="149"/>
        <v>5.0177780569126974E-13</v>
      </c>
      <c r="CW141" s="20">
        <f t="shared" si="121"/>
        <v>9.2427828175423786E-13</v>
      </c>
      <c r="CX141" s="59">
        <f t="shared" si="122"/>
        <v>293.33333333333422</v>
      </c>
      <c r="CY141" s="59">
        <f ca="1">AVERAGE(OFFSET($CX$3,0,0,'Données projet'!$E$13+1,1))-AVERAGE(OFFSET($H$3,0,0,'Données projet'!$E$13+1,1))</f>
        <v>133.08385802816008</v>
      </c>
      <c r="CZ141" s="59">
        <f t="shared" si="150"/>
        <v>316.59112511251385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projet'!$B$13,Paramètres!$A$1:$I$88,7,0))</f>
        <v>0</v>
      </c>
      <c r="DD141" s="16">
        <f>IF(ISNA(VLOOKUP(A141,'Données projet'!$A$139:$I$159,6,0)),0%,VLOOKUP(A141,'Données projet'!$A$139:$I$159,6,0)*VLOOKUP('Données projet'!$B$13,Paramètres!$A$1:$I$88,7,0))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projet'!$B$13,Paramètres!$A$1:$I$88,3,0)*0.475*44/12</f>
        <v>8.505129825734457</v>
      </c>
      <c r="DG141" s="21">
        <f>EXP(-LN(2)/25)*DG140+(1-EXP(-LN(2)/25))/(LN(2)/25)*Calculateur!DB141*Calculateur!DD141*VLOOKUP('Données projet'!$B$13,Paramètres!$A$1:$I$88,3,0)*0.475*44/12</f>
        <v>0</v>
      </c>
      <c r="DH141" s="21">
        <f>EXP(-LN(2)/2)*DH140+(1-EXP(-LN(2)/2))/(LN(2)/2)*DB141*DE141*VLOOKUP('Données projet'!$B$13,Paramètres!$A$1:$I$88,3,0)*0.475*44/12</f>
        <v>3.1388245872133653E-16</v>
      </c>
      <c r="DI141" s="22">
        <f t="shared" si="123"/>
        <v>8.505129825734457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projet'!$B$14,Paramètres!$A$1:$I$88,3,0)*VLOOKUP('Données projet'!$B$14,Paramètres!$A$1:$I$88,5,0)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projet'!$B$14,Paramètres!$A$1:$I$88,7,0))</f>
        <v>0</v>
      </c>
      <c r="DY141" s="16">
        <f>IF(ISNA(VLOOKUP(A141,'Données projet'!$A$165:$I$185,6,0)),0%,VLOOKUP(A141,'Données projet'!$A$165:$I$185,6,0)*VLOOKUP('Données projet'!$B$14,Paramètres!$A$1:$I$88,7,0))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projet'!$B$14,Paramètres!$A$1:$I$88,3,0)*0.475*44/12</f>
        <v>#N/A</v>
      </c>
      <c r="EB141" s="21" t="e">
        <f>EXP(-LN(2)/25)*EB140+(1-EXP(-LN(2)/25))/(LN(2)/25)*Calculateur!DW141*Calculateur!DY141*VLOOKUP('Données projet'!$B$14,Paramètres!$A$1:$I$88,3,0)*0.475*44/12</f>
        <v>#N/A</v>
      </c>
      <c r="EC141" s="21" t="e">
        <f>EXP(-LN(2)/2)*EC140+(1-EXP(-LN(2)/2))/(LN(2)/2)*DW141*DZ141*VLOOKUP('Données projet'!$B$14,Paramètres!$A$1:$I$88,3,0)*0.475*44/12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projet'!$B$15,Paramètres!$A$1:$I$88,3,0)*VLOOKUP('Données projet'!$B$15,Paramètres!$A$1:$I$88,5,0)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projet'!$B$15,Paramètres!$A$1:$I$88,7,0))</f>
        <v>0</v>
      </c>
      <c r="ET141" s="16">
        <f>IF(ISNA(VLOOKUP(A141,'Données projet'!$A$191:$I$211,6,0)),0%,VLOOKUP(A141,'Données projet'!$A$191:$I$211,6,0)*VLOOKUP('Données projet'!$B$15,Paramètres!$A$1:$I$88,7,0))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projet'!$B$15,Paramètres!$A$1:$I$88,3,0)*0.475*44/12</f>
        <v>#N/A</v>
      </c>
      <c r="EW141" s="21" t="e">
        <f>EXP(-LN(2)/25)*EW140+(1-EXP(-LN(2)/25))/(LN(2)/25)*Calculateur!ER141*Calculateur!ET141*VLOOKUP('Données projet'!$B$15,Paramètres!$A$1:$I$88,3,0)*0.475*44/12</f>
        <v>#N/A</v>
      </c>
      <c r="EX141" s="21" t="e">
        <f>EXP(-LN(2)/2)*EX140+(1-EXP(-LN(2)/2))/(LN(2)/2)*ER141*EU141*VLOOKUP('Données projet'!$B$15,Paramètres!$A$1:$I$88,3,0)*0.475*44/12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projet'!$B$16,Paramètres!$A$1:$I$88,3,0)*VLOOKUP('Données projet'!$B$16,Paramètres!$A$1:$I$88,5,0)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projet'!$B$16,Paramètres!$A$1:$I$88,7,0))</f>
        <v>0</v>
      </c>
      <c r="FO141" s="16">
        <f>IF(ISNA(VLOOKUP(A141,'Données projet'!$A$217:$I$237,6,0)),0%,VLOOKUP(A141,'Données projet'!$A$217:$I$237,6,0)*VLOOKUP('Données projet'!$B$16,Paramètres!$A$1:$I$88,7,0))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projet'!$B$16,Paramètres!$A$1:$I$88,3,0)*0.475*44/12</f>
        <v>#N/A</v>
      </c>
      <c r="FR141" s="21" t="e">
        <f>EXP(-LN(2)/25)*FR140+(1-EXP(-LN(2)/25))/(LN(2)/25)*Calculateur!FM141*Calculateur!FO141*VLOOKUP('Données projet'!$B$16,Paramètres!$A$1:$I$88,3,0)*0.475*44/12</f>
        <v>#N/A</v>
      </c>
      <c r="FS141" s="21" t="e">
        <f>EXP(-LN(2)/2)*FS140+(1-EXP(-LN(2)/2))/(LN(2)/2)*FM141*FP141*VLOOKUP('Données projet'!$B$16,Paramètres!$A$1:$I$88,3,0)*0.475*44/12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projet'!$B$17,Paramètres!$A$1:$I$88,3,0)*VLOOKUP('Données projet'!$B$17,Paramètres!$A$1:$I$88,5,0)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projet'!$B$17,Paramètres!$A$1:$I$88,7,0))</f>
        <v>0</v>
      </c>
      <c r="GJ141" s="16">
        <f>IF(ISNA(VLOOKUP(A141,'Données projet'!$A$243:$I$263,6,0)),0%,VLOOKUP(A141,'Données projet'!$A$243:$I$263,6,0)*VLOOKUP('Données projet'!$B$17,Paramètres!$A$1:$I$88,7,0))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projet'!$B$17,Paramètres!$A$1:$I$88,3,0)*0.475*44/12</f>
        <v>#N/A</v>
      </c>
      <c r="GM141" s="21" t="e">
        <f>EXP(-LN(2)/25)*GM140+(1-EXP(-LN(2)/25))/(LN(2)/25)*Calculateur!GH141*Calculateur!GJ141*VLOOKUP('Données projet'!$B$17,Paramètres!$A$1:$I$88,3,0)*0.475*44/12</f>
        <v>#N/A</v>
      </c>
      <c r="GN141" s="21" t="e">
        <f>EXP(-LN(2)/2)*GN140+(1-EXP(-LN(2)/2))/(LN(2)/2)*GH141*GK141*VLOOKUP('Données projet'!$B$17,Paramètres!$A$1:$I$88,3,0)*0.475*44/12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projet'!$B$18,Paramètres!$A$1:$I$88,3,0)*VLOOKUP('Données projet'!$B$18,Paramètres!$A$1:$I$88,5,0)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projet'!$B$18,Paramètres!$A$1:$I$88,7,0))</f>
        <v>0</v>
      </c>
      <c r="HE141" s="16">
        <f>IF(ISNA(VLOOKUP(A141,'Données projet'!$A$269:$I$289,6,0)),0%,VLOOKUP(A141,'Données projet'!$A$269:$I$289,6,0)*VLOOKUP('Données projet'!$B$18,Paramètres!$A$1:$I$88,7,0))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projet'!$B$18,Paramètres!$A$1:$I$88,3,0)*0.475*44/12</f>
        <v>#N/A</v>
      </c>
      <c r="HH141" s="21" t="e">
        <f>EXP(-LN(2)/25)*HH140+(1-EXP(-LN(2)/25))/(LN(2)/25)*Calculateur!HC141*Calculateur!HE141*VLOOKUP('Données projet'!$B$18,Paramètres!$A$1:$I$88,3,0)*0.475*44/12</f>
        <v>#N/A</v>
      </c>
      <c r="HI141" s="21" t="e">
        <f>EXP(-LN(2)/2)*HI140+(1-EXP(-LN(2)/2))/(LN(2)/2)*HC141*HF141*VLOOKUP('Données projet'!$B$18,Paramètres!$A$1:$I$88,3,0)*0.475*44/12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projet'!$B$9,Paramètres!$A$1:$I$88,3,0)*VLOOKUP('Données projet'!$B$9,Paramètres!$A$1:$I$88,5,0)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195.73441209602686</v>
      </c>
      <c r="T142" s="59">
        <f t="shared" si="142"/>
        <v>219.19129224309006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projet'!$B$9,Paramètres!$A$1:$I$88,7,0))</f>
        <v>0</v>
      </c>
      <c r="X142" s="16">
        <f>IF(ISNA(VLOOKUP(A142,'Données projet'!$A$35:$I$55,6,0)),0%,VLOOKUP(A142,'Données projet'!$A$35:$I$55,6,0)*VLOOKUP('Données projet'!$B$9,Paramètres!$A$1:$I$88,7,0))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projet'!$B$9,Paramètres!$A$1:$I$88,3,0)*0.475*44/12</f>
        <v>1.76133883695205</v>
      </c>
      <c r="AA142" s="21">
        <f>EXP(-LN(2)/25)*AA141+(1-EXP(-LN(2)/25))/(LN(2)/25)*Calculateur!V142*Calculateur!X142*VLOOKUP('Données projet'!$B$9,Paramètres!$A$1:$I$88,3,0)*0.475*44/12</f>
        <v>0.68944616070766385</v>
      </c>
      <c r="AB142" s="21">
        <f>EXP(-LN(2)/2)*AB141+(1-EXP(-LN(2)/2))/(LN(2)/2)*V142*Y142*VLOOKUP('Données projet'!$B$9,Paramètres!$A$1:$I$88,3,0)*0.475*44/12</f>
        <v>1.5572317621743989E-18</v>
      </c>
      <c r="AC142" s="22">
        <f t="shared" si="111"/>
        <v>2.4507849976597136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-4.5474735088646412E-13</v>
      </c>
      <c r="AJ142" s="13">
        <f>AI142*VLOOKUP('Données projet'!$B$10,Paramètres!$A$1:$I$88,3,0)*VLOOKUP('Données projet'!$B$10,Paramètres!$A$1:$I$88,5,0)</f>
        <v>-2.7193891583010558E-13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246.59447135626942</v>
      </c>
      <c r="AO142" s="59">
        <f t="shared" si="144"/>
        <v>262.00382544285367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projet'!$B$10,Paramètres!$A$1:$I$88,7,0))</f>
        <v>0</v>
      </c>
      <c r="AS142" s="16">
        <f>IF(ISNA(VLOOKUP(A142,'Données projet'!$A$61:$I$81,6,0)),0%,VLOOKUP(A142,'Données projet'!$A$61:$I$81,6,0)*VLOOKUP('Données projet'!$B$10,Paramètres!$A$1:$I$88,7,0))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projet'!$B$10,Paramètres!$A$1:$I$88,3,0)*0.475*44/12</f>
        <v>0</v>
      </c>
      <c r="AV142" s="21">
        <f>EXP(-LN(2)/25)*AV141+(1-EXP(-LN(2)/25))/(LN(2)/25)*Calculateur!AQ142*Calculateur!AS142*VLOOKUP('Données projet'!$B$10,Paramètres!$A$1:$I$88,3,0)*0.475*44/12</f>
        <v>0.6257306896452739</v>
      </c>
      <c r="AW142" s="21">
        <f>EXP(-LN(2)/2)*AW141+(1-EXP(-LN(2)/2))/(LN(2)/2)*AQ142*AT142*VLOOKUP('Données projet'!$B$10,Paramètres!$A$1:$I$88,3,0)*0.475*44/12</f>
        <v>9.3143222468191356E-16</v>
      </c>
      <c r="AX142" s="21">
        <f t="shared" si="114"/>
        <v>0.62573068964527478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-5.6843418860808015E-13</v>
      </c>
      <c r="BE142" s="13">
        <f>BD142*VLOOKUP('Données projet'!$B$11,Paramètres!$A$1:$I$88,3,0)*VLOOKUP('Données projet'!$B$11,Paramètres!$A$1:$I$88,5,0)</f>
        <v>-3.177547114319168E-13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355.96253323046608</v>
      </c>
      <c r="BJ142" s="59">
        <f t="shared" si="146"/>
        <v>366.8380442809696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projet'!$B$11,Paramètres!$A$1:$I$88,7,0))</f>
        <v>0</v>
      </c>
      <c r="BN142" s="16">
        <f>IF(ISNA(VLOOKUP(A142,'Données projet'!$A$87:$I$107,6,0)),0%,VLOOKUP(A142,'Données projet'!$A$87:$I$107,6,0)*VLOOKUP('Données projet'!$B$11,Paramètres!$A$1:$I$88,7,0))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projet'!$B$11,Paramètres!$A$1:$I$88,3,0)*0.475*44/12</f>
        <v>0</v>
      </c>
      <c r="BQ142" s="21">
        <f>EXP(-LN(2)/25)*BQ141+(1-EXP(-LN(2)/25))/(LN(2)/25)*Calculateur!BL142*Calculateur!BN142*VLOOKUP('Données projet'!$B$11,Paramètres!$A$1:$I$88,3,0)*0.475*44/12</f>
        <v>1.1078647432681905</v>
      </c>
      <c r="BR142" s="21">
        <f>EXP(-LN(2)/2)*BR141+(1-EXP(-LN(2)/2))/(LN(2)/2)*BL142*BO142*VLOOKUP('Données projet'!$B$11,Paramètres!$A$1:$I$88,3,0)*0.475*44/12</f>
        <v>1.4401459885198947E-15</v>
      </c>
      <c r="BS142" s="22">
        <f t="shared" si="117"/>
        <v>1.1078647432681918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projet'!$B$12,Paramètres!$A$1:$I$88,3,0)*VLOOKUP('Données projet'!$B$12,Paramètres!$A$1:$I$88,5,0)</f>
        <v>3.7243808037601412E-14</v>
      </c>
      <c r="CA142" s="13">
        <f t="shared" si="147"/>
        <v>6.2767589361185393E-13</v>
      </c>
      <c r="CB142" s="20">
        <f t="shared" si="118"/>
        <v>1.1580684803728015E-12</v>
      </c>
      <c r="CC142" s="59">
        <f t="shared" si="119"/>
        <v>293.33333333333445</v>
      </c>
      <c r="CD142" s="59">
        <f ca="1">AVERAGE(OFFSET($CC$3,0,0,'Données projet'!$E$12+1,1))-AVERAGE(OFFSET($H$3,0,0,'Données projet'!$E$12+1,1))</f>
        <v>180.90147430936133</v>
      </c>
      <c r="CE142" s="59">
        <f t="shared" si="148"/>
        <v>226.87949199830018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projet'!$B$12,Paramètres!$A$1:$I$88,7,0))</f>
        <v>0</v>
      </c>
      <c r="CI142" s="16">
        <f>IF(ISNA(VLOOKUP(A142,'Données projet'!$A$113:$I$133,6,0)),0%,VLOOKUP(A142,'Données projet'!$A$113:$I$133,6,0)*VLOOKUP('Données projet'!$B$12,Paramètres!$A$1:$I$88,7,0))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projet'!$B$12,Paramètres!$A$1:$I$88,3,0)*0.475*44/12</f>
        <v>0</v>
      </c>
      <c r="CL142" s="21">
        <f>EXP(-LN(2)/25)*CL141+(1-EXP(-LN(2)/25))/(LN(2)/25)*Calculateur!CG142*Calculateur!CI142*VLOOKUP('Données projet'!$B$12,Paramètres!$A$1:$I$88,3,0)*0.475*44/12</f>
        <v>0.33457983387525975</v>
      </c>
      <c r="CM142" s="21">
        <f>EXP(-LN(2)/2)*CM141+(1-EXP(-LN(2)/2))/(LN(2)/2)*CG142*CJ142*VLOOKUP('Données projet'!$B$12,Paramètres!$A$1:$I$88,3,0)*0.475*44/12</f>
        <v>3.4787203452400266E-16</v>
      </c>
      <c r="CN142" s="22">
        <f t="shared" si="120"/>
        <v>0.33457983387526008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5.6843418860808015E-14</v>
      </c>
      <c r="CU142" s="17">
        <f>CT142*VLOOKUP('Données projet'!$B$13,Paramètres!$A$1:$I$88,3,0)*VLOOKUP('Données projet'!$B$13,Paramètres!$A$1:$I$88,5,0)</f>
        <v>2.8908289095852525E-14</v>
      </c>
      <c r="CV142" s="13">
        <f t="shared" si="149"/>
        <v>5.0177780569126974E-13</v>
      </c>
      <c r="CW142" s="20">
        <f t="shared" si="121"/>
        <v>9.2427828175423786E-13</v>
      </c>
      <c r="CX142" s="59">
        <f t="shared" si="122"/>
        <v>293.33333333333422</v>
      </c>
      <c r="CY142" s="59">
        <f ca="1">AVERAGE(OFFSET($CX$3,0,0,'Données projet'!$E$13+1,1))-AVERAGE(OFFSET($H$3,0,0,'Données projet'!$E$13+1,1))</f>
        <v>133.08385802816008</v>
      </c>
      <c r="CZ142" s="59">
        <f t="shared" si="150"/>
        <v>316.59112511251385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projet'!$B$13,Paramètres!$A$1:$I$88,7,0))</f>
        <v>0</v>
      </c>
      <c r="DD142" s="16">
        <f>IF(ISNA(VLOOKUP(A142,'Données projet'!$A$139:$I$159,6,0)),0%,VLOOKUP(A142,'Données projet'!$A$139:$I$159,6,0)*VLOOKUP('Données projet'!$B$13,Paramètres!$A$1:$I$88,7,0))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projet'!$B$13,Paramètres!$A$1:$I$88,3,0)*0.475*44/12</f>
        <v>8.3383494174687627</v>
      </c>
      <c r="DG142" s="21">
        <f>EXP(-LN(2)/25)*DG141+(1-EXP(-LN(2)/25))/(LN(2)/25)*Calculateur!DB142*Calculateur!DD142*VLOOKUP('Données projet'!$B$13,Paramètres!$A$1:$I$88,3,0)*0.475*44/12</f>
        <v>0</v>
      </c>
      <c r="DH142" s="21">
        <f>EXP(-LN(2)/2)*DH141+(1-EXP(-LN(2)/2))/(LN(2)/2)*DB142*DE142*VLOOKUP('Données projet'!$B$13,Paramètres!$A$1:$I$88,3,0)*0.475*44/12</f>
        <v>2.2194841505736365E-16</v>
      </c>
      <c r="DI142" s="22">
        <f t="shared" si="123"/>
        <v>8.3383494174687627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projet'!$B$14,Paramètres!$A$1:$I$88,3,0)*VLOOKUP('Données projet'!$B$14,Paramètres!$A$1:$I$88,5,0)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projet'!$B$14,Paramètres!$A$1:$I$88,7,0))</f>
        <v>0</v>
      </c>
      <c r="DY142" s="16">
        <f>IF(ISNA(VLOOKUP(A142,'Données projet'!$A$165:$I$185,6,0)),0%,VLOOKUP(A142,'Données projet'!$A$165:$I$185,6,0)*VLOOKUP('Données projet'!$B$14,Paramètres!$A$1:$I$88,7,0))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projet'!$B$14,Paramètres!$A$1:$I$88,3,0)*0.475*44/12</f>
        <v>#N/A</v>
      </c>
      <c r="EB142" s="21" t="e">
        <f>EXP(-LN(2)/25)*EB141+(1-EXP(-LN(2)/25))/(LN(2)/25)*Calculateur!DW142*Calculateur!DY142*VLOOKUP('Données projet'!$B$14,Paramètres!$A$1:$I$88,3,0)*0.475*44/12</f>
        <v>#N/A</v>
      </c>
      <c r="EC142" s="21" t="e">
        <f>EXP(-LN(2)/2)*EC141+(1-EXP(-LN(2)/2))/(LN(2)/2)*DW142*DZ142*VLOOKUP('Données projet'!$B$14,Paramètres!$A$1:$I$88,3,0)*0.475*44/12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projet'!$B$15,Paramètres!$A$1:$I$88,3,0)*VLOOKUP('Données projet'!$B$15,Paramètres!$A$1:$I$88,5,0)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projet'!$B$15,Paramètres!$A$1:$I$88,7,0))</f>
        <v>0</v>
      </c>
      <c r="ET142" s="16">
        <f>IF(ISNA(VLOOKUP(A142,'Données projet'!$A$191:$I$211,6,0)),0%,VLOOKUP(A142,'Données projet'!$A$191:$I$211,6,0)*VLOOKUP('Données projet'!$B$15,Paramètres!$A$1:$I$88,7,0))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projet'!$B$15,Paramètres!$A$1:$I$88,3,0)*0.475*44/12</f>
        <v>#N/A</v>
      </c>
      <c r="EW142" s="21" t="e">
        <f>EXP(-LN(2)/25)*EW141+(1-EXP(-LN(2)/25))/(LN(2)/25)*Calculateur!ER142*Calculateur!ET142*VLOOKUP('Données projet'!$B$15,Paramètres!$A$1:$I$88,3,0)*0.475*44/12</f>
        <v>#N/A</v>
      </c>
      <c r="EX142" s="21" t="e">
        <f>EXP(-LN(2)/2)*EX141+(1-EXP(-LN(2)/2))/(LN(2)/2)*ER142*EU142*VLOOKUP('Données projet'!$B$15,Paramètres!$A$1:$I$88,3,0)*0.475*44/12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projet'!$B$16,Paramètres!$A$1:$I$88,3,0)*VLOOKUP('Données projet'!$B$16,Paramètres!$A$1:$I$88,5,0)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projet'!$B$16,Paramètres!$A$1:$I$88,7,0))</f>
        <v>0</v>
      </c>
      <c r="FO142" s="16">
        <f>IF(ISNA(VLOOKUP(A142,'Données projet'!$A$217:$I$237,6,0)),0%,VLOOKUP(A142,'Données projet'!$A$217:$I$237,6,0)*VLOOKUP('Données projet'!$B$16,Paramètres!$A$1:$I$88,7,0))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projet'!$B$16,Paramètres!$A$1:$I$88,3,0)*0.475*44/12</f>
        <v>#N/A</v>
      </c>
      <c r="FR142" s="21" t="e">
        <f>EXP(-LN(2)/25)*FR141+(1-EXP(-LN(2)/25))/(LN(2)/25)*Calculateur!FM142*Calculateur!FO142*VLOOKUP('Données projet'!$B$16,Paramètres!$A$1:$I$88,3,0)*0.475*44/12</f>
        <v>#N/A</v>
      </c>
      <c r="FS142" s="21" t="e">
        <f>EXP(-LN(2)/2)*FS141+(1-EXP(-LN(2)/2))/(LN(2)/2)*FM142*FP142*VLOOKUP('Données projet'!$B$16,Paramètres!$A$1:$I$88,3,0)*0.475*44/12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projet'!$B$17,Paramètres!$A$1:$I$88,3,0)*VLOOKUP('Données projet'!$B$17,Paramètres!$A$1:$I$88,5,0)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projet'!$B$17,Paramètres!$A$1:$I$88,7,0))</f>
        <v>0</v>
      </c>
      <c r="GJ142" s="16">
        <f>IF(ISNA(VLOOKUP(A142,'Données projet'!$A$243:$I$263,6,0)),0%,VLOOKUP(A142,'Données projet'!$A$243:$I$263,6,0)*VLOOKUP('Données projet'!$B$17,Paramètres!$A$1:$I$88,7,0))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projet'!$B$17,Paramètres!$A$1:$I$88,3,0)*0.475*44/12</f>
        <v>#N/A</v>
      </c>
      <c r="GM142" s="21" t="e">
        <f>EXP(-LN(2)/25)*GM141+(1-EXP(-LN(2)/25))/(LN(2)/25)*Calculateur!GH142*Calculateur!GJ142*VLOOKUP('Données projet'!$B$17,Paramètres!$A$1:$I$88,3,0)*0.475*44/12</f>
        <v>#N/A</v>
      </c>
      <c r="GN142" s="21" t="e">
        <f>EXP(-LN(2)/2)*GN141+(1-EXP(-LN(2)/2))/(LN(2)/2)*GH142*GK142*VLOOKUP('Données projet'!$B$17,Paramètres!$A$1:$I$88,3,0)*0.475*44/12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projet'!$B$18,Paramètres!$A$1:$I$88,3,0)*VLOOKUP('Données projet'!$B$18,Paramètres!$A$1:$I$88,5,0)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projet'!$B$18,Paramètres!$A$1:$I$88,7,0))</f>
        <v>0</v>
      </c>
      <c r="HE142" s="16">
        <f>IF(ISNA(VLOOKUP(A142,'Données projet'!$A$269:$I$289,6,0)),0%,VLOOKUP(A142,'Données projet'!$A$269:$I$289,6,0)*VLOOKUP('Données projet'!$B$18,Paramètres!$A$1:$I$88,7,0))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projet'!$B$18,Paramètres!$A$1:$I$88,3,0)*0.475*44/12</f>
        <v>#N/A</v>
      </c>
      <c r="HH142" s="21" t="e">
        <f>EXP(-LN(2)/25)*HH141+(1-EXP(-LN(2)/25))/(LN(2)/25)*Calculateur!HC142*Calculateur!HE142*VLOOKUP('Données projet'!$B$18,Paramètres!$A$1:$I$88,3,0)*0.475*44/12</f>
        <v>#N/A</v>
      </c>
      <c r="HI142" s="21" t="e">
        <f>EXP(-LN(2)/2)*HI141+(1-EXP(-LN(2)/2))/(LN(2)/2)*HC142*HF142*VLOOKUP('Données projet'!$B$18,Paramètres!$A$1:$I$88,3,0)*0.475*44/12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projet'!$B$9,Paramètres!$A$1:$I$88,3,0)*VLOOKUP('Données projet'!$B$9,Paramètres!$A$1:$I$88,5,0)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195.73441209602686</v>
      </c>
      <c r="T143" s="59">
        <f t="shared" si="142"/>
        <v>219.19129224309006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projet'!$B$9,Paramètres!$A$1:$I$88,7,0))</f>
        <v>0</v>
      </c>
      <c r="X143" s="16">
        <f>IF(ISNA(VLOOKUP(A143,'Données projet'!$A$35:$I$55,6,0)),0%,VLOOKUP(A143,'Données projet'!$A$35:$I$55,6,0)*VLOOKUP('Données projet'!$B$9,Paramètres!$A$1:$I$88,7,0))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projet'!$B$9,Paramètres!$A$1:$I$88,3,0)*0.475*44/12</f>
        <v>1.7268000566700314</v>
      </c>
      <c r="AA143" s="21">
        <f>EXP(-LN(2)/25)*AA142+(1-EXP(-LN(2)/25))/(LN(2)/25)*Calculateur!V143*Calculateur!X143*VLOOKUP('Données projet'!$B$9,Paramètres!$A$1:$I$88,3,0)*0.475*44/12</f>
        <v>0.67059321918671488</v>
      </c>
      <c r="AB143" s="21">
        <f>EXP(-LN(2)/2)*AB142+(1-EXP(-LN(2)/2))/(LN(2)/2)*V143*Y143*VLOOKUP('Données projet'!$B$9,Paramètres!$A$1:$I$88,3,0)*0.475*44/12</f>
        <v>1.1011291389125945E-18</v>
      </c>
      <c r="AC143" s="22">
        <f t="shared" si="111"/>
        <v>2.3973932758567464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-4.5474735088646412E-13</v>
      </c>
      <c r="AJ143" s="13">
        <f>AI143*VLOOKUP('Données projet'!$B$10,Paramètres!$A$1:$I$88,3,0)*VLOOKUP('Données projet'!$B$10,Paramètres!$A$1:$I$88,5,0)</f>
        <v>-2.7193891583010558E-13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246.59447135626942</v>
      </c>
      <c r="AO143" s="59">
        <f t="shared" si="144"/>
        <v>262.00382544285367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projet'!$B$10,Paramètres!$A$1:$I$88,7,0))</f>
        <v>0</v>
      </c>
      <c r="AS143" s="16">
        <f>IF(ISNA(VLOOKUP(A143,'Données projet'!$A$61:$I$81,6,0)),0%,VLOOKUP(A143,'Données projet'!$A$61:$I$81,6,0)*VLOOKUP('Données projet'!$B$10,Paramètres!$A$1:$I$88,7,0))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projet'!$B$10,Paramètres!$A$1:$I$88,3,0)*0.475*44/12</f>
        <v>0</v>
      </c>
      <c r="AV143" s="21">
        <f>EXP(-LN(2)/25)*AV142+(1-EXP(-LN(2)/25))/(LN(2)/25)*Calculateur!AQ143*Calculateur!AS143*VLOOKUP('Données projet'!$B$10,Paramètres!$A$1:$I$88,3,0)*0.475*44/12</f>
        <v>0.608620051031177</v>
      </c>
      <c r="AW143" s="21">
        <f>EXP(-LN(2)/2)*AW142+(1-EXP(-LN(2)/2))/(LN(2)/2)*AQ143*AT143*VLOOKUP('Données projet'!$B$10,Paramètres!$A$1:$I$88,3,0)*0.475*44/12</f>
        <v>6.5862204228825304E-16</v>
      </c>
      <c r="AX143" s="21">
        <f t="shared" si="114"/>
        <v>0.60862005103117767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-5.6843418860808015E-13</v>
      </c>
      <c r="BE143" s="13">
        <f>BD143*VLOOKUP('Données projet'!$B$11,Paramètres!$A$1:$I$88,3,0)*VLOOKUP('Données projet'!$B$11,Paramètres!$A$1:$I$88,5,0)</f>
        <v>-3.177547114319168E-13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355.96253323046608</v>
      </c>
      <c r="BJ143" s="59">
        <f t="shared" si="146"/>
        <v>366.8380442809696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projet'!$B$11,Paramètres!$A$1:$I$88,7,0))</f>
        <v>0</v>
      </c>
      <c r="BN143" s="16">
        <f>IF(ISNA(VLOOKUP(A143,'Données projet'!$A$87:$I$107,6,0)),0%,VLOOKUP(A143,'Données projet'!$A$87:$I$107,6,0)*VLOOKUP('Données projet'!$B$11,Paramètres!$A$1:$I$88,7,0))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projet'!$B$11,Paramètres!$A$1:$I$88,3,0)*0.475*44/12</f>
        <v>0</v>
      </c>
      <c r="BQ143" s="21">
        <f>EXP(-LN(2)/25)*BQ142+(1-EXP(-LN(2)/25))/(LN(2)/25)*Calculateur!BL143*Calculateur!BN143*VLOOKUP('Données projet'!$B$11,Paramètres!$A$1:$I$88,3,0)*0.475*44/12</f>
        <v>1.0775701236034469</v>
      </c>
      <c r="BR143" s="21">
        <f>EXP(-LN(2)/2)*BR142+(1-EXP(-LN(2)/2))/(LN(2)/2)*BL143*BO143*VLOOKUP('Données projet'!$B$11,Paramètres!$A$1:$I$88,3,0)*0.475*44/12</f>
        <v>1.0183369943810213E-15</v>
      </c>
      <c r="BS143" s="22">
        <f t="shared" si="117"/>
        <v>1.0775701236034481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projet'!$B$12,Paramètres!$A$1:$I$88,3,0)*VLOOKUP('Données projet'!$B$12,Paramètres!$A$1:$I$88,5,0)</f>
        <v>3.7243808037601412E-14</v>
      </c>
      <c r="CA143" s="13">
        <f t="shared" si="147"/>
        <v>6.2767589361185393E-13</v>
      </c>
      <c r="CB143" s="20">
        <f t="shared" si="118"/>
        <v>1.1580684803728015E-12</v>
      </c>
      <c r="CC143" s="59">
        <f t="shared" si="119"/>
        <v>293.33333333333445</v>
      </c>
      <c r="CD143" s="59">
        <f ca="1">AVERAGE(OFFSET($CC$3,0,0,'Données projet'!$E$12+1,1))-AVERAGE(OFFSET($H$3,0,0,'Données projet'!$E$12+1,1))</f>
        <v>180.90147430936133</v>
      </c>
      <c r="CE143" s="59">
        <f t="shared" si="148"/>
        <v>226.87949199830018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projet'!$B$12,Paramètres!$A$1:$I$88,7,0))</f>
        <v>0</v>
      </c>
      <c r="CI143" s="16">
        <f>IF(ISNA(VLOOKUP(A143,'Données projet'!$A$113:$I$133,6,0)),0%,VLOOKUP(A143,'Données projet'!$A$113:$I$133,6,0)*VLOOKUP('Données projet'!$B$12,Paramètres!$A$1:$I$88,7,0))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projet'!$B$12,Paramètres!$A$1:$I$88,3,0)*0.475*44/12</f>
        <v>0</v>
      </c>
      <c r="CL143" s="21">
        <f>EXP(-LN(2)/25)*CL142+(1-EXP(-LN(2)/25))/(LN(2)/25)*Calculateur!CG143*Calculateur!CI143*VLOOKUP('Données projet'!$B$12,Paramètres!$A$1:$I$88,3,0)*0.475*44/12</f>
        <v>0.32543073072315198</v>
      </c>
      <c r="CM143" s="21">
        <f>EXP(-LN(2)/2)*CM142+(1-EXP(-LN(2)/2))/(LN(2)/2)*CG143*CJ143*VLOOKUP('Données projet'!$B$12,Paramètres!$A$1:$I$88,3,0)*0.475*44/12</f>
        <v>2.4598267459708305E-16</v>
      </c>
      <c r="CN143" s="22">
        <f t="shared" si="120"/>
        <v>0.32543073072315221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5.6843418860808015E-14</v>
      </c>
      <c r="CU143" s="17">
        <f>CT143*VLOOKUP('Données projet'!$B$13,Paramètres!$A$1:$I$88,3,0)*VLOOKUP('Données projet'!$B$13,Paramètres!$A$1:$I$88,5,0)</f>
        <v>2.8908289095852525E-14</v>
      </c>
      <c r="CV143" s="13">
        <f t="shared" si="149"/>
        <v>5.0177780569126974E-13</v>
      </c>
      <c r="CW143" s="20">
        <f t="shared" si="121"/>
        <v>9.2427828175423786E-13</v>
      </c>
      <c r="CX143" s="59">
        <f t="shared" si="122"/>
        <v>293.33333333333422</v>
      </c>
      <c r="CY143" s="59">
        <f ca="1">AVERAGE(OFFSET($CX$3,0,0,'Données projet'!$E$13+1,1))-AVERAGE(OFFSET($H$3,0,0,'Données projet'!$E$13+1,1))</f>
        <v>133.08385802816008</v>
      </c>
      <c r="CZ143" s="59">
        <f t="shared" si="150"/>
        <v>316.59112511251385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projet'!$B$13,Paramètres!$A$1:$I$88,7,0))</f>
        <v>0</v>
      </c>
      <c r="DD143" s="16">
        <f>IF(ISNA(VLOOKUP(A143,'Données projet'!$A$139:$I$159,6,0)),0%,VLOOKUP(A143,'Données projet'!$A$139:$I$159,6,0)*VLOOKUP('Données projet'!$B$13,Paramètres!$A$1:$I$88,7,0))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projet'!$B$13,Paramètres!$A$1:$I$88,3,0)*0.475*44/12</f>
        <v>8.1748394712831551</v>
      </c>
      <c r="DG143" s="21">
        <f>EXP(-LN(2)/25)*DG142+(1-EXP(-LN(2)/25))/(LN(2)/25)*Calculateur!DB143*Calculateur!DD143*VLOOKUP('Données projet'!$B$13,Paramètres!$A$1:$I$88,3,0)*0.475*44/12</f>
        <v>0</v>
      </c>
      <c r="DH143" s="21">
        <f>EXP(-LN(2)/2)*DH142+(1-EXP(-LN(2)/2))/(LN(2)/2)*DB143*DE143*VLOOKUP('Données projet'!$B$13,Paramètres!$A$1:$I$88,3,0)*0.475*44/12</f>
        <v>1.5694122936066829E-16</v>
      </c>
      <c r="DI143" s="22">
        <f t="shared" si="123"/>
        <v>8.1748394712831551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projet'!$B$14,Paramètres!$A$1:$I$88,3,0)*VLOOKUP('Données projet'!$B$14,Paramètres!$A$1:$I$88,5,0)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projet'!$B$14,Paramètres!$A$1:$I$88,7,0))</f>
        <v>0</v>
      </c>
      <c r="DY143" s="16">
        <f>IF(ISNA(VLOOKUP(A143,'Données projet'!$A$165:$I$185,6,0)),0%,VLOOKUP(A143,'Données projet'!$A$165:$I$185,6,0)*VLOOKUP('Données projet'!$B$14,Paramètres!$A$1:$I$88,7,0))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projet'!$B$14,Paramètres!$A$1:$I$88,3,0)*0.475*44/12</f>
        <v>#N/A</v>
      </c>
      <c r="EB143" s="21" t="e">
        <f>EXP(-LN(2)/25)*EB142+(1-EXP(-LN(2)/25))/(LN(2)/25)*Calculateur!DW143*Calculateur!DY143*VLOOKUP('Données projet'!$B$14,Paramètres!$A$1:$I$88,3,0)*0.475*44/12</f>
        <v>#N/A</v>
      </c>
      <c r="EC143" s="21" t="e">
        <f>EXP(-LN(2)/2)*EC142+(1-EXP(-LN(2)/2))/(LN(2)/2)*DW143*DZ143*VLOOKUP('Données projet'!$B$14,Paramètres!$A$1:$I$88,3,0)*0.475*44/12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projet'!$B$15,Paramètres!$A$1:$I$88,3,0)*VLOOKUP('Données projet'!$B$15,Paramètres!$A$1:$I$88,5,0)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projet'!$B$15,Paramètres!$A$1:$I$88,7,0))</f>
        <v>0</v>
      </c>
      <c r="ET143" s="16">
        <f>IF(ISNA(VLOOKUP(A143,'Données projet'!$A$191:$I$211,6,0)),0%,VLOOKUP(A143,'Données projet'!$A$191:$I$211,6,0)*VLOOKUP('Données projet'!$B$15,Paramètres!$A$1:$I$88,7,0))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projet'!$B$15,Paramètres!$A$1:$I$88,3,0)*0.475*44/12</f>
        <v>#N/A</v>
      </c>
      <c r="EW143" s="21" t="e">
        <f>EXP(-LN(2)/25)*EW142+(1-EXP(-LN(2)/25))/(LN(2)/25)*Calculateur!ER143*Calculateur!ET143*VLOOKUP('Données projet'!$B$15,Paramètres!$A$1:$I$88,3,0)*0.475*44/12</f>
        <v>#N/A</v>
      </c>
      <c r="EX143" s="21" t="e">
        <f>EXP(-LN(2)/2)*EX142+(1-EXP(-LN(2)/2))/(LN(2)/2)*ER143*EU143*VLOOKUP('Données projet'!$B$15,Paramètres!$A$1:$I$88,3,0)*0.475*44/12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projet'!$B$16,Paramètres!$A$1:$I$88,3,0)*VLOOKUP('Données projet'!$B$16,Paramètres!$A$1:$I$88,5,0)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projet'!$B$16,Paramètres!$A$1:$I$88,7,0))</f>
        <v>0</v>
      </c>
      <c r="FO143" s="16">
        <f>IF(ISNA(VLOOKUP(A143,'Données projet'!$A$217:$I$237,6,0)),0%,VLOOKUP(A143,'Données projet'!$A$217:$I$237,6,0)*VLOOKUP('Données projet'!$B$16,Paramètres!$A$1:$I$88,7,0))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projet'!$B$16,Paramètres!$A$1:$I$88,3,0)*0.475*44/12</f>
        <v>#N/A</v>
      </c>
      <c r="FR143" s="21" t="e">
        <f>EXP(-LN(2)/25)*FR142+(1-EXP(-LN(2)/25))/(LN(2)/25)*Calculateur!FM143*Calculateur!FO143*VLOOKUP('Données projet'!$B$16,Paramètres!$A$1:$I$88,3,0)*0.475*44/12</f>
        <v>#N/A</v>
      </c>
      <c r="FS143" s="21" t="e">
        <f>EXP(-LN(2)/2)*FS142+(1-EXP(-LN(2)/2))/(LN(2)/2)*FM143*FP143*VLOOKUP('Données projet'!$B$16,Paramètres!$A$1:$I$88,3,0)*0.475*44/12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projet'!$B$17,Paramètres!$A$1:$I$88,3,0)*VLOOKUP('Données projet'!$B$17,Paramètres!$A$1:$I$88,5,0)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projet'!$B$17,Paramètres!$A$1:$I$88,7,0))</f>
        <v>0</v>
      </c>
      <c r="GJ143" s="16">
        <f>IF(ISNA(VLOOKUP(A143,'Données projet'!$A$243:$I$263,6,0)),0%,VLOOKUP(A143,'Données projet'!$A$243:$I$263,6,0)*VLOOKUP('Données projet'!$B$17,Paramètres!$A$1:$I$88,7,0))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projet'!$B$17,Paramètres!$A$1:$I$88,3,0)*0.475*44/12</f>
        <v>#N/A</v>
      </c>
      <c r="GM143" s="21" t="e">
        <f>EXP(-LN(2)/25)*GM142+(1-EXP(-LN(2)/25))/(LN(2)/25)*Calculateur!GH143*Calculateur!GJ143*VLOOKUP('Données projet'!$B$17,Paramètres!$A$1:$I$88,3,0)*0.475*44/12</f>
        <v>#N/A</v>
      </c>
      <c r="GN143" s="21" t="e">
        <f>EXP(-LN(2)/2)*GN142+(1-EXP(-LN(2)/2))/(LN(2)/2)*GH143*GK143*VLOOKUP('Données projet'!$B$17,Paramètres!$A$1:$I$88,3,0)*0.475*44/12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projet'!$B$18,Paramètres!$A$1:$I$88,3,0)*VLOOKUP('Données projet'!$B$18,Paramètres!$A$1:$I$88,5,0)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projet'!$B$18,Paramètres!$A$1:$I$88,7,0))</f>
        <v>0</v>
      </c>
      <c r="HE143" s="16">
        <f>IF(ISNA(VLOOKUP(A143,'Données projet'!$A$269:$I$289,6,0)),0%,VLOOKUP(A143,'Données projet'!$A$269:$I$289,6,0)*VLOOKUP('Données projet'!$B$18,Paramètres!$A$1:$I$88,7,0))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projet'!$B$18,Paramètres!$A$1:$I$88,3,0)*0.475*44/12</f>
        <v>#N/A</v>
      </c>
      <c r="HH143" s="21" t="e">
        <f>EXP(-LN(2)/25)*HH142+(1-EXP(-LN(2)/25))/(LN(2)/25)*Calculateur!HC143*Calculateur!HE143*VLOOKUP('Données projet'!$B$18,Paramètres!$A$1:$I$88,3,0)*0.475*44/12</f>
        <v>#N/A</v>
      </c>
      <c r="HI143" s="21" t="e">
        <f>EXP(-LN(2)/2)*HI142+(1-EXP(-LN(2)/2))/(LN(2)/2)*HC143*HF143*VLOOKUP('Données projet'!$B$18,Paramètres!$A$1:$I$88,3,0)*0.475*44/12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projet'!$B$9,Paramètres!$A$1:$I$88,3,0)*VLOOKUP('Données projet'!$B$9,Paramètres!$A$1:$I$88,5,0)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195.73441209602686</v>
      </c>
      <c r="T144" s="59">
        <f t="shared" si="142"/>
        <v>219.19129224309006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projet'!$B$9,Paramètres!$A$1:$I$88,7,0))</f>
        <v>0</v>
      </c>
      <c r="X144" s="16">
        <f>IF(ISNA(VLOOKUP(A144,'Données projet'!$A$35:$I$55,6,0)),0%,VLOOKUP(A144,'Données projet'!$A$35:$I$55,6,0)*VLOOKUP('Données projet'!$B$9,Paramètres!$A$1:$I$88,7,0))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projet'!$B$9,Paramètres!$A$1:$I$88,3,0)*0.475*44/12</f>
        <v>1.6929385608027674</v>
      </c>
      <c r="AA144" s="21">
        <f>EXP(-LN(2)/25)*AA143+(1-EXP(-LN(2)/25))/(LN(2)/25)*Calculateur!V144*Calculateur!X144*VLOOKUP('Données projet'!$B$9,Paramètres!$A$1:$I$88,3,0)*0.475*44/12</f>
        <v>0.65225581234308938</v>
      </c>
      <c r="AB144" s="21">
        <f>EXP(-LN(2)/2)*AB143+(1-EXP(-LN(2)/2))/(LN(2)/2)*V144*Y144*VLOOKUP('Données projet'!$B$9,Paramètres!$A$1:$I$88,3,0)*0.475*44/12</f>
        <v>7.7861588108719943E-19</v>
      </c>
      <c r="AC144" s="22">
        <f t="shared" si="111"/>
        <v>2.3451943731458567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-4.5474735088646412E-13</v>
      </c>
      <c r="AJ144" s="13">
        <f>AI144*VLOOKUP('Données projet'!$B$10,Paramètres!$A$1:$I$88,3,0)*VLOOKUP('Données projet'!$B$10,Paramètres!$A$1:$I$88,5,0)</f>
        <v>-2.7193891583010558E-13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246.59447135626942</v>
      </c>
      <c r="AO144" s="59">
        <f t="shared" si="144"/>
        <v>262.00382544285367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projet'!$B$10,Paramètres!$A$1:$I$88,7,0))</f>
        <v>0</v>
      </c>
      <c r="AS144" s="16">
        <f>IF(ISNA(VLOOKUP(A144,'Données projet'!$A$61:$I$81,6,0)),0%,VLOOKUP(A144,'Données projet'!$A$61:$I$81,6,0)*VLOOKUP('Données projet'!$B$10,Paramètres!$A$1:$I$88,7,0))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projet'!$B$10,Paramètres!$A$1:$I$88,3,0)*0.475*44/12</f>
        <v>0</v>
      </c>
      <c r="AV144" s="21">
        <f>EXP(-LN(2)/25)*AV143+(1-EXP(-LN(2)/25))/(LN(2)/25)*Calculateur!AQ144*Calculateur!AS144*VLOOKUP('Données projet'!$B$10,Paramètres!$A$1:$I$88,3,0)*0.475*44/12</f>
        <v>0.59197730372979196</v>
      </c>
      <c r="AW144" s="21">
        <f>EXP(-LN(2)/2)*AW143+(1-EXP(-LN(2)/2))/(LN(2)/2)*AQ144*AT144*VLOOKUP('Données projet'!$B$10,Paramètres!$A$1:$I$88,3,0)*0.475*44/12</f>
        <v>4.6571611234095678E-16</v>
      </c>
      <c r="AX144" s="21">
        <f t="shared" si="114"/>
        <v>0.5919773037297924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-5.6843418860808015E-13</v>
      </c>
      <c r="BE144" s="13">
        <f>BD144*VLOOKUP('Données projet'!$B$11,Paramètres!$A$1:$I$88,3,0)*VLOOKUP('Données projet'!$B$11,Paramètres!$A$1:$I$88,5,0)</f>
        <v>-3.177547114319168E-13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355.96253323046608</v>
      </c>
      <c r="BJ144" s="59">
        <f t="shared" si="146"/>
        <v>366.8380442809696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projet'!$B$11,Paramètres!$A$1:$I$88,7,0))</f>
        <v>0</v>
      </c>
      <c r="BN144" s="16">
        <f>IF(ISNA(VLOOKUP(A144,'Données projet'!$A$87:$I$107,6,0)),0%,VLOOKUP(A144,'Données projet'!$A$87:$I$107,6,0)*VLOOKUP('Données projet'!$B$11,Paramètres!$A$1:$I$88,7,0))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projet'!$B$11,Paramètres!$A$1:$I$88,3,0)*0.475*44/12</f>
        <v>0</v>
      </c>
      <c r="BQ144" s="21">
        <f>EXP(-LN(2)/25)*BQ143+(1-EXP(-LN(2)/25))/(LN(2)/25)*Calculateur!BL144*Calculateur!BN144*VLOOKUP('Données projet'!$B$11,Paramètres!$A$1:$I$88,3,0)*0.475*44/12</f>
        <v>1.0481039119065607</v>
      </c>
      <c r="BR144" s="21">
        <f>EXP(-LN(2)/2)*BR143+(1-EXP(-LN(2)/2))/(LN(2)/2)*BL144*BO144*VLOOKUP('Données projet'!$B$11,Paramètres!$A$1:$I$88,3,0)*0.475*44/12</f>
        <v>7.2007299425994734E-16</v>
      </c>
      <c r="BS144" s="22">
        <f t="shared" si="117"/>
        <v>1.0481039119065614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projet'!$B$12,Paramètres!$A$1:$I$88,3,0)*VLOOKUP('Données projet'!$B$12,Paramètres!$A$1:$I$88,5,0)</f>
        <v>3.7243808037601412E-14</v>
      </c>
      <c r="CA144" s="13">
        <f t="shared" si="147"/>
        <v>6.2767589361185393E-13</v>
      </c>
      <c r="CB144" s="20">
        <f t="shared" si="118"/>
        <v>1.1580684803728015E-12</v>
      </c>
      <c r="CC144" s="59">
        <f t="shared" si="119"/>
        <v>293.33333333333445</v>
      </c>
      <c r="CD144" s="59">
        <f ca="1">AVERAGE(OFFSET($CC$3,0,0,'Données projet'!$E$12+1,1))-AVERAGE(OFFSET($H$3,0,0,'Données projet'!$E$12+1,1))</f>
        <v>180.90147430936133</v>
      </c>
      <c r="CE144" s="59">
        <f t="shared" si="148"/>
        <v>226.87949199830018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projet'!$B$12,Paramètres!$A$1:$I$88,7,0))</f>
        <v>0</v>
      </c>
      <c r="CI144" s="16">
        <f>IF(ISNA(VLOOKUP(A144,'Données projet'!$A$113:$I$133,6,0)),0%,VLOOKUP(A144,'Données projet'!$A$113:$I$133,6,0)*VLOOKUP('Données projet'!$B$12,Paramètres!$A$1:$I$88,7,0))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projet'!$B$12,Paramètres!$A$1:$I$88,3,0)*0.475*44/12</f>
        <v>0</v>
      </c>
      <c r="CL144" s="21">
        <f>EXP(-LN(2)/25)*CL143+(1-EXP(-LN(2)/25))/(LN(2)/25)*Calculateur!CG144*Calculateur!CI144*VLOOKUP('Données projet'!$B$12,Paramètres!$A$1:$I$88,3,0)*0.475*44/12</f>
        <v>0.31653181027786903</v>
      </c>
      <c r="CM144" s="21">
        <f>EXP(-LN(2)/2)*CM143+(1-EXP(-LN(2)/2))/(LN(2)/2)*CG144*CJ144*VLOOKUP('Données projet'!$B$12,Paramètres!$A$1:$I$88,3,0)*0.475*44/12</f>
        <v>1.7393601726200133E-16</v>
      </c>
      <c r="CN144" s="22">
        <f t="shared" si="120"/>
        <v>0.3165318102778692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5.6843418860808015E-14</v>
      </c>
      <c r="CU144" s="17">
        <f>CT144*VLOOKUP('Données projet'!$B$13,Paramètres!$A$1:$I$88,3,0)*VLOOKUP('Données projet'!$B$13,Paramètres!$A$1:$I$88,5,0)</f>
        <v>2.8908289095852525E-14</v>
      </c>
      <c r="CV144" s="13">
        <f t="shared" si="149"/>
        <v>5.0177780569126974E-13</v>
      </c>
      <c r="CW144" s="20">
        <f t="shared" si="121"/>
        <v>9.2427828175423786E-13</v>
      </c>
      <c r="CX144" s="59">
        <f t="shared" si="122"/>
        <v>293.33333333333422</v>
      </c>
      <c r="CY144" s="59">
        <f ca="1">AVERAGE(OFFSET($CX$3,0,0,'Données projet'!$E$13+1,1))-AVERAGE(OFFSET($H$3,0,0,'Données projet'!$E$13+1,1))</f>
        <v>133.08385802816008</v>
      </c>
      <c r="CZ144" s="59">
        <f t="shared" si="150"/>
        <v>316.59112511251385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projet'!$B$13,Paramètres!$A$1:$I$88,7,0))</f>
        <v>0</v>
      </c>
      <c r="DD144" s="16">
        <f>IF(ISNA(VLOOKUP(A144,'Données projet'!$A$139:$I$159,6,0)),0%,VLOOKUP(A144,'Données projet'!$A$139:$I$159,6,0)*VLOOKUP('Données projet'!$B$13,Paramètres!$A$1:$I$88,7,0))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projet'!$B$13,Paramètres!$A$1:$I$88,3,0)*0.475*44/12</f>
        <v>8.0145358554110278</v>
      </c>
      <c r="DG144" s="21">
        <f>EXP(-LN(2)/25)*DG143+(1-EXP(-LN(2)/25))/(LN(2)/25)*Calculateur!DB144*Calculateur!DD144*VLOOKUP('Données projet'!$B$13,Paramètres!$A$1:$I$88,3,0)*0.475*44/12</f>
        <v>0</v>
      </c>
      <c r="DH144" s="21">
        <f>EXP(-LN(2)/2)*DH143+(1-EXP(-LN(2)/2))/(LN(2)/2)*DB144*DE144*VLOOKUP('Données projet'!$B$13,Paramètres!$A$1:$I$88,3,0)*0.475*44/12</f>
        <v>1.1097420752868185E-16</v>
      </c>
      <c r="DI144" s="22">
        <f t="shared" si="123"/>
        <v>8.0145358554110278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projet'!$B$14,Paramètres!$A$1:$I$88,3,0)*VLOOKUP('Données projet'!$B$14,Paramètres!$A$1:$I$88,5,0)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projet'!$B$14,Paramètres!$A$1:$I$88,7,0))</f>
        <v>0</v>
      </c>
      <c r="DY144" s="16">
        <f>IF(ISNA(VLOOKUP(A144,'Données projet'!$A$165:$I$185,6,0)),0%,VLOOKUP(A144,'Données projet'!$A$165:$I$185,6,0)*VLOOKUP('Données projet'!$B$14,Paramètres!$A$1:$I$88,7,0))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projet'!$B$14,Paramètres!$A$1:$I$88,3,0)*0.475*44/12</f>
        <v>#N/A</v>
      </c>
      <c r="EB144" s="21" t="e">
        <f>EXP(-LN(2)/25)*EB143+(1-EXP(-LN(2)/25))/(LN(2)/25)*Calculateur!DW144*Calculateur!DY144*VLOOKUP('Données projet'!$B$14,Paramètres!$A$1:$I$88,3,0)*0.475*44/12</f>
        <v>#N/A</v>
      </c>
      <c r="EC144" s="21" t="e">
        <f>EXP(-LN(2)/2)*EC143+(1-EXP(-LN(2)/2))/(LN(2)/2)*DW144*DZ144*VLOOKUP('Données projet'!$B$14,Paramètres!$A$1:$I$88,3,0)*0.475*44/12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projet'!$B$15,Paramètres!$A$1:$I$88,3,0)*VLOOKUP('Données projet'!$B$15,Paramètres!$A$1:$I$88,5,0)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projet'!$B$15,Paramètres!$A$1:$I$88,7,0))</f>
        <v>0</v>
      </c>
      <c r="ET144" s="16">
        <f>IF(ISNA(VLOOKUP(A144,'Données projet'!$A$191:$I$211,6,0)),0%,VLOOKUP(A144,'Données projet'!$A$191:$I$211,6,0)*VLOOKUP('Données projet'!$B$15,Paramètres!$A$1:$I$88,7,0))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projet'!$B$15,Paramètres!$A$1:$I$88,3,0)*0.475*44/12</f>
        <v>#N/A</v>
      </c>
      <c r="EW144" s="21" t="e">
        <f>EXP(-LN(2)/25)*EW143+(1-EXP(-LN(2)/25))/(LN(2)/25)*Calculateur!ER144*Calculateur!ET144*VLOOKUP('Données projet'!$B$15,Paramètres!$A$1:$I$88,3,0)*0.475*44/12</f>
        <v>#N/A</v>
      </c>
      <c r="EX144" s="21" t="e">
        <f>EXP(-LN(2)/2)*EX143+(1-EXP(-LN(2)/2))/(LN(2)/2)*ER144*EU144*VLOOKUP('Données projet'!$B$15,Paramètres!$A$1:$I$88,3,0)*0.475*44/12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projet'!$B$16,Paramètres!$A$1:$I$88,3,0)*VLOOKUP('Données projet'!$B$16,Paramètres!$A$1:$I$88,5,0)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projet'!$B$16,Paramètres!$A$1:$I$88,7,0))</f>
        <v>0</v>
      </c>
      <c r="FO144" s="16">
        <f>IF(ISNA(VLOOKUP(A144,'Données projet'!$A$217:$I$237,6,0)),0%,VLOOKUP(A144,'Données projet'!$A$217:$I$237,6,0)*VLOOKUP('Données projet'!$B$16,Paramètres!$A$1:$I$88,7,0))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projet'!$B$16,Paramètres!$A$1:$I$88,3,0)*0.475*44/12</f>
        <v>#N/A</v>
      </c>
      <c r="FR144" s="21" t="e">
        <f>EXP(-LN(2)/25)*FR143+(1-EXP(-LN(2)/25))/(LN(2)/25)*Calculateur!FM144*Calculateur!FO144*VLOOKUP('Données projet'!$B$16,Paramètres!$A$1:$I$88,3,0)*0.475*44/12</f>
        <v>#N/A</v>
      </c>
      <c r="FS144" s="21" t="e">
        <f>EXP(-LN(2)/2)*FS143+(1-EXP(-LN(2)/2))/(LN(2)/2)*FM144*FP144*VLOOKUP('Données projet'!$B$16,Paramètres!$A$1:$I$88,3,0)*0.475*44/12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projet'!$B$17,Paramètres!$A$1:$I$88,3,0)*VLOOKUP('Données projet'!$B$17,Paramètres!$A$1:$I$88,5,0)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projet'!$B$17,Paramètres!$A$1:$I$88,7,0))</f>
        <v>0</v>
      </c>
      <c r="GJ144" s="16">
        <f>IF(ISNA(VLOOKUP(A144,'Données projet'!$A$243:$I$263,6,0)),0%,VLOOKUP(A144,'Données projet'!$A$243:$I$263,6,0)*VLOOKUP('Données projet'!$B$17,Paramètres!$A$1:$I$88,7,0))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projet'!$B$17,Paramètres!$A$1:$I$88,3,0)*0.475*44/12</f>
        <v>#N/A</v>
      </c>
      <c r="GM144" s="21" t="e">
        <f>EXP(-LN(2)/25)*GM143+(1-EXP(-LN(2)/25))/(LN(2)/25)*Calculateur!GH144*Calculateur!GJ144*VLOOKUP('Données projet'!$B$17,Paramètres!$A$1:$I$88,3,0)*0.475*44/12</f>
        <v>#N/A</v>
      </c>
      <c r="GN144" s="21" t="e">
        <f>EXP(-LN(2)/2)*GN143+(1-EXP(-LN(2)/2))/(LN(2)/2)*GH144*GK144*VLOOKUP('Données projet'!$B$17,Paramètres!$A$1:$I$88,3,0)*0.475*44/12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projet'!$B$18,Paramètres!$A$1:$I$88,3,0)*VLOOKUP('Données projet'!$B$18,Paramètres!$A$1:$I$88,5,0)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projet'!$B$18,Paramètres!$A$1:$I$88,7,0))</f>
        <v>0</v>
      </c>
      <c r="HE144" s="16">
        <f>IF(ISNA(VLOOKUP(A144,'Données projet'!$A$269:$I$289,6,0)),0%,VLOOKUP(A144,'Données projet'!$A$269:$I$289,6,0)*VLOOKUP('Données projet'!$B$18,Paramètres!$A$1:$I$88,7,0))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projet'!$B$18,Paramètres!$A$1:$I$88,3,0)*0.475*44/12</f>
        <v>#N/A</v>
      </c>
      <c r="HH144" s="21" t="e">
        <f>EXP(-LN(2)/25)*HH143+(1-EXP(-LN(2)/25))/(LN(2)/25)*Calculateur!HC144*Calculateur!HE144*VLOOKUP('Données projet'!$B$18,Paramètres!$A$1:$I$88,3,0)*0.475*44/12</f>
        <v>#N/A</v>
      </c>
      <c r="HI144" s="21" t="e">
        <f>EXP(-LN(2)/2)*HI143+(1-EXP(-LN(2)/2))/(LN(2)/2)*HC144*HF144*VLOOKUP('Données projet'!$B$18,Paramètres!$A$1:$I$88,3,0)*0.475*44/12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projet'!$B$9,Paramètres!$A$1:$I$88,3,0)*VLOOKUP('Données projet'!$B$9,Paramètres!$A$1:$I$88,5,0)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195.73441209602686</v>
      </c>
      <c r="T145" s="59">
        <f t="shared" si="142"/>
        <v>219.19129224309006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projet'!$B$9,Paramètres!$A$1:$I$88,7,0))</f>
        <v>0</v>
      </c>
      <c r="X145" s="16">
        <f>IF(ISNA(VLOOKUP(A145,'Données projet'!$A$35:$I$55,6,0)),0%,VLOOKUP(A145,'Données projet'!$A$35:$I$55,6,0)*VLOOKUP('Données projet'!$B$9,Paramètres!$A$1:$I$88,7,0))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projet'!$B$9,Paramètres!$A$1:$I$88,3,0)*0.475*44/12</f>
        <v>1.6597410682159874</v>
      </c>
      <c r="AA145" s="21">
        <f>EXP(-LN(2)/25)*AA144+(1-EXP(-LN(2)/25))/(LN(2)/25)*Calculateur!V145*Calculateur!X145*VLOOKUP('Données projet'!$B$9,Paramètres!$A$1:$I$88,3,0)*0.475*44/12</f>
        <v>0.63441984285392516</v>
      </c>
      <c r="AB145" s="21">
        <f>EXP(-LN(2)/2)*AB144+(1-EXP(-LN(2)/2))/(LN(2)/2)*V145*Y145*VLOOKUP('Données projet'!$B$9,Paramètres!$A$1:$I$88,3,0)*0.475*44/12</f>
        <v>5.5056456945629723E-19</v>
      </c>
      <c r="AC145" s="22">
        <f t="shared" si="111"/>
        <v>2.2941609110699126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-4.5474735088646412E-13</v>
      </c>
      <c r="AJ145" s="13">
        <f>AI145*VLOOKUP('Données projet'!$B$10,Paramètres!$A$1:$I$88,3,0)*VLOOKUP('Données projet'!$B$10,Paramètres!$A$1:$I$88,5,0)</f>
        <v>-2.7193891583010558E-13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246.59447135626942</v>
      </c>
      <c r="AO145" s="59">
        <f t="shared" si="144"/>
        <v>262.00382544285367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projet'!$B$10,Paramètres!$A$1:$I$88,7,0))</f>
        <v>0</v>
      </c>
      <c r="AS145" s="16">
        <f>IF(ISNA(VLOOKUP(A145,'Données projet'!$A$61:$I$81,6,0)),0%,VLOOKUP(A145,'Données projet'!$A$61:$I$81,6,0)*VLOOKUP('Données projet'!$B$10,Paramètres!$A$1:$I$88,7,0))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projet'!$B$10,Paramètres!$A$1:$I$88,3,0)*0.475*44/12</f>
        <v>0</v>
      </c>
      <c r="AV145" s="21">
        <f>EXP(-LN(2)/25)*AV144+(1-EXP(-LN(2)/25))/(LN(2)/25)*Calculateur!AQ145*Calculateur!AS145*VLOOKUP('Données projet'!$B$10,Paramètres!$A$1:$I$88,3,0)*0.475*44/12</f>
        <v>0.57578965322856734</v>
      </c>
      <c r="AW145" s="21">
        <f>EXP(-LN(2)/2)*AW144+(1-EXP(-LN(2)/2))/(LN(2)/2)*AQ145*AT145*VLOOKUP('Données projet'!$B$10,Paramètres!$A$1:$I$88,3,0)*0.475*44/12</f>
        <v>3.2931102114412652E-16</v>
      </c>
      <c r="AX145" s="21">
        <f t="shared" si="114"/>
        <v>0.57578965322856768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-5.6843418860808015E-13</v>
      </c>
      <c r="BE145" s="13">
        <f>BD145*VLOOKUP('Données projet'!$B$11,Paramètres!$A$1:$I$88,3,0)*VLOOKUP('Données projet'!$B$11,Paramètres!$A$1:$I$88,5,0)</f>
        <v>-3.177547114319168E-13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355.96253323046608</v>
      </c>
      <c r="BJ145" s="59">
        <f t="shared" si="146"/>
        <v>366.8380442809696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projet'!$B$11,Paramètres!$A$1:$I$88,7,0))</f>
        <v>0</v>
      </c>
      <c r="BN145" s="16">
        <f>IF(ISNA(VLOOKUP(A145,'Données projet'!$A$87:$I$107,6,0)),0%,VLOOKUP(A145,'Données projet'!$A$87:$I$107,6,0)*VLOOKUP('Données projet'!$B$11,Paramètres!$A$1:$I$88,7,0))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projet'!$B$11,Paramètres!$A$1:$I$88,3,0)*0.475*44/12</f>
        <v>0</v>
      </c>
      <c r="BQ145" s="21">
        <f>EXP(-LN(2)/25)*BQ144+(1-EXP(-LN(2)/25))/(LN(2)/25)*Calculateur!BL145*Calculateur!BN145*VLOOKUP('Données projet'!$B$11,Paramètres!$A$1:$I$88,3,0)*0.475*44/12</f>
        <v>1.0194434553180867</v>
      </c>
      <c r="BR145" s="21">
        <f>EXP(-LN(2)/2)*BR144+(1-EXP(-LN(2)/2))/(LN(2)/2)*BL145*BO145*VLOOKUP('Données projet'!$B$11,Paramètres!$A$1:$I$88,3,0)*0.475*44/12</f>
        <v>5.0916849719051066E-16</v>
      </c>
      <c r="BS145" s="22">
        <f t="shared" si="117"/>
        <v>1.0194434553180871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projet'!$B$12,Paramètres!$A$1:$I$88,3,0)*VLOOKUP('Données projet'!$B$12,Paramètres!$A$1:$I$88,5,0)</f>
        <v>3.7243808037601412E-14</v>
      </c>
      <c r="CA145" s="13">
        <f t="shared" si="147"/>
        <v>6.2767589361185393E-13</v>
      </c>
      <c r="CB145" s="20">
        <f t="shared" si="118"/>
        <v>1.1580684803728015E-12</v>
      </c>
      <c r="CC145" s="59">
        <f t="shared" si="119"/>
        <v>293.33333333333445</v>
      </c>
      <c r="CD145" s="59">
        <f ca="1">AVERAGE(OFFSET($CC$3,0,0,'Données projet'!$E$12+1,1))-AVERAGE(OFFSET($H$3,0,0,'Données projet'!$E$12+1,1))</f>
        <v>180.90147430936133</v>
      </c>
      <c r="CE145" s="59">
        <f t="shared" si="148"/>
        <v>226.87949199830018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projet'!$B$12,Paramètres!$A$1:$I$88,7,0))</f>
        <v>0</v>
      </c>
      <c r="CI145" s="16">
        <f>IF(ISNA(VLOOKUP(A145,'Données projet'!$A$113:$I$133,6,0)),0%,VLOOKUP(A145,'Données projet'!$A$113:$I$133,6,0)*VLOOKUP('Données projet'!$B$12,Paramètres!$A$1:$I$88,7,0))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projet'!$B$12,Paramètres!$A$1:$I$88,3,0)*0.475*44/12</f>
        <v>0</v>
      </c>
      <c r="CL145" s="21">
        <f>EXP(-LN(2)/25)*CL144+(1-EXP(-LN(2)/25))/(LN(2)/25)*Calculateur!CG145*Calculateur!CI145*VLOOKUP('Données projet'!$B$12,Paramètres!$A$1:$I$88,3,0)*0.475*44/12</f>
        <v>0.30787623128013625</v>
      </c>
      <c r="CM145" s="21">
        <f>EXP(-LN(2)/2)*CM144+(1-EXP(-LN(2)/2))/(LN(2)/2)*CG145*CJ145*VLOOKUP('Données projet'!$B$12,Paramètres!$A$1:$I$88,3,0)*0.475*44/12</f>
        <v>1.2299133729854152E-16</v>
      </c>
      <c r="CN145" s="22">
        <f t="shared" si="120"/>
        <v>0.30787623128013636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5.6843418860808015E-14</v>
      </c>
      <c r="CU145" s="17">
        <f>CT145*VLOOKUP('Données projet'!$B$13,Paramètres!$A$1:$I$88,3,0)*VLOOKUP('Données projet'!$B$13,Paramètres!$A$1:$I$88,5,0)</f>
        <v>2.8908289095852525E-14</v>
      </c>
      <c r="CV145" s="13">
        <f t="shared" si="149"/>
        <v>5.0177780569126974E-13</v>
      </c>
      <c r="CW145" s="20">
        <f t="shared" si="121"/>
        <v>9.2427828175423786E-13</v>
      </c>
      <c r="CX145" s="59">
        <f t="shared" si="122"/>
        <v>293.33333333333422</v>
      </c>
      <c r="CY145" s="59">
        <f ca="1">AVERAGE(OFFSET($CX$3,0,0,'Données projet'!$E$13+1,1))-AVERAGE(OFFSET($H$3,0,0,'Données projet'!$E$13+1,1))</f>
        <v>133.08385802816008</v>
      </c>
      <c r="CZ145" s="59">
        <f t="shared" si="150"/>
        <v>316.59112511251385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projet'!$B$13,Paramètres!$A$1:$I$88,7,0))</f>
        <v>0</v>
      </c>
      <c r="DD145" s="16">
        <f>IF(ISNA(VLOOKUP(A145,'Données projet'!$A$139:$I$159,6,0)),0%,VLOOKUP(A145,'Données projet'!$A$139:$I$159,6,0)*VLOOKUP('Données projet'!$B$13,Paramètres!$A$1:$I$88,7,0))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projet'!$B$13,Paramètres!$A$1:$I$88,3,0)*0.475*44/12</f>
        <v>7.8573756956706013</v>
      </c>
      <c r="DG145" s="21">
        <f>EXP(-LN(2)/25)*DG144+(1-EXP(-LN(2)/25))/(LN(2)/25)*Calculateur!DB145*Calculateur!DD145*VLOOKUP('Données projet'!$B$13,Paramètres!$A$1:$I$88,3,0)*0.475*44/12</f>
        <v>0</v>
      </c>
      <c r="DH145" s="21">
        <f>EXP(-LN(2)/2)*DH144+(1-EXP(-LN(2)/2))/(LN(2)/2)*DB145*DE145*VLOOKUP('Données projet'!$B$13,Paramètres!$A$1:$I$88,3,0)*0.475*44/12</f>
        <v>7.8470614680334157E-17</v>
      </c>
      <c r="DI145" s="22">
        <f t="shared" si="123"/>
        <v>7.8573756956706013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projet'!$B$14,Paramètres!$A$1:$I$88,3,0)*VLOOKUP('Données projet'!$B$14,Paramètres!$A$1:$I$88,5,0)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projet'!$B$14,Paramètres!$A$1:$I$88,7,0))</f>
        <v>0</v>
      </c>
      <c r="DY145" s="16">
        <f>IF(ISNA(VLOOKUP(A145,'Données projet'!$A$165:$I$185,6,0)),0%,VLOOKUP(A145,'Données projet'!$A$165:$I$185,6,0)*VLOOKUP('Données projet'!$B$14,Paramètres!$A$1:$I$88,7,0))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projet'!$B$14,Paramètres!$A$1:$I$88,3,0)*0.475*44/12</f>
        <v>#N/A</v>
      </c>
      <c r="EB145" s="21" t="e">
        <f>EXP(-LN(2)/25)*EB144+(1-EXP(-LN(2)/25))/(LN(2)/25)*Calculateur!DW145*Calculateur!DY145*VLOOKUP('Données projet'!$B$14,Paramètres!$A$1:$I$88,3,0)*0.475*44/12</f>
        <v>#N/A</v>
      </c>
      <c r="EC145" s="21" t="e">
        <f>EXP(-LN(2)/2)*EC144+(1-EXP(-LN(2)/2))/(LN(2)/2)*DW145*DZ145*VLOOKUP('Données projet'!$B$14,Paramètres!$A$1:$I$88,3,0)*0.475*44/12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projet'!$B$15,Paramètres!$A$1:$I$88,3,0)*VLOOKUP('Données projet'!$B$15,Paramètres!$A$1:$I$88,5,0)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projet'!$B$15,Paramètres!$A$1:$I$88,7,0))</f>
        <v>0</v>
      </c>
      <c r="ET145" s="16">
        <f>IF(ISNA(VLOOKUP(A145,'Données projet'!$A$191:$I$211,6,0)),0%,VLOOKUP(A145,'Données projet'!$A$191:$I$211,6,0)*VLOOKUP('Données projet'!$B$15,Paramètres!$A$1:$I$88,7,0))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projet'!$B$15,Paramètres!$A$1:$I$88,3,0)*0.475*44/12</f>
        <v>#N/A</v>
      </c>
      <c r="EW145" s="21" t="e">
        <f>EXP(-LN(2)/25)*EW144+(1-EXP(-LN(2)/25))/(LN(2)/25)*Calculateur!ER145*Calculateur!ET145*VLOOKUP('Données projet'!$B$15,Paramètres!$A$1:$I$88,3,0)*0.475*44/12</f>
        <v>#N/A</v>
      </c>
      <c r="EX145" s="21" t="e">
        <f>EXP(-LN(2)/2)*EX144+(1-EXP(-LN(2)/2))/(LN(2)/2)*ER145*EU145*VLOOKUP('Données projet'!$B$15,Paramètres!$A$1:$I$88,3,0)*0.475*44/12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projet'!$B$16,Paramètres!$A$1:$I$88,3,0)*VLOOKUP('Données projet'!$B$16,Paramètres!$A$1:$I$88,5,0)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projet'!$B$16,Paramètres!$A$1:$I$88,7,0))</f>
        <v>0</v>
      </c>
      <c r="FO145" s="16">
        <f>IF(ISNA(VLOOKUP(A145,'Données projet'!$A$217:$I$237,6,0)),0%,VLOOKUP(A145,'Données projet'!$A$217:$I$237,6,0)*VLOOKUP('Données projet'!$B$16,Paramètres!$A$1:$I$88,7,0))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projet'!$B$16,Paramètres!$A$1:$I$88,3,0)*0.475*44/12</f>
        <v>#N/A</v>
      </c>
      <c r="FR145" s="21" t="e">
        <f>EXP(-LN(2)/25)*FR144+(1-EXP(-LN(2)/25))/(LN(2)/25)*Calculateur!FM145*Calculateur!FO145*VLOOKUP('Données projet'!$B$16,Paramètres!$A$1:$I$88,3,0)*0.475*44/12</f>
        <v>#N/A</v>
      </c>
      <c r="FS145" s="21" t="e">
        <f>EXP(-LN(2)/2)*FS144+(1-EXP(-LN(2)/2))/(LN(2)/2)*FM145*FP145*VLOOKUP('Données projet'!$B$16,Paramètres!$A$1:$I$88,3,0)*0.475*44/12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projet'!$B$17,Paramètres!$A$1:$I$88,3,0)*VLOOKUP('Données projet'!$B$17,Paramètres!$A$1:$I$88,5,0)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projet'!$B$17,Paramètres!$A$1:$I$88,7,0))</f>
        <v>0</v>
      </c>
      <c r="GJ145" s="16">
        <f>IF(ISNA(VLOOKUP(A145,'Données projet'!$A$243:$I$263,6,0)),0%,VLOOKUP(A145,'Données projet'!$A$243:$I$263,6,0)*VLOOKUP('Données projet'!$B$17,Paramètres!$A$1:$I$88,7,0))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projet'!$B$17,Paramètres!$A$1:$I$88,3,0)*0.475*44/12</f>
        <v>#N/A</v>
      </c>
      <c r="GM145" s="21" t="e">
        <f>EXP(-LN(2)/25)*GM144+(1-EXP(-LN(2)/25))/(LN(2)/25)*Calculateur!GH145*Calculateur!GJ145*VLOOKUP('Données projet'!$B$17,Paramètres!$A$1:$I$88,3,0)*0.475*44/12</f>
        <v>#N/A</v>
      </c>
      <c r="GN145" s="21" t="e">
        <f>EXP(-LN(2)/2)*GN144+(1-EXP(-LN(2)/2))/(LN(2)/2)*GH145*GK145*VLOOKUP('Données projet'!$B$17,Paramètres!$A$1:$I$88,3,0)*0.475*44/12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projet'!$B$18,Paramètres!$A$1:$I$88,3,0)*VLOOKUP('Données projet'!$B$18,Paramètres!$A$1:$I$88,5,0)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projet'!$B$18,Paramètres!$A$1:$I$88,7,0))</f>
        <v>0</v>
      </c>
      <c r="HE145" s="16">
        <f>IF(ISNA(VLOOKUP(A145,'Données projet'!$A$269:$I$289,6,0)),0%,VLOOKUP(A145,'Données projet'!$A$269:$I$289,6,0)*VLOOKUP('Données projet'!$B$18,Paramètres!$A$1:$I$88,7,0))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projet'!$B$18,Paramètres!$A$1:$I$88,3,0)*0.475*44/12</f>
        <v>#N/A</v>
      </c>
      <c r="HH145" s="21" t="e">
        <f>EXP(-LN(2)/25)*HH144+(1-EXP(-LN(2)/25))/(LN(2)/25)*Calculateur!HC145*Calculateur!HE145*VLOOKUP('Données projet'!$B$18,Paramètres!$A$1:$I$88,3,0)*0.475*44/12</f>
        <v>#N/A</v>
      </c>
      <c r="HI145" s="21" t="e">
        <f>EXP(-LN(2)/2)*HI144+(1-EXP(-LN(2)/2))/(LN(2)/2)*HC145*HF145*VLOOKUP('Données projet'!$B$18,Paramètres!$A$1:$I$88,3,0)*0.475*44/12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projet'!$B$9,Paramètres!$A$1:$I$88,3,0)*VLOOKUP('Données projet'!$B$9,Paramètres!$A$1:$I$88,5,0)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195.73441209602686</v>
      </c>
      <c r="T146" s="59">
        <f t="shared" si="142"/>
        <v>219.19129224309006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projet'!$B$9,Paramètres!$A$1:$I$88,7,0))</f>
        <v>0</v>
      </c>
      <c r="X146" s="16">
        <f>IF(ISNA(VLOOKUP(A146,'Données projet'!$A$35:$I$55,6,0)),0%,VLOOKUP(A146,'Données projet'!$A$35:$I$55,6,0)*VLOOKUP('Données projet'!$B$9,Paramètres!$A$1:$I$88,7,0))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projet'!$B$9,Paramètres!$A$1:$I$88,3,0)*0.475*44/12</f>
        <v>1.6271945582103631</v>
      </c>
      <c r="AA146" s="21">
        <f>EXP(-LN(2)/25)*AA145+(1-EXP(-LN(2)/25))/(LN(2)/25)*Calculateur!V146*Calculateur!X146*VLOOKUP('Données projet'!$B$9,Paramètres!$A$1:$I$88,3,0)*0.475*44/12</f>
        <v>0.61707159888839502</v>
      </c>
      <c r="AB146" s="21">
        <f>EXP(-LN(2)/2)*AB145+(1-EXP(-LN(2)/2))/(LN(2)/2)*V146*Y146*VLOOKUP('Données projet'!$B$9,Paramètres!$A$1:$I$88,3,0)*0.475*44/12</f>
        <v>3.8930794054359971E-19</v>
      </c>
      <c r="AC146" s="22">
        <f t="shared" si="111"/>
        <v>2.2442661570987581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-4.5474735088646412E-13</v>
      </c>
      <c r="AJ146" s="13">
        <f>AI146*VLOOKUP('Données projet'!$B$10,Paramètres!$A$1:$I$88,3,0)*VLOOKUP('Données projet'!$B$10,Paramètres!$A$1:$I$88,5,0)</f>
        <v>-2.7193891583010558E-13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246.59447135626942</v>
      </c>
      <c r="AO146" s="59">
        <f t="shared" si="144"/>
        <v>262.00382544285367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projet'!$B$10,Paramètres!$A$1:$I$88,7,0))</f>
        <v>0</v>
      </c>
      <c r="AS146" s="16">
        <f>IF(ISNA(VLOOKUP(A146,'Données projet'!$A$61:$I$81,6,0)),0%,VLOOKUP(A146,'Données projet'!$A$61:$I$81,6,0)*VLOOKUP('Données projet'!$B$10,Paramètres!$A$1:$I$88,7,0))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projet'!$B$10,Paramètres!$A$1:$I$88,3,0)*0.475*44/12</f>
        <v>0</v>
      </c>
      <c r="AV146" s="21">
        <f>EXP(-LN(2)/25)*AV145+(1-EXP(-LN(2)/25))/(LN(2)/25)*Calculateur!AQ146*Calculateur!AS146*VLOOKUP('Données projet'!$B$10,Paramètres!$A$1:$I$88,3,0)*0.475*44/12</f>
        <v>0.56004465488157029</v>
      </c>
      <c r="AW146" s="21">
        <f>EXP(-LN(2)/2)*AW145+(1-EXP(-LN(2)/2))/(LN(2)/2)*AQ146*AT146*VLOOKUP('Données projet'!$B$10,Paramètres!$A$1:$I$88,3,0)*0.475*44/12</f>
        <v>2.3285805617047839E-16</v>
      </c>
      <c r="AX146" s="21">
        <f t="shared" si="114"/>
        <v>0.56004465488157051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-5.6843418860808015E-13</v>
      </c>
      <c r="BE146" s="13">
        <f>BD146*VLOOKUP('Données projet'!$B$11,Paramètres!$A$1:$I$88,3,0)*VLOOKUP('Données projet'!$B$11,Paramètres!$A$1:$I$88,5,0)</f>
        <v>-3.177547114319168E-13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355.96253323046608</v>
      </c>
      <c r="BJ146" s="59">
        <f t="shared" si="146"/>
        <v>366.8380442809696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projet'!$B$11,Paramètres!$A$1:$I$88,7,0))</f>
        <v>0</v>
      </c>
      <c r="BN146" s="16">
        <f>IF(ISNA(VLOOKUP(A146,'Données projet'!$A$87:$I$107,6,0)),0%,VLOOKUP(A146,'Données projet'!$A$87:$I$107,6,0)*VLOOKUP('Données projet'!$B$11,Paramètres!$A$1:$I$88,7,0))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projet'!$B$11,Paramètres!$A$1:$I$88,3,0)*0.475*44/12</f>
        <v>0</v>
      </c>
      <c r="BQ146" s="21">
        <f>EXP(-LN(2)/25)*BQ145+(1-EXP(-LN(2)/25))/(LN(2)/25)*Calculateur!BL146*Calculateur!BN146*VLOOKUP('Données projet'!$B$11,Paramètres!$A$1:$I$88,3,0)*0.475*44/12</f>
        <v>0.99156672042221228</v>
      </c>
      <c r="BR146" s="21">
        <f>EXP(-LN(2)/2)*BR145+(1-EXP(-LN(2)/2))/(LN(2)/2)*BL146*BO146*VLOOKUP('Données projet'!$B$11,Paramètres!$A$1:$I$88,3,0)*0.475*44/12</f>
        <v>3.6003649712997367E-16</v>
      </c>
      <c r="BS146" s="22">
        <f t="shared" si="117"/>
        <v>0.99156672042221261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projet'!$B$12,Paramètres!$A$1:$I$88,3,0)*VLOOKUP('Données projet'!$B$12,Paramètres!$A$1:$I$88,5,0)</f>
        <v>3.7243808037601412E-14</v>
      </c>
      <c r="CA146" s="13">
        <f t="shared" si="147"/>
        <v>6.2767589361185393E-13</v>
      </c>
      <c r="CB146" s="20">
        <f t="shared" si="118"/>
        <v>1.1580684803728015E-12</v>
      </c>
      <c r="CC146" s="59">
        <f t="shared" si="119"/>
        <v>293.33333333333445</v>
      </c>
      <c r="CD146" s="59">
        <f ca="1">AVERAGE(OFFSET($CC$3,0,0,'Données projet'!$E$12+1,1))-AVERAGE(OFFSET($H$3,0,0,'Données projet'!$E$12+1,1))</f>
        <v>180.90147430936133</v>
      </c>
      <c r="CE146" s="59">
        <f t="shared" si="148"/>
        <v>226.87949199830018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projet'!$B$12,Paramètres!$A$1:$I$88,7,0))</f>
        <v>0</v>
      </c>
      <c r="CI146" s="16">
        <f>IF(ISNA(VLOOKUP(A146,'Données projet'!$A$113:$I$133,6,0)),0%,VLOOKUP(A146,'Données projet'!$A$113:$I$133,6,0)*VLOOKUP('Données projet'!$B$12,Paramètres!$A$1:$I$88,7,0))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projet'!$B$12,Paramètres!$A$1:$I$88,3,0)*0.475*44/12</f>
        <v>0</v>
      </c>
      <c r="CL146" s="21">
        <f>EXP(-LN(2)/25)*CL145+(1-EXP(-LN(2)/25))/(LN(2)/25)*Calculateur!CG146*Calculateur!CI146*VLOOKUP('Données projet'!$B$12,Paramètres!$A$1:$I$88,3,0)*0.475*44/12</f>
        <v>0.29945733954527359</v>
      </c>
      <c r="CM146" s="21">
        <f>EXP(-LN(2)/2)*CM145+(1-EXP(-LN(2)/2))/(LN(2)/2)*CG146*CJ146*VLOOKUP('Données projet'!$B$12,Paramètres!$A$1:$I$88,3,0)*0.475*44/12</f>
        <v>8.6968008631000665E-17</v>
      </c>
      <c r="CN146" s="22">
        <f t="shared" si="120"/>
        <v>0.2994573395452737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5.6843418860808015E-14</v>
      </c>
      <c r="CU146" s="17">
        <f>CT146*VLOOKUP('Données projet'!$B$13,Paramètres!$A$1:$I$88,3,0)*VLOOKUP('Données projet'!$B$13,Paramètres!$A$1:$I$88,5,0)</f>
        <v>2.8908289095852525E-14</v>
      </c>
      <c r="CV146" s="13">
        <f t="shared" si="149"/>
        <v>5.0177780569126974E-13</v>
      </c>
      <c r="CW146" s="20">
        <f t="shared" si="121"/>
        <v>9.2427828175423786E-13</v>
      </c>
      <c r="CX146" s="59">
        <f t="shared" si="122"/>
        <v>293.33333333333422</v>
      </c>
      <c r="CY146" s="59">
        <f ca="1">AVERAGE(OFFSET($CX$3,0,0,'Données projet'!$E$13+1,1))-AVERAGE(OFFSET($H$3,0,0,'Données projet'!$E$13+1,1))</f>
        <v>133.08385802816008</v>
      </c>
      <c r="CZ146" s="59">
        <f t="shared" si="150"/>
        <v>316.59112511251385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projet'!$B$13,Paramètres!$A$1:$I$88,7,0))</f>
        <v>0</v>
      </c>
      <c r="DD146" s="16">
        <f>IF(ISNA(VLOOKUP(A146,'Données projet'!$A$139:$I$159,6,0)),0%,VLOOKUP(A146,'Données projet'!$A$139:$I$159,6,0)*VLOOKUP('Données projet'!$B$13,Paramètres!$A$1:$I$88,7,0))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projet'!$B$13,Paramètres!$A$1:$I$88,3,0)*0.475*44/12</f>
        <v>7.7032973508044522</v>
      </c>
      <c r="DG146" s="21">
        <f>EXP(-LN(2)/25)*DG145+(1-EXP(-LN(2)/25))/(LN(2)/25)*Calculateur!DB146*Calculateur!DD146*VLOOKUP('Données projet'!$B$13,Paramètres!$A$1:$I$88,3,0)*0.475*44/12</f>
        <v>0</v>
      </c>
      <c r="DH146" s="21">
        <f>EXP(-LN(2)/2)*DH145+(1-EXP(-LN(2)/2))/(LN(2)/2)*DB146*DE146*VLOOKUP('Données projet'!$B$13,Paramètres!$A$1:$I$88,3,0)*0.475*44/12</f>
        <v>5.5487103764340931E-17</v>
      </c>
      <c r="DI146" s="22">
        <f t="shared" si="123"/>
        <v>7.7032973508044522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projet'!$B$14,Paramètres!$A$1:$I$88,3,0)*VLOOKUP('Données projet'!$B$14,Paramètres!$A$1:$I$88,5,0)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projet'!$B$14,Paramètres!$A$1:$I$88,7,0))</f>
        <v>0</v>
      </c>
      <c r="DY146" s="16">
        <f>IF(ISNA(VLOOKUP(A146,'Données projet'!$A$165:$I$185,6,0)),0%,VLOOKUP(A146,'Données projet'!$A$165:$I$185,6,0)*VLOOKUP('Données projet'!$B$14,Paramètres!$A$1:$I$88,7,0))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projet'!$B$14,Paramètres!$A$1:$I$88,3,0)*0.475*44/12</f>
        <v>#N/A</v>
      </c>
      <c r="EB146" s="21" t="e">
        <f>EXP(-LN(2)/25)*EB145+(1-EXP(-LN(2)/25))/(LN(2)/25)*Calculateur!DW146*Calculateur!DY146*VLOOKUP('Données projet'!$B$14,Paramètres!$A$1:$I$88,3,0)*0.475*44/12</f>
        <v>#N/A</v>
      </c>
      <c r="EC146" s="21" t="e">
        <f>EXP(-LN(2)/2)*EC145+(1-EXP(-LN(2)/2))/(LN(2)/2)*DW146*DZ146*VLOOKUP('Données projet'!$B$14,Paramètres!$A$1:$I$88,3,0)*0.475*44/12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projet'!$B$15,Paramètres!$A$1:$I$88,3,0)*VLOOKUP('Données projet'!$B$15,Paramètres!$A$1:$I$88,5,0)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projet'!$B$15,Paramètres!$A$1:$I$88,7,0))</f>
        <v>0</v>
      </c>
      <c r="ET146" s="16">
        <f>IF(ISNA(VLOOKUP(A146,'Données projet'!$A$191:$I$211,6,0)),0%,VLOOKUP(A146,'Données projet'!$A$191:$I$211,6,0)*VLOOKUP('Données projet'!$B$15,Paramètres!$A$1:$I$88,7,0))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projet'!$B$15,Paramètres!$A$1:$I$88,3,0)*0.475*44/12</f>
        <v>#N/A</v>
      </c>
      <c r="EW146" s="21" t="e">
        <f>EXP(-LN(2)/25)*EW145+(1-EXP(-LN(2)/25))/(LN(2)/25)*Calculateur!ER146*Calculateur!ET146*VLOOKUP('Données projet'!$B$15,Paramètres!$A$1:$I$88,3,0)*0.475*44/12</f>
        <v>#N/A</v>
      </c>
      <c r="EX146" s="21" t="e">
        <f>EXP(-LN(2)/2)*EX145+(1-EXP(-LN(2)/2))/(LN(2)/2)*ER146*EU146*VLOOKUP('Données projet'!$B$15,Paramètres!$A$1:$I$88,3,0)*0.475*44/12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projet'!$B$16,Paramètres!$A$1:$I$88,3,0)*VLOOKUP('Données projet'!$B$16,Paramètres!$A$1:$I$88,5,0)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projet'!$B$16,Paramètres!$A$1:$I$88,7,0))</f>
        <v>0</v>
      </c>
      <c r="FO146" s="16">
        <f>IF(ISNA(VLOOKUP(A146,'Données projet'!$A$217:$I$237,6,0)),0%,VLOOKUP(A146,'Données projet'!$A$217:$I$237,6,0)*VLOOKUP('Données projet'!$B$16,Paramètres!$A$1:$I$88,7,0))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projet'!$B$16,Paramètres!$A$1:$I$88,3,0)*0.475*44/12</f>
        <v>#N/A</v>
      </c>
      <c r="FR146" s="21" t="e">
        <f>EXP(-LN(2)/25)*FR145+(1-EXP(-LN(2)/25))/(LN(2)/25)*Calculateur!FM146*Calculateur!FO146*VLOOKUP('Données projet'!$B$16,Paramètres!$A$1:$I$88,3,0)*0.475*44/12</f>
        <v>#N/A</v>
      </c>
      <c r="FS146" s="21" t="e">
        <f>EXP(-LN(2)/2)*FS145+(1-EXP(-LN(2)/2))/(LN(2)/2)*FM146*FP146*VLOOKUP('Données projet'!$B$16,Paramètres!$A$1:$I$88,3,0)*0.475*44/12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projet'!$B$17,Paramètres!$A$1:$I$88,3,0)*VLOOKUP('Données projet'!$B$17,Paramètres!$A$1:$I$88,5,0)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projet'!$B$17,Paramètres!$A$1:$I$88,7,0))</f>
        <v>0</v>
      </c>
      <c r="GJ146" s="16">
        <f>IF(ISNA(VLOOKUP(A146,'Données projet'!$A$243:$I$263,6,0)),0%,VLOOKUP(A146,'Données projet'!$A$243:$I$263,6,0)*VLOOKUP('Données projet'!$B$17,Paramètres!$A$1:$I$88,7,0))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projet'!$B$17,Paramètres!$A$1:$I$88,3,0)*0.475*44/12</f>
        <v>#N/A</v>
      </c>
      <c r="GM146" s="21" t="e">
        <f>EXP(-LN(2)/25)*GM145+(1-EXP(-LN(2)/25))/(LN(2)/25)*Calculateur!GH146*Calculateur!GJ146*VLOOKUP('Données projet'!$B$17,Paramètres!$A$1:$I$88,3,0)*0.475*44/12</f>
        <v>#N/A</v>
      </c>
      <c r="GN146" s="21" t="e">
        <f>EXP(-LN(2)/2)*GN145+(1-EXP(-LN(2)/2))/(LN(2)/2)*GH146*GK146*VLOOKUP('Données projet'!$B$17,Paramètres!$A$1:$I$88,3,0)*0.475*44/12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projet'!$B$18,Paramètres!$A$1:$I$88,3,0)*VLOOKUP('Données projet'!$B$18,Paramètres!$A$1:$I$88,5,0)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projet'!$B$18,Paramètres!$A$1:$I$88,7,0))</f>
        <v>0</v>
      </c>
      <c r="HE146" s="16">
        <f>IF(ISNA(VLOOKUP(A146,'Données projet'!$A$269:$I$289,6,0)),0%,VLOOKUP(A146,'Données projet'!$A$269:$I$289,6,0)*VLOOKUP('Données projet'!$B$18,Paramètres!$A$1:$I$88,7,0))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projet'!$B$18,Paramètres!$A$1:$I$88,3,0)*0.475*44/12</f>
        <v>#N/A</v>
      </c>
      <c r="HH146" s="21" t="e">
        <f>EXP(-LN(2)/25)*HH145+(1-EXP(-LN(2)/25))/(LN(2)/25)*Calculateur!HC146*Calculateur!HE146*VLOOKUP('Données projet'!$B$18,Paramètres!$A$1:$I$88,3,0)*0.475*44/12</f>
        <v>#N/A</v>
      </c>
      <c r="HI146" s="21" t="e">
        <f>EXP(-LN(2)/2)*HI145+(1-EXP(-LN(2)/2))/(LN(2)/2)*HC146*HF146*VLOOKUP('Données projet'!$B$18,Paramètres!$A$1:$I$88,3,0)*0.475*44/12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projet'!$B$9,Paramètres!$A$1:$I$88,3,0)*VLOOKUP('Données projet'!$B$9,Paramètres!$A$1:$I$88,5,0)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195.73441209602686</v>
      </c>
      <c r="T147" s="59">
        <f t="shared" si="142"/>
        <v>219.19129224309006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projet'!$B$9,Paramètres!$A$1:$I$88,7,0))</f>
        <v>0</v>
      </c>
      <c r="X147" s="16">
        <f>IF(ISNA(VLOOKUP(A147,'Données projet'!$A$35:$I$55,6,0)),0%,VLOOKUP(A147,'Données projet'!$A$35:$I$55,6,0)*VLOOKUP('Données projet'!$B$9,Paramètres!$A$1:$I$88,7,0))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projet'!$B$9,Paramètres!$A$1:$I$88,3,0)*0.475*44/12</f>
        <v>1.5952862654145381</v>
      </c>
      <c r="AA147" s="21">
        <f>EXP(-LN(2)/25)*AA146+(1-EXP(-LN(2)/25))/(LN(2)/25)*Calculateur!V147*Calculateur!X147*VLOOKUP('Données projet'!$B$9,Paramètres!$A$1:$I$88,3,0)*0.475*44/12</f>
        <v>0.60019774356640676</v>
      </c>
      <c r="AB147" s="21">
        <f>EXP(-LN(2)/2)*AB146+(1-EXP(-LN(2)/2))/(LN(2)/2)*V147*Y147*VLOOKUP('Données projet'!$B$9,Paramètres!$A$1:$I$88,3,0)*0.475*44/12</f>
        <v>2.7528228472814861E-19</v>
      </c>
      <c r="AC147" s="22">
        <f t="shared" si="111"/>
        <v>2.1954840089809449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-4.5474735088646412E-13</v>
      </c>
      <c r="AJ147" s="13">
        <f>AI147*VLOOKUP('Données projet'!$B$10,Paramètres!$A$1:$I$88,3,0)*VLOOKUP('Données projet'!$B$10,Paramètres!$A$1:$I$88,5,0)</f>
        <v>-2.7193891583010558E-13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246.59447135626942</v>
      </c>
      <c r="AO147" s="59">
        <f t="shared" si="144"/>
        <v>262.00382544285367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projet'!$B$10,Paramètres!$A$1:$I$88,7,0))</f>
        <v>0</v>
      </c>
      <c r="AS147" s="16">
        <f>IF(ISNA(VLOOKUP(A147,'Données projet'!$A$61:$I$81,6,0)),0%,VLOOKUP(A147,'Données projet'!$A$61:$I$81,6,0)*VLOOKUP('Données projet'!$B$10,Paramètres!$A$1:$I$88,7,0))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projet'!$B$10,Paramètres!$A$1:$I$88,3,0)*0.475*44/12</f>
        <v>0</v>
      </c>
      <c r="AV147" s="21">
        <f>EXP(-LN(2)/25)*AV146+(1-EXP(-LN(2)/25))/(LN(2)/25)*Calculateur!AQ147*Calculateur!AS147*VLOOKUP('Données projet'!$B$10,Paramètres!$A$1:$I$88,3,0)*0.475*44/12</f>
        <v>0.5447302043423653</v>
      </c>
      <c r="AW147" s="21">
        <f>EXP(-LN(2)/2)*AW146+(1-EXP(-LN(2)/2))/(LN(2)/2)*AQ147*AT147*VLOOKUP('Données projet'!$B$10,Paramètres!$A$1:$I$88,3,0)*0.475*44/12</f>
        <v>1.6465551057206326E-16</v>
      </c>
      <c r="AX147" s="21">
        <f t="shared" si="114"/>
        <v>0.54473020434236541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-5.6843418860808015E-13</v>
      </c>
      <c r="BE147" s="13">
        <f>BD147*VLOOKUP('Données projet'!$B$11,Paramètres!$A$1:$I$88,3,0)*VLOOKUP('Données projet'!$B$11,Paramètres!$A$1:$I$88,5,0)</f>
        <v>-3.177547114319168E-13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355.96253323046608</v>
      </c>
      <c r="BJ147" s="59">
        <f t="shared" si="146"/>
        <v>366.8380442809696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projet'!$B$11,Paramètres!$A$1:$I$88,7,0))</f>
        <v>0</v>
      </c>
      <c r="BN147" s="16">
        <f>IF(ISNA(VLOOKUP(A147,'Données projet'!$A$87:$I$107,6,0)),0%,VLOOKUP(A147,'Données projet'!$A$87:$I$107,6,0)*VLOOKUP('Données projet'!$B$11,Paramètres!$A$1:$I$88,7,0))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projet'!$B$11,Paramètres!$A$1:$I$88,3,0)*0.475*44/12</f>
        <v>0</v>
      </c>
      <c r="BQ147" s="21">
        <f>EXP(-LN(2)/25)*BQ146+(1-EXP(-LN(2)/25))/(LN(2)/25)*Calculateur!BL147*Calculateur!BN147*VLOOKUP('Données projet'!$B$11,Paramètres!$A$1:$I$88,3,0)*0.475*44/12</f>
        <v>0.96445227630803931</v>
      </c>
      <c r="BR147" s="21">
        <f>EXP(-LN(2)/2)*BR146+(1-EXP(-LN(2)/2))/(LN(2)/2)*BL147*BO147*VLOOKUP('Données projet'!$B$11,Paramètres!$A$1:$I$88,3,0)*0.475*44/12</f>
        <v>2.5458424859525533E-16</v>
      </c>
      <c r="BS147" s="22">
        <f t="shared" si="117"/>
        <v>0.96445227630803954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projet'!$B$12,Paramètres!$A$1:$I$88,3,0)*VLOOKUP('Données projet'!$B$12,Paramètres!$A$1:$I$88,5,0)</f>
        <v>3.7243808037601412E-14</v>
      </c>
      <c r="CA147" s="13">
        <f t="shared" si="147"/>
        <v>6.2767589361185393E-13</v>
      </c>
      <c r="CB147" s="20">
        <f t="shared" si="118"/>
        <v>1.1580684803728015E-12</v>
      </c>
      <c r="CC147" s="59">
        <f t="shared" si="119"/>
        <v>293.33333333333445</v>
      </c>
      <c r="CD147" s="59">
        <f ca="1">AVERAGE(OFFSET($CC$3,0,0,'Données projet'!$E$12+1,1))-AVERAGE(OFFSET($H$3,0,0,'Données projet'!$E$12+1,1))</f>
        <v>180.90147430936133</v>
      </c>
      <c r="CE147" s="59">
        <f t="shared" si="148"/>
        <v>226.87949199830018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projet'!$B$12,Paramètres!$A$1:$I$88,7,0))</f>
        <v>0</v>
      </c>
      <c r="CI147" s="16">
        <f>IF(ISNA(VLOOKUP(A147,'Données projet'!$A$113:$I$133,6,0)),0%,VLOOKUP(A147,'Données projet'!$A$113:$I$133,6,0)*VLOOKUP('Données projet'!$B$12,Paramètres!$A$1:$I$88,7,0))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projet'!$B$12,Paramètres!$A$1:$I$88,3,0)*0.475*44/12</f>
        <v>0</v>
      </c>
      <c r="CL147" s="21">
        <f>EXP(-LN(2)/25)*CL146+(1-EXP(-LN(2)/25))/(LN(2)/25)*Calculateur!CG147*Calculateur!CI147*VLOOKUP('Données projet'!$B$12,Paramètres!$A$1:$I$88,3,0)*0.475*44/12</f>
        <v>0.29126866284763103</v>
      </c>
      <c r="CM147" s="21">
        <f>EXP(-LN(2)/2)*CM146+(1-EXP(-LN(2)/2))/(LN(2)/2)*CG147*CJ147*VLOOKUP('Données projet'!$B$12,Paramètres!$A$1:$I$88,3,0)*0.475*44/12</f>
        <v>6.1495668649270762E-17</v>
      </c>
      <c r="CN147" s="22">
        <f t="shared" si="120"/>
        <v>0.29126866284763109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5.6843418860808015E-14</v>
      </c>
      <c r="CU147" s="17">
        <f>CT147*VLOOKUP('Données projet'!$B$13,Paramètres!$A$1:$I$88,3,0)*VLOOKUP('Données projet'!$B$13,Paramètres!$A$1:$I$88,5,0)</f>
        <v>2.8908289095852525E-14</v>
      </c>
      <c r="CV147" s="13">
        <f t="shared" si="149"/>
        <v>5.0177780569126974E-13</v>
      </c>
      <c r="CW147" s="20">
        <f t="shared" si="121"/>
        <v>9.2427828175423786E-13</v>
      </c>
      <c r="CX147" s="59">
        <f t="shared" si="122"/>
        <v>293.33333333333422</v>
      </c>
      <c r="CY147" s="59">
        <f ca="1">AVERAGE(OFFSET($CX$3,0,0,'Données projet'!$E$13+1,1))-AVERAGE(OFFSET($H$3,0,0,'Données projet'!$E$13+1,1))</f>
        <v>133.08385802816008</v>
      </c>
      <c r="CZ147" s="59">
        <f t="shared" si="150"/>
        <v>316.59112511251385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projet'!$B$13,Paramètres!$A$1:$I$88,7,0))</f>
        <v>0</v>
      </c>
      <c r="DD147" s="16">
        <f>IF(ISNA(VLOOKUP(A147,'Données projet'!$A$139:$I$159,6,0)),0%,VLOOKUP(A147,'Données projet'!$A$139:$I$159,6,0)*VLOOKUP('Données projet'!$B$13,Paramètres!$A$1:$I$88,7,0))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projet'!$B$13,Paramètres!$A$1:$I$88,3,0)*0.475*44/12</f>
        <v>7.5522403883026179</v>
      </c>
      <c r="DG147" s="21">
        <f>EXP(-LN(2)/25)*DG146+(1-EXP(-LN(2)/25))/(LN(2)/25)*Calculateur!DB147*Calculateur!DD147*VLOOKUP('Données projet'!$B$13,Paramètres!$A$1:$I$88,3,0)*0.475*44/12</f>
        <v>0</v>
      </c>
      <c r="DH147" s="21">
        <f>EXP(-LN(2)/2)*DH146+(1-EXP(-LN(2)/2))/(LN(2)/2)*DB147*DE147*VLOOKUP('Données projet'!$B$13,Paramètres!$A$1:$I$88,3,0)*0.475*44/12</f>
        <v>3.9235307340167084E-17</v>
      </c>
      <c r="DI147" s="22">
        <f t="shared" si="123"/>
        <v>7.5522403883026179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projet'!$B$14,Paramètres!$A$1:$I$88,3,0)*VLOOKUP('Données projet'!$B$14,Paramètres!$A$1:$I$88,5,0)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projet'!$B$14,Paramètres!$A$1:$I$88,7,0))</f>
        <v>0</v>
      </c>
      <c r="DY147" s="16">
        <f>IF(ISNA(VLOOKUP(A147,'Données projet'!$A$165:$I$185,6,0)),0%,VLOOKUP(A147,'Données projet'!$A$165:$I$185,6,0)*VLOOKUP('Données projet'!$B$14,Paramètres!$A$1:$I$88,7,0))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projet'!$B$14,Paramètres!$A$1:$I$88,3,0)*0.475*44/12</f>
        <v>#N/A</v>
      </c>
      <c r="EB147" s="21" t="e">
        <f>EXP(-LN(2)/25)*EB146+(1-EXP(-LN(2)/25))/(LN(2)/25)*Calculateur!DW147*Calculateur!DY147*VLOOKUP('Données projet'!$B$14,Paramètres!$A$1:$I$88,3,0)*0.475*44/12</f>
        <v>#N/A</v>
      </c>
      <c r="EC147" s="21" t="e">
        <f>EXP(-LN(2)/2)*EC146+(1-EXP(-LN(2)/2))/(LN(2)/2)*DW147*DZ147*VLOOKUP('Données projet'!$B$14,Paramètres!$A$1:$I$88,3,0)*0.475*44/12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projet'!$B$15,Paramètres!$A$1:$I$88,3,0)*VLOOKUP('Données projet'!$B$15,Paramètres!$A$1:$I$88,5,0)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projet'!$B$15,Paramètres!$A$1:$I$88,7,0))</f>
        <v>0</v>
      </c>
      <c r="ET147" s="16">
        <f>IF(ISNA(VLOOKUP(A147,'Données projet'!$A$191:$I$211,6,0)),0%,VLOOKUP(A147,'Données projet'!$A$191:$I$211,6,0)*VLOOKUP('Données projet'!$B$15,Paramètres!$A$1:$I$88,7,0))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projet'!$B$15,Paramètres!$A$1:$I$88,3,0)*0.475*44/12</f>
        <v>#N/A</v>
      </c>
      <c r="EW147" s="21" t="e">
        <f>EXP(-LN(2)/25)*EW146+(1-EXP(-LN(2)/25))/(LN(2)/25)*Calculateur!ER147*Calculateur!ET147*VLOOKUP('Données projet'!$B$15,Paramètres!$A$1:$I$88,3,0)*0.475*44/12</f>
        <v>#N/A</v>
      </c>
      <c r="EX147" s="21" t="e">
        <f>EXP(-LN(2)/2)*EX146+(1-EXP(-LN(2)/2))/(LN(2)/2)*ER147*EU147*VLOOKUP('Données projet'!$B$15,Paramètres!$A$1:$I$88,3,0)*0.475*44/12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projet'!$B$16,Paramètres!$A$1:$I$88,3,0)*VLOOKUP('Données projet'!$B$16,Paramètres!$A$1:$I$88,5,0)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projet'!$B$16,Paramètres!$A$1:$I$88,7,0))</f>
        <v>0</v>
      </c>
      <c r="FO147" s="16">
        <f>IF(ISNA(VLOOKUP(A147,'Données projet'!$A$217:$I$237,6,0)),0%,VLOOKUP(A147,'Données projet'!$A$217:$I$237,6,0)*VLOOKUP('Données projet'!$B$16,Paramètres!$A$1:$I$88,7,0))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projet'!$B$16,Paramètres!$A$1:$I$88,3,0)*0.475*44/12</f>
        <v>#N/A</v>
      </c>
      <c r="FR147" s="21" t="e">
        <f>EXP(-LN(2)/25)*FR146+(1-EXP(-LN(2)/25))/(LN(2)/25)*Calculateur!FM147*Calculateur!FO147*VLOOKUP('Données projet'!$B$16,Paramètres!$A$1:$I$88,3,0)*0.475*44/12</f>
        <v>#N/A</v>
      </c>
      <c r="FS147" s="21" t="e">
        <f>EXP(-LN(2)/2)*FS146+(1-EXP(-LN(2)/2))/(LN(2)/2)*FM147*FP147*VLOOKUP('Données projet'!$B$16,Paramètres!$A$1:$I$88,3,0)*0.475*44/12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projet'!$B$17,Paramètres!$A$1:$I$88,3,0)*VLOOKUP('Données projet'!$B$17,Paramètres!$A$1:$I$88,5,0)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projet'!$B$17,Paramètres!$A$1:$I$88,7,0))</f>
        <v>0</v>
      </c>
      <c r="GJ147" s="16">
        <f>IF(ISNA(VLOOKUP(A147,'Données projet'!$A$243:$I$263,6,0)),0%,VLOOKUP(A147,'Données projet'!$A$243:$I$263,6,0)*VLOOKUP('Données projet'!$B$17,Paramètres!$A$1:$I$88,7,0))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projet'!$B$17,Paramètres!$A$1:$I$88,3,0)*0.475*44/12</f>
        <v>#N/A</v>
      </c>
      <c r="GM147" s="21" t="e">
        <f>EXP(-LN(2)/25)*GM146+(1-EXP(-LN(2)/25))/(LN(2)/25)*Calculateur!GH147*Calculateur!GJ147*VLOOKUP('Données projet'!$B$17,Paramètres!$A$1:$I$88,3,0)*0.475*44/12</f>
        <v>#N/A</v>
      </c>
      <c r="GN147" s="21" t="e">
        <f>EXP(-LN(2)/2)*GN146+(1-EXP(-LN(2)/2))/(LN(2)/2)*GH147*GK147*VLOOKUP('Données projet'!$B$17,Paramètres!$A$1:$I$88,3,0)*0.475*44/12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projet'!$B$18,Paramètres!$A$1:$I$88,3,0)*VLOOKUP('Données projet'!$B$18,Paramètres!$A$1:$I$88,5,0)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projet'!$B$18,Paramètres!$A$1:$I$88,7,0))</f>
        <v>0</v>
      </c>
      <c r="HE147" s="16">
        <f>IF(ISNA(VLOOKUP(A147,'Données projet'!$A$269:$I$289,6,0)),0%,VLOOKUP(A147,'Données projet'!$A$269:$I$289,6,0)*VLOOKUP('Données projet'!$B$18,Paramètres!$A$1:$I$88,7,0))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projet'!$B$18,Paramètres!$A$1:$I$88,3,0)*0.475*44/12</f>
        <v>#N/A</v>
      </c>
      <c r="HH147" s="21" t="e">
        <f>EXP(-LN(2)/25)*HH146+(1-EXP(-LN(2)/25))/(LN(2)/25)*Calculateur!HC147*Calculateur!HE147*VLOOKUP('Données projet'!$B$18,Paramètres!$A$1:$I$88,3,0)*0.475*44/12</f>
        <v>#N/A</v>
      </c>
      <c r="HI147" s="21" t="e">
        <f>EXP(-LN(2)/2)*HI146+(1-EXP(-LN(2)/2))/(LN(2)/2)*HC147*HF147*VLOOKUP('Données projet'!$B$18,Paramètres!$A$1:$I$88,3,0)*0.475*44/12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projet'!$B$9,Paramètres!$A$1:$I$88,3,0)*VLOOKUP('Données projet'!$B$9,Paramètres!$A$1:$I$88,5,0)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195.73441209602686</v>
      </c>
      <c r="T148" s="59">
        <f t="shared" si="142"/>
        <v>219.19129224309006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projet'!$B$9,Paramètres!$A$1:$I$88,7,0))</f>
        <v>0</v>
      </c>
      <c r="X148" s="16">
        <f>IF(ISNA(VLOOKUP(A148,'Données projet'!$A$35:$I$55,6,0)),0%,VLOOKUP(A148,'Données projet'!$A$35:$I$55,6,0)*VLOOKUP('Données projet'!$B$9,Paramètres!$A$1:$I$88,7,0))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projet'!$B$9,Paramètres!$A$1:$I$88,3,0)*0.475*44/12</f>
        <v>1.5640036747783024</v>
      </c>
      <c r="AA148" s="21">
        <f>EXP(-LN(2)/25)*AA147+(1-EXP(-LN(2)/25))/(LN(2)/25)*Calculateur!V148*Calculateur!X148*VLOOKUP('Données projet'!$B$9,Paramètres!$A$1:$I$88,3,0)*0.475*44/12</f>
        <v>0.58378530470555579</v>
      </c>
      <c r="AB148" s="21">
        <f>EXP(-LN(2)/2)*AB147+(1-EXP(-LN(2)/2))/(LN(2)/2)*V148*Y148*VLOOKUP('Données projet'!$B$9,Paramètres!$A$1:$I$88,3,0)*0.475*44/12</f>
        <v>1.9465397027179986E-19</v>
      </c>
      <c r="AC148" s="22">
        <f t="shared" si="111"/>
        <v>2.1477889794838583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-4.5474735088646412E-13</v>
      </c>
      <c r="AJ148" s="13">
        <f>AI148*VLOOKUP('Données projet'!$B$10,Paramètres!$A$1:$I$88,3,0)*VLOOKUP('Données projet'!$B$10,Paramètres!$A$1:$I$88,5,0)</f>
        <v>-2.7193891583010558E-13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246.59447135626942</v>
      </c>
      <c r="AO148" s="59">
        <f t="shared" si="144"/>
        <v>262.00382544285367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projet'!$B$10,Paramètres!$A$1:$I$88,7,0))</f>
        <v>0</v>
      </c>
      <c r="AS148" s="16">
        <f>IF(ISNA(VLOOKUP(A148,'Données projet'!$A$61:$I$81,6,0)),0%,VLOOKUP(A148,'Données projet'!$A$61:$I$81,6,0)*VLOOKUP('Données projet'!$B$10,Paramètres!$A$1:$I$88,7,0))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projet'!$B$10,Paramètres!$A$1:$I$88,3,0)*0.475*44/12</f>
        <v>0</v>
      </c>
      <c r="AV148" s="21">
        <f>EXP(-LN(2)/25)*AV147+(1-EXP(-LN(2)/25))/(LN(2)/25)*Calculateur!AQ148*Calculateur!AS148*VLOOKUP('Données projet'!$B$10,Paramètres!$A$1:$I$88,3,0)*0.475*44/12</f>
        <v>0.52983452825850685</v>
      </c>
      <c r="AW148" s="21">
        <f>EXP(-LN(2)/2)*AW147+(1-EXP(-LN(2)/2))/(LN(2)/2)*AQ148*AT148*VLOOKUP('Données projet'!$B$10,Paramètres!$A$1:$I$88,3,0)*0.475*44/12</f>
        <v>1.1642902808523919E-16</v>
      </c>
      <c r="AX148" s="21">
        <f t="shared" si="114"/>
        <v>0.52983452825850696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-5.6843418860808015E-13</v>
      </c>
      <c r="BE148" s="13">
        <f>BD148*VLOOKUP('Données projet'!$B$11,Paramètres!$A$1:$I$88,3,0)*VLOOKUP('Données projet'!$B$11,Paramètres!$A$1:$I$88,5,0)</f>
        <v>-3.177547114319168E-13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355.96253323046608</v>
      </c>
      <c r="BJ148" s="59">
        <f t="shared" si="146"/>
        <v>366.8380442809696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projet'!$B$11,Paramètres!$A$1:$I$88,7,0))</f>
        <v>0</v>
      </c>
      <c r="BN148" s="16">
        <f>IF(ISNA(VLOOKUP(A148,'Données projet'!$A$87:$I$107,6,0)),0%,VLOOKUP(A148,'Données projet'!$A$87:$I$107,6,0)*VLOOKUP('Données projet'!$B$11,Paramètres!$A$1:$I$88,7,0))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projet'!$B$11,Paramètres!$A$1:$I$88,3,0)*0.475*44/12</f>
        <v>0</v>
      </c>
      <c r="BQ148" s="21">
        <f>EXP(-LN(2)/25)*BQ147+(1-EXP(-LN(2)/25))/(LN(2)/25)*Calculateur!BL148*Calculateur!BN148*VLOOKUP('Données projet'!$B$11,Paramètres!$A$1:$I$88,3,0)*0.475*44/12</f>
        <v>0.938079278094055</v>
      </c>
      <c r="BR148" s="21">
        <f>EXP(-LN(2)/2)*BR147+(1-EXP(-LN(2)/2))/(LN(2)/2)*BL148*BO148*VLOOKUP('Données projet'!$B$11,Paramètres!$A$1:$I$88,3,0)*0.475*44/12</f>
        <v>1.8001824856498683E-16</v>
      </c>
      <c r="BS148" s="22">
        <f t="shared" si="117"/>
        <v>0.93807927809405522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projet'!$B$12,Paramètres!$A$1:$I$88,3,0)*VLOOKUP('Données projet'!$B$12,Paramètres!$A$1:$I$88,5,0)</f>
        <v>3.7243808037601412E-14</v>
      </c>
      <c r="CA148" s="13">
        <f t="shared" si="147"/>
        <v>6.2767589361185393E-13</v>
      </c>
      <c r="CB148" s="20">
        <f t="shared" si="118"/>
        <v>1.1580684803728015E-12</v>
      </c>
      <c r="CC148" s="59">
        <f t="shared" si="119"/>
        <v>293.33333333333445</v>
      </c>
      <c r="CD148" s="59">
        <f ca="1">AVERAGE(OFFSET($CC$3,0,0,'Données projet'!$E$12+1,1))-AVERAGE(OFFSET($H$3,0,0,'Données projet'!$E$12+1,1))</f>
        <v>180.90147430936133</v>
      </c>
      <c r="CE148" s="59">
        <f t="shared" si="148"/>
        <v>226.87949199830018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projet'!$B$12,Paramètres!$A$1:$I$88,7,0))</f>
        <v>0</v>
      </c>
      <c r="CI148" s="16">
        <f>IF(ISNA(VLOOKUP(A148,'Données projet'!$A$113:$I$133,6,0)),0%,VLOOKUP(A148,'Données projet'!$A$113:$I$133,6,0)*VLOOKUP('Données projet'!$B$12,Paramètres!$A$1:$I$88,7,0))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projet'!$B$12,Paramètres!$A$1:$I$88,3,0)*0.475*44/12</f>
        <v>0</v>
      </c>
      <c r="CL148" s="21">
        <f>EXP(-LN(2)/25)*CL147+(1-EXP(-LN(2)/25))/(LN(2)/25)*Calculateur!CG148*Calculateur!CI148*VLOOKUP('Données projet'!$B$12,Paramètres!$A$1:$I$88,3,0)*0.475*44/12</f>
        <v>0.28330390594490928</v>
      </c>
      <c r="CM148" s="21">
        <f>EXP(-LN(2)/2)*CM147+(1-EXP(-LN(2)/2))/(LN(2)/2)*CG148*CJ148*VLOOKUP('Données projet'!$B$12,Paramètres!$A$1:$I$88,3,0)*0.475*44/12</f>
        <v>4.3484004315500332E-17</v>
      </c>
      <c r="CN148" s="22">
        <f t="shared" si="120"/>
        <v>0.28330390594490934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5.6843418860808015E-14</v>
      </c>
      <c r="CU148" s="17">
        <f>CT148*VLOOKUP('Données projet'!$B$13,Paramètres!$A$1:$I$88,3,0)*VLOOKUP('Données projet'!$B$13,Paramètres!$A$1:$I$88,5,0)</f>
        <v>2.8908289095852525E-14</v>
      </c>
      <c r="CV148" s="13">
        <f t="shared" si="149"/>
        <v>5.0177780569126974E-13</v>
      </c>
      <c r="CW148" s="20">
        <f t="shared" si="121"/>
        <v>9.2427828175423786E-13</v>
      </c>
      <c r="CX148" s="59">
        <f t="shared" si="122"/>
        <v>293.33333333333422</v>
      </c>
      <c r="CY148" s="59">
        <f ca="1">AVERAGE(OFFSET($CX$3,0,0,'Données projet'!$E$13+1,1))-AVERAGE(OFFSET($H$3,0,0,'Données projet'!$E$13+1,1))</f>
        <v>133.08385802816008</v>
      </c>
      <c r="CZ148" s="59">
        <f t="shared" si="150"/>
        <v>316.59112511251385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projet'!$B$13,Paramètres!$A$1:$I$88,7,0))</f>
        <v>0</v>
      </c>
      <c r="DD148" s="16">
        <f>IF(ISNA(VLOOKUP(A148,'Données projet'!$A$139:$I$159,6,0)),0%,VLOOKUP(A148,'Données projet'!$A$139:$I$159,6,0)*VLOOKUP('Données projet'!$B$13,Paramètres!$A$1:$I$88,7,0))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projet'!$B$13,Paramètres!$A$1:$I$88,3,0)*0.475*44/12</f>
        <v>7.4041455606997948</v>
      </c>
      <c r="DG148" s="21">
        <f>EXP(-LN(2)/25)*DG147+(1-EXP(-LN(2)/25))/(LN(2)/25)*Calculateur!DB148*Calculateur!DD148*VLOOKUP('Données projet'!$B$13,Paramètres!$A$1:$I$88,3,0)*0.475*44/12</f>
        <v>0</v>
      </c>
      <c r="DH148" s="21">
        <f>EXP(-LN(2)/2)*DH147+(1-EXP(-LN(2)/2))/(LN(2)/2)*DB148*DE148*VLOOKUP('Données projet'!$B$13,Paramètres!$A$1:$I$88,3,0)*0.475*44/12</f>
        <v>2.7743551882170472E-17</v>
      </c>
      <c r="DI148" s="22">
        <f t="shared" si="123"/>
        <v>7.4041455606997948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projet'!$B$14,Paramètres!$A$1:$I$88,3,0)*VLOOKUP('Données projet'!$B$14,Paramètres!$A$1:$I$88,5,0)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projet'!$B$14,Paramètres!$A$1:$I$88,7,0))</f>
        <v>0</v>
      </c>
      <c r="DY148" s="16">
        <f>IF(ISNA(VLOOKUP(A148,'Données projet'!$A$165:$I$185,6,0)),0%,VLOOKUP(A148,'Données projet'!$A$165:$I$185,6,0)*VLOOKUP('Données projet'!$B$14,Paramètres!$A$1:$I$88,7,0))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projet'!$B$14,Paramètres!$A$1:$I$88,3,0)*0.475*44/12</f>
        <v>#N/A</v>
      </c>
      <c r="EB148" s="21" t="e">
        <f>EXP(-LN(2)/25)*EB147+(1-EXP(-LN(2)/25))/(LN(2)/25)*Calculateur!DW148*Calculateur!DY148*VLOOKUP('Données projet'!$B$14,Paramètres!$A$1:$I$88,3,0)*0.475*44/12</f>
        <v>#N/A</v>
      </c>
      <c r="EC148" s="21" t="e">
        <f>EXP(-LN(2)/2)*EC147+(1-EXP(-LN(2)/2))/(LN(2)/2)*DW148*DZ148*VLOOKUP('Données projet'!$B$14,Paramètres!$A$1:$I$88,3,0)*0.475*44/12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projet'!$B$15,Paramètres!$A$1:$I$88,3,0)*VLOOKUP('Données projet'!$B$15,Paramètres!$A$1:$I$88,5,0)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projet'!$B$15,Paramètres!$A$1:$I$88,7,0))</f>
        <v>0</v>
      </c>
      <c r="ET148" s="16">
        <f>IF(ISNA(VLOOKUP(A148,'Données projet'!$A$191:$I$211,6,0)),0%,VLOOKUP(A148,'Données projet'!$A$191:$I$211,6,0)*VLOOKUP('Données projet'!$B$15,Paramètres!$A$1:$I$88,7,0))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projet'!$B$15,Paramètres!$A$1:$I$88,3,0)*0.475*44/12</f>
        <v>#N/A</v>
      </c>
      <c r="EW148" s="21" t="e">
        <f>EXP(-LN(2)/25)*EW147+(1-EXP(-LN(2)/25))/(LN(2)/25)*Calculateur!ER148*Calculateur!ET148*VLOOKUP('Données projet'!$B$15,Paramètres!$A$1:$I$88,3,0)*0.475*44/12</f>
        <v>#N/A</v>
      </c>
      <c r="EX148" s="21" t="e">
        <f>EXP(-LN(2)/2)*EX147+(1-EXP(-LN(2)/2))/(LN(2)/2)*ER148*EU148*VLOOKUP('Données projet'!$B$15,Paramètres!$A$1:$I$88,3,0)*0.475*44/12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projet'!$B$16,Paramètres!$A$1:$I$88,3,0)*VLOOKUP('Données projet'!$B$16,Paramètres!$A$1:$I$88,5,0)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projet'!$B$16,Paramètres!$A$1:$I$88,7,0))</f>
        <v>0</v>
      </c>
      <c r="FO148" s="16">
        <f>IF(ISNA(VLOOKUP(A148,'Données projet'!$A$217:$I$237,6,0)),0%,VLOOKUP(A148,'Données projet'!$A$217:$I$237,6,0)*VLOOKUP('Données projet'!$B$16,Paramètres!$A$1:$I$88,7,0))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projet'!$B$16,Paramètres!$A$1:$I$88,3,0)*0.475*44/12</f>
        <v>#N/A</v>
      </c>
      <c r="FR148" s="21" t="e">
        <f>EXP(-LN(2)/25)*FR147+(1-EXP(-LN(2)/25))/(LN(2)/25)*Calculateur!FM148*Calculateur!FO148*VLOOKUP('Données projet'!$B$16,Paramètres!$A$1:$I$88,3,0)*0.475*44/12</f>
        <v>#N/A</v>
      </c>
      <c r="FS148" s="21" t="e">
        <f>EXP(-LN(2)/2)*FS147+(1-EXP(-LN(2)/2))/(LN(2)/2)*FM148*FP148*VLOOKUP('Données projet'!$B$16,Paramètres!$A$1:$I$88,3,0)*0.475*44/12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projet'!$B$17,Paramètres!$A$1:$I$88,3,0)*VLOOKUP('Données projet'!$B$17,Paramètres!$A$1:$I$88,5,0)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projet'!$B$17,Paramètres!$A$1:$I$88,7,0))</f>
        <v>0</v>
      </c>
      <c r="GJ148" s="16">
        <f>IF(ISNA(VLOOKUP(A148,'Données projet'!$A$243:$I$263,6,0)),0%,VLOOKUP(A148,'Données projet'!$A$243:$I$263,6,0)*VLOOKUP('Données projet'!$B$17,Paramètres!$A$1:$I$88,7,0))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projet'!$B$17,Paramètres!$A$1:$I$88,3,0)*0.475*44/12</f>
        <v>#N/A</v>
      </c>
      <c r="GM148" s="21" t="e">
        <f>EXP(-LN(2)/25)*GM147+(1-EXP(-LN(2)/25))/(LN(2)/25)*Calculateur!GH148*Calculateur!GJ148*VLOOKUP('Données projet'!$B$17,Paramètres!$A$1:$I$88,3,0)*0.475*44/12</f>
        <v>#N/A</v>
      </c>
      <c r="GN148" s="21" t="e">
        <f>EXP(-LN(2)/2)*GN147+(1-EXP(-LN(2)/2))/(LN(2)/2)*GH148*GK148*VLOOKUP('Données projet'!$B$17,Paramètres!$A$1:$I$88,3,0)*0.475*44/12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projet'!$B$18,Paramètres!$A$1:$I$88,3,0)*VLOOKUP('Données projet'!$B$18,Paramètres!$A$1:$I$88,5,0)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projet'!$B$18,Paramètres!$A$1:$I$88,7,0))</f>
        <v>0</v>
      </c>
      <c r="HE148" s="16">
        <f>IF(ISNA(VLOOKUP(A148,'Données projet'!$A$269:$I$289,6,0)),0%,VLOOKUP(A148,'Données projet'!$A$269:$I$289,6,0)*VLOOKUP('Données projet'!$B$18,Paramètres!$A$1:$I$88,7,0))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projet'!$B$18,Paramètres!$A$1:$I$88,3,0)*0.475*44/12</f>
        <v>#N/A</v>
      </c>
      <c r="HH148" s="21" t="e">
        <f>EXP(-LN(2)/25)*HH147+(1-EXP(-LN(2)/25))/(LN(2)/25)*Calculateur!HC148*Calculateur!HE148*VLOOKUP('Données projet'!$B$18,Paramètres!$A$1:$I$88,3,0)*0.475*44/12</f>
        <v>#N/A</v>
      </c>
      <c r="HI148" s="21" t="e">
        <f>EXP(-LN(2)/2)*HI147+(1-EXP(-LN(2)/2))/(LN(2)/2)*HC148*HF148*VLOOKUP('Données projet'!$B$18,Paramètres!$A$1:$I$88,3,0)*0.475*44/12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projet'!$B$9,Paramètres!$A$1:$I$88,3,0)*VLOOKUP('Données projet'!$B$9,Paramètres!$A$1:$I$88,5,0)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195.73441209602686</v>
      </c>
      <c r="T149" s="59">
        <f t="shared" si="142"/>
        <v>219.19129224309006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projet'!$B$9,Paramètres!$A$1:$I$88,7,0))</f>
        <v>0</v>
      </c>
      <c r="X149" s="16">
        <f>IF(ISNA(VLOOKUP(A149,'Données projet'!$A$35:$I$55,6,0)),0%,VLOOKUP(A149,'Données projet'!$A$35:$I$55,6,0)*VLOOKUP('Données projet'!$B$9,Paramètres!$A$1:$I$88,7,0))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projet'!$B$9,Paramètres!$A$1:$I$88,3,0)*0.475*44/12</f>
        <v>1.5333345166639469</v>
      </c>
      <c r="AA149" s="21">
        <f>EXP(-LN(2)/25)*AA148+(1-EXP(-LN(2)/25))/(LN(2)/25)*Calculateur!V149*Calculateur!X149*VLOOKUP('Données projet'!$B$9,Paramètres!$A$1:$I$88,3,0)*0.475*44/12</f>
        <v>0.56782166484844743</v>
      </c>
      <c r="AB149" s="21">
        <f>EXP(-LN(2)/2)*AB148+(1-EXP(-LN(2)/2))/(LN(2)/2)*V149*Y149*VLOOKUP('Données projet'!$B$9,Paramètres!$A$1:$I$88,3,0)*0.475*44/12</f>
        <v>1.3764114236407431E-19</v>
      </c>
      <c r="AC149" s="22">
        <f t="shared" si="111"/>
        <v>2.1011561815123945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-4.5474735088646412E-13</v>
      </c>
      <c r="AJ149" s="13">
        <f>AI149*VLOOKUP('Données projet'!$B$10,Paramètres!$A$1:$I$88,3,0)*VLOOKUP('Données projet'!$B$10,Paramètres!$A$1:$I$88,5,0)</f>
        <v>-2.7193891583010558E-13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246.59447135626942</v>
      </c>
      <c r="AO149" s="59">
        <f t="shared" si="144"/>
        <v>262.00382544285367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projet'!$B$10,Paramètres!$A$1:$I$88,7,0))</f>
        <v>0</v>
      </c>
      <c r="AS149" s="16">
        <f>IF(ISNA(VLOOKUP(A149,'Données projet'!$A$61:$I$81,6,0)),0%,VLOOKUP(A149,'Données projet'!$A$61:$I$81,6,0)*VLOOKUP('Données projet'!$B$10,Paramètres!$A$1:$I$88,7,0))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projet'!$B$10,Paramètres!$A$1:$I$88,3,0)*0.475*44/12</f>
        <v>0</v>
      </c>
      <c r="AV149" s="21">
        <f>EXP(-LN(2)/25)*AV148+(1-EXP(-LN(2)/25))/(LN(2)/25)*Calculateur!AQ149*Calculateur!AS149*VLOOKUP('Données projet'!$B$10,Paramètres!$A$1:$I$88,3,0)*0.475*44/12</f>
        <v>0.51534617522049109</v>
      </c>
      <c r="AW149" s="21">
        <f>EXP(-LN(2)/2)*AW148+(1-EXP(-LN(2)/2))/(LN(2)/2)*AQ149*AT149*VLOOKUP('Données projet'!$B$10,Paramètres!$A$1:$I$88,3,0)*0.475*44/12</f>
        <v>8.232775528603163E-17</v>
      </c>
      <c r="AX149" s="21">
        <f t="shared" si="114"/>
        <v>0.5153461752204912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-5.6843418860808015E-13</v>
      </c>
      <c r="BE149" s="13">
        <f>BD149*VLOOKUP('Données projet'!$B$11,Paramètres!$A$1:$I$88,3,0)*VLOOKUP('Données projet'!$B$11,Paramètres!$A$1:$I$88,5,0)</f>
        <v>-3.177547114319168E-13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355.96253323046608</v>
      </c>
      <c r="BJ149" s="59">
        <f t="shared" si="146"/>
        <v>366.8380442809696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projet'!$B$11,Paramètres!$A$1:$I$88,7,0))</f>
        <v>0</v>
      </c>
      <c r="BN149" s="16">
        <f>IF(ISNA(VLOOKUP(A149,'Données projet'!$A$87:$I$107,6,0)),0%,VLOOKUP(A149,'Données projet'!$A$87:$I$107,6,0)*VLOOKUP('Données projet'!$B$11,Paramètres!$A$1:$I$88,7,0))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projet'!$B$11,Paramètres!$A$1:$I$88,3,0)*0.475*44/12</f>
        <v>0</v>
      </c>
      <c r="BQ149" s="21">
        <f>EXP(-LN(2)/25)*BQ148+(1-EXP(-LN(2)/25))/(LN(2)/25)*Calculateur!BL149*Calculateur!BN149*VLOOKUP('Données projet'!$B$11,Paramètres!$A$1:$I$88,3,0)*0.475*44/12</f>
        <v>0.91242745090312782</v>
      </c>
      <c r="BR149" s="21">
        <f>EXP(-LN(2)/2)*BR148+(1-EXP(-LN(2)/2))/(LN(2)/2)*BL149*BO149*VLOOKUP('Données projet'!$B$11,Paramètres!$A$1:$I$88,3,0)*0.475*44/12</f>
        <v>1.2729212429762767E-16</v>
      </c>
      <c r="BS149" s="22">
        <f t="shared" si="117"/>
        <v>0.91242745090312793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projet'!$B$12,Paramètres!$A$1:$I$88,3,0)*VLOOKUP('Données projet'!$B$12,Paramètres!$A$1:$I$88,5,0)</f>
        <v>3.7243808037601412E-14</v>
      </c>
      <c r="CA149" s="13">
        <f t="shared" si="147"/>
        <v>6.2767589361185393E-13</v>
      </c>
      <c r="CB149" s="20">
        <f t="shared" si="118"/>
        <v>1.1580684803728015E-12</v>
      </c>
      <c r="CC149" s="59">
        <f t="shared" si="119"/>
        <v>293.33333333333445</v>
      </c>
      <c r="CD149" s="59">
        <f ca="1">AVERAGE(OFFSET($CC$3,0,0,'Données projet'!$E$12+1,1))-AVERAGE(OFFSET($H$3,0,0,'Données projet'!$E$12+1,1))</f>
        <v>180.90147430936133</v>
      </c>
      <c r="CE149" s="59">
        <f t="shared" si="148"/>
        <v>226.87949199830018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projet'!$B$12,Paramètres!$A$1:$I$88,7,0))</f>
        <v>0</v>
      </c>
      <c r="CI149" s="16">
        <f>IF(ISNA(VLOOKUP(A149,'Données projet'!$A$113:$I$133,6,0)),0%,VLOOKUP(A149,'Données projet'!$A$113:$I$133,6,0)*VLOOKUP('Données projet'!$B$12,Paramètres!$A$1:$I$88,7,0))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projet'!$B$12,Paramètres!$A$1:$I$88,3,0)*0.475*44/12</f>
        <v>0</v>
      </c>
      <c r="CL149" s="21">
        <f>EXP(-LN(2)/25)*CL148+(1-EXP(-LN(2)/25))/(LN(2)/25)*Calculateur!CG149*Calculateur!CI149*VLOOKUP('Données projet'!$B$12,Paramètres!$A$1:$I$88,3,0)*0.475*44/12</f>
        <v>0.27555694573854084</v>
      </c>
      <c r="CM149" s="21">
        <f>EXP(-LN(2)/2)*CM148+(1-EXP(-LN(2)/2))/(LN(2)/2)*CG149*CJ149*VLOOKUP('Données projet'!$B$12,Paramètres!$A$1:$I$88,3,0)*0.475*44/12</f>
        <v>3.0747834324635381E-17</v>
      </c>
      <c r="CN149" s="22">
        <f t="shared" si="120"/>
        <v>0.27555694573854089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5.6843418860808015E-14</v>
      </c>
      <c r="CU149" s="17">
        <f>CT149*VLOOKUP('Données projet'!$B$13,Paramètres!$A$1:$I$88,3,0)*VLOOKUP('Données projet'!$B$13,Paramètres!$A$1:$I$88,5,0)</f>
        <v>2.8908289095852525E-14</v>
      </c>
      <c r="CV149" s="13">
        <f t="shared" si="149"/>
        <v>5.0177780569126974E-13</v>
      </c>
      <c r="CW149" s="20">
        <f t="shared" si="121"/>
        <v>9.2427828175423786E-13</v>
      </c>
      <c r="CX149" s="59">
        <f t="shared" si="122"/>
        <v>293.33333333333422</v>
      </c>
      <c r="CY149" s="59">
        <f ca="1">AVERAGE(OFFSET($CX$3,0,0,'Données projet'!$E$13+1,1))-AVERAGE(OFFSET($H$3,0,0,'Données projet'!$E$13+1,1))</f>
        <v>133.08385802816008</v>
      </c>
      <c r="CZ149" s="59">
        <f t="shared" si="150"/>
        <v>316.59112511251385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projet'!$B$13,Paramètres!$A$1:$I$88,7,0))</f>
        <v>0</v>
      </c>
      <c r="DD149" s="16">
        <f>IF(ISNA(VLOOKUP(A149,'Données projet'!$A$139:$I$159,6,0)),0%,VLOOKUP(A149,'Données projet'!$A$139:$I$159,6,0)*VLOOKUP('Données projet'!$B$13,Paramètres!$A$1:$I$88,7,0))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projet'!$B$13,Paramètres!$A$1:$I$88,3,0)*0.475*44/12</f>
        <v>7.2589547823373373</v>
      </c>
      <c r="DG149" s="21">
        <f>EXP(-LN(2)/25)*DG148+(1-EXP(-LN(2)/25))/(LN(2)/25)*Calculateur!DB149*Calculateur!DD149*VLOOKUP('Données projet'!$B$13,Paramètres!$A$1:$I$88,3,0)*0.475*44/12</f>
        <v>0</v>
      </c>
      <c r="DH149" s="21">
        <f>EXP(-LN(2)/2)*DH148+(1-EXP(-LN(2)/2))/(LN(2)/2)*DB149*DE149*VLOOKUP('Données projet'!$B$13,Paramètres!$A$1:$I$88,3,0)*0.475*44/12</f>
        <v>1.9617653670083545E-17</v>
      </c>
      <c r="DI149" s="22">
        <f t="shared" si="123"/>
        <v>7.2589547823373373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projet'!$B$14,Paramètres!$A$1:$I$88,3,0)*VLOOKUP('Données projet'!$B$14,Paramètres!$A$1:$I$88,5,0)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projet'!$B$14,Paramètres!$A$1:$I$88,7,0))</f>
        <v>0</v>
      </c>
      <c r="DY149" s="16">
        <f>IF(ISNA(VLOOKUP(A149,'Données projet'!$A$165:$I$185,6,0)),0%,VLOOKUP(A149,'Données projet'!$A$165:$I$185,6,0)*VLOOKUP('Données projet'!$B$14,Paramètres!$A$1:$I$88,7,0))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projet'!$B$14,Paramètres!$A$1:$I$88,3,0)*0.475*44/12</f>
        <v>#N/A</v>
      </c>
      <c r="EB149" s="21" t="e">
        <f>EXP(-LN(2)/25)*EB148+(1-EXP(-LN(2)/25))/(LN(2)/25)*Calculateur!DW149*Calculateur!DY149*VLOOKUP('Données projet'!$B$14,Paramètres!$A$1:$I$88,3,0)*0.475*44/12</f>
        <v>#N/A</v>
      </c>
      <c r="EC149" s="21" t="e">
        <f>EXP(-LN(2)/2)*EC148+(1-EXP(-LN(2)/2))/(LN(2)/2)*DW149*DZ149*VLOOKUP('Données projet'!$B$14,Paramètres!$A$1:$I$88,3,0)*0.475*44/12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projet'!$B$15,Paramètres!$A$1:$I$88,3,0)*VLOOKUP('Données projet'!$B$15,Paramètres!$A$1:$I$88,5,0)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projet'!$B$15,Paramètres!$A$1:$I$88,7,0))</f>
        <v>0</v>
      </c>
      <c r="ET149" s="16">
        <f>IF(ISNA(VLOOKUP(A149,'Données projet'!$A$191:$I$211,6,0)),0%,VLOOKUP(A149,'Données projet'!$A$191:$I$211,6,0)*VLOOKUP('Données projet'!$B$15,Paramètres!$A$1:$I$88,7,0))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projet'!$B$15,Paramètres!$A$1:$I$88,3,0)*0.475*44/12</f>
        <v>#N/A</v>
      </c>
      <c r="EW149" s="21" t="e">
        <f>EXP(-LN(2)/25)*EW148+(1-EXP(-LN(2)/25))/(LN(2)/25)*Calculateur!ER149*Calculateur!ET149*VLOOKUP('Données projet'!$B$15,Paramètres!$A$1:$I$88,3,0)*0.475*44/12</f>
        <v>#N/A</v>
      </c>
      <c r="EX149" s="21" t="e">
        <f>EXP(-LN(2)/2)*EX148+(1-EXP(-LN(2)/2))/(LN(2)/2)*ER149*EU149*VLOOKUP('Données projet'!$B$15,Paramètres!$A$1:$I$88,3,0)*0.475*44/12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projet'!$B$16,Paramètres!$A$1:$I$88,3,0)*VLOOKUP('Données projet'!$B$16,Paramètres!$A$1:$I$88,5,0)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projet'!$B$16,Paramètres!$A$1:$I$88,7,0))</f>
        <v>0</v>
      </c>
      <c r="FO149" s="16">
        <f>IF(ISNA(VLOOKUP(A149,'Données projet'!$A$217:$I$237,6,0)),0%,VLOOKUP(A149,'Données projet'!$A$217:$I$237,6,0)*VLOOKUP('Données projet'!$B$16,Paramètres!$A$1:$I$88,7,0))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projet'!$B$16,Paramètres!$A$1:$I$88,3,0)*0.475*44/12</f>
        <v>#N/A</v>
      </c>
      <c r="FR149" s="21" t="e">
        <f>EXP(-LN(2)/25)*FR148+(1-EXP(-LN(2)/25))/(LN(2)/25)*Calculateur!FM149*Calculateur!FO149*VLOOKUP('Données projet'!$B$16,Paramètres!$A$1:$I$88,3,0)*0.475*44/12</f>
        <v>#N/A</v>
      </c>
      <c r="FS149" s="21" t="e">
        <f>EXP(-LN(2)/2)*FS148+(1-EXP(-LN(2)/2))/(LN(2)/2)*FM149*FP149*VLOOKUP('Données projet'!$B$16,Paramètres!$A$1:$I$88,3,0)*0.475*44/12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projet'!$B$17,Paramètres!$A$1:$I$88,3,0)*VLOOKUP('Données projet'!$B$17,Paramètres!$A$1:$I$88,5,0)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projet'!$B$17,Paramètres!$A$1:$I$88,7,0))</f>
        <v>0</v>
      </c>
      <c r="GJ149" s="16">
        <f>IF(ISNA(VLOOKUP(A149,'Données projet'!$A$243:$I$263,6,0)),0%,VLOOKUP(A149,'Données projet'!$A$243:$I$263,6,0)*VLOOKUP('Données projet'!$B$17,Paramètres!$A$1:$I$88,7,0))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projet'!$B$17,Paramètres!$A$1:$I$88,3,0)*0.475*44/12</f>
        <v>#N/A</v>
      </c>
      <c r="GM149" s="21" t="e">
        <f>EXP(-LN(2)/25)*GM148+(1-EXP(-LN(2)/25))/(LN(2)/25)*Calculateur!GH149*Calculateur!GJ149*VLOOKUP('Données projet'!$B$17,Paramètres!$A$1:$I$88,3,0)*0.475*44/12</f>
        <v>#N/A</v>
      </c>
      <c r="GN149" s="21" t="e">
        <f>EXP(-LN(2)/2)*GN148+(1-EXP(-LN(2)/2))/(LN(2)/2)*GH149*GK149*VLOOKUP('Données projet'!$B$17,Paramètres!$A$1:$I$88,3,0)*0.475*44/12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projet'!$B$18,Paramètres!$A$1:$I$88,3,0)*VLOOKUP('Données projet'!$B$18,Paramètres!$A$1:$I$88,5,0)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projet'!$B$18,Paramètres!$A$1:$I$88,7,0))</f>
        <v>0</v>
      </c>
      <c r="HE149" s="16">
        <f>IF(ISNA(VLOOKUP(A149,'Données projet'!$A$269:$I$289,6,0)),0%,VLOOKUP(A149,'Données projet'!$A$269:$I$289,6,0)*VLOOKUP('Données projet'!$B$18,Paramètres!$A$1:$I$88,7,0))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projet'!$B$18,Paramètres!$A$1:$I$88,3,0)*0.475*44/12</f>
        <v>#N/A</v>
      </c>
      <c r="HH149" s="21" t="e">
        <f>EXP(-LN(2)/25)*HH148+(1-EXP(-LN(2)/25))/(LN(2)/25)*Calculateur!HC149*Calculateur!HE149*VLOOKUP('Données projet'!$B$18,Paramètres!$A$1:$I$88,3,0)*0.475*44/12</f>
        <v>#N/A</v>
      </c>
      <c r="HI149" s="21" t="e">
        <f>EXP(-LN(2)/2)*HI148+(1-EXP(-LN(2)/2))/(LN(2)/2)*HC149*HF149*VLOOKUP('Données projet'!$B$18,Paramètres!$A$1:$I$88,3,0)*0.475*44/12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projet'!$B$9,Paramètres!$A$1:$I$88,3,0)*VLOOKUP('Données projet'!$B$9,Paramètres!$A$1:$I$88,5,0)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195.73441209602686</v>
      </c>
      <c r="T150" s="59">
        <f t="shared" si="142"/>
        <v>219.19129224309006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projet'!$B$9,Paramètres!$A$1:$I$88,7,0))</f>
        <v>0</v>
      </c>
      <c r="X150" s="16">
        <f>IF(ISNA(VLOOKUP(A150,'Données projet'!$A$35:$I$55,6,0)),0%,VLOOKUP(A150,'Données projet'!$A$35:$I$55,6,0)*VLOOKUP('Données projet'!$B$9,Paramètres!$A$1:$I$88,7,0))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projet'!$B$9,Paramètres!$A$1:$I$88,3,0)*0.475*44/12</f>
        <v>1.5032667620338747</v>
      </c>
      <c r="AA150" s="21">
        <f>EXP(-LN(2)/25)*AA149+(1-EXP(-LN(2)/25))/(LN(2)/25)*Calculateur!V150*Calculateur!X150*VLOOKUP('Données projet'!$B$9,Paramètres!$A$1:$I$88,3,0)*0.475*44/12</f>
        <v>0.552294551562723</v>
      </c>
      <c r="AB150" s="21">
        <f>EXP(-LN(2)/2)*AB149+(1-EXP(-LN(2)/2))/(LN(2)/2)*V150*Y150*VLOOKUP('Données projet'!$B$9,Paramètres!$A$1:$I$88,3,0)*0.475*44/12</f>
        <v>9.7326985135899929E-20</v>
      </c>
      <c r="AC150" s="22">
        <f t="shared" si="111"/>
        <v>2.0555613135965976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-4.5474735088646412E-13</v>
      </c>
      <c r="AJ150" s="13">
        <f>AI150*VLOOKUP('Données projet'!$B$10,Paramètres!$A$1:$I$88,3,0)*VLOOKUP('Données projet'!$B$10,Paramètres!$A$1:$I$88,5,0)</f>
        <v>-2.7193891583010558E-13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246.59447135626942</v>
      </c>
      <c r="AO150" s="59">
        <f t="shared" si="144"/>
        <v>262.00382544285367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projet'!$B$10,Paramètres!$A$1:$I$88,7,0))</f>
        <v>0</v>
      </c>
      <c r="AS150" s="16">
        <f>IF(ISNA(VLOOKUP(A150,'Données projet'!$A$61:$I$81,6,0)),0%,VLOOKUP(A150,'Données projet'!$A$61:$I$81,6,0)*VLOOKUP('Données projet'!$B$10,Paramètres!$A$1:$I$88,7,0))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projet'!$B$10,Paramètres!$A$1:$I$88,3,0)*0.475*44/12</f>
        <v>0</v>
      </c>
      <c r="AV150" s="21">
        <f>EXP(-LN(2)/25)*AV149+(1-EXP(-LN(2)/25))/(LN(2)/25)*Calculateur!AQ150*Calculateur!AS150*VLOOKUP('Données projet'!$B$10,Paramètres!$A$1:$I$88,3,0)*0.475*44/12</f>
        <v>0.50125400695820921</v>
      </c>
      <c r="AW150" s="21">
        <f>EXP(-LN(2)/2)*AW149+(1-EXP(-LN(2)/2))/(LN(2)/2)*AQ150*AT150*VLOOKUP('Données projet'!$B$10,Paramètres!$A$1:$I$88,3,0)*0.475*44/12</f>
        <v>5.8214514042619597E-17</v>
      </c>
      <c r="AX150" s="21">
        <f t="shared" si="114"/>
        <v>0.50125400695820932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-5.6843418860808015E-13</v>
      </c>
      <c r="BE150" s="13">
        <f>BD150*VLOOKUP('Données projet'!$B$11,Paramètres!$A$1:$I$88,3,0)*VLOOKUP('Données projet'!$B$11,Paramètres!$A$1:$I$88,5,0)</f>
        <v>-3.177547114319168E-13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355.96253323046608</v>
      </c>
      <c r="BJ150" s="59">
        <f t="shared" si="146"/>
        <v>366.8380442809696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projet'!$B$11,Paramètres!$A$1:$I$88,7,0))</f>
        <v>0</v>
      </c>
      <c r="BN150" s="16">
        <f>IF(ISNA(VLOOKUP(A150,'Données projet'!$A$87:$I$107,6,0)),0%,VLOOKUP(A150,'Données projet'!$A$87:$I$107,6,0)*VLOOKUP('Données projet'!$B$11,Paramètres!$A$1:$I$88,7,0))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projet'!$B$11,Paramètres!$A$1:$I$88,3,0)*0.475*44/12</f>
        <v>0</v>
      </c>
      <c r="BQ150" s="21">
        <f>EXP(-LN(2)/25)*BQ149+(1-EXP(-LN(2)/25))/(LN(2)/25)*Calculateur!BL150*Calculateur!BN150*VLOOKUP('Données projet'!$B$11,Paramètres!$A$1:$I$88,3,0)*0.475*44/12</f>
        <v>0.88747707427570754</v>
      </c>
      <c r="BR150" s="21">
        <f>EXP(-LN(2)/2)*BR149+(1-EXP(-LN(2)/2))/(LN(2)/2)*BL150*BO150*VLOOKUP('Données projet'!$B$11,Paramètres!$A$1:$I$88,3,0)*0.475*44/12</f>
        <v>9.0009124282493417E-17</v>
      </c>
      <c r="BS150" s="22">
        <f t="shared" si="117"/>
        <v>0.88747707427570766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projet'!$B$12,Paramètres!$A$1:$I$88,3,0)*VLOOKUP('Données projet'!$B$12,Paramètres!$A$1:$I$88,5,0)</f>
        <v>3.7243808037601412E-14</v>
      </c>
      <c r="CA150" s="13">
        <f t="shared" si="147"/>
        <v>6.2767589361185393E-13</v>
      </c>
      <c r="CB150" s="20">
        <f t="shared" si="118"/>
        <v>1.1580684803728015E-12</v>
      </c>
      <c r="CC150" s="59">
        <f t="shared" si="119"/>
        <v>293.33333333333445</v>
      </c>
      <c r="CD150" s="59">
        <f ca="1">AVERAGE(OFFSET($CC$3,0,0,'Données projet'!$E$12+1,1))-AVERAGE(OFFSET($H$3,0,0,'Données projet'!$E$12+1,1))</f>
        <v>180.90147430936133</v>
      </c>
      <c r="CE150" s="59">
        <f t="shared" si="148"/>
        <v>226.87949199830018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projet'!$B$12,Paramètres!$A$1:$I$88,7,0))</f>
        <v>0</v>
      </c>
      <c r="CI150" s="16">
        <f>IF(ISNA(VLOOKUP(A150,'Données projet'!$A$113:$I$133,6,0)),0%,VLOOKUP(A150,'Données projet'!$A$113:$I$133,6,0)*VLOOKUP('Données projet'!$B$12,Paramètres!$A$1:$I$88,7,0))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projet'!$B$12,Paramètres!$A$1:$I$88,3,0)*0.475*44/12</f>
        <v>0</v>
      </c>
      <c r="CL150" s="21">
        <f>EXP(-LN(2)/25)*CL149+(1-EXP(-LN(2)/25))/(LN(2)/25)*Calculateur!CG150*Calculateur!CI150*VLOOKUP('Données projet'!$B$12,Paramètres!$A$1:$I$88,3,0)*0.475*44/12</f>
        <v>0.26802182656641044</v>
      </c>
      <c r="CM150" s="21">
        <f>EXP(-LN(2)/2)*CM149+(1-EXP(-LN(2)/2))/(LN(2)/2)*CG150*CJ150*VLOOKUP('Données projet'!$B$12,Paramètres!$A$1:$I$88,3,0)*0.475*44/12</f>
        <v>2.1742002157750166E-17</v>
      </c>
      <c r="CN150" s="22">
        <f t="shared" si="120"/>
        <v>0.26802182656641044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5.6843418860808015E-14</v>
      </c>
      <c r="CU150" s="17">
        <f>CT150*VLOOKUP('Données projet'!$B$13,Paramètres!$A$1:$I$88,3,0)*VLOOKUP('Données projet'!$B$13,Paramètres!$A$1:$I$88,5,0)</f>
        <v>2.8908289095852525E-14</v>
      </c>
      <c r="CV150" s="13">
        <f t="shared" si="149"/>
        <v>5.0177780569126974E-13</v>
      </c>
      <c r="CW150" s="20">
        <f t="shared" si="121"/>
        <v>9.2427828175423786E-13</v>
      </c>
      <c r="CX150" s="59">
        <f t="shared" si="122"/>
        <v>293.33333333333422</v>
      </c>
      <c r="CY150" s="59">
        <f ca="1">AVERAGE(OFFSET($CX$3,0,0,'Données projet'!$E$13+1,1))-AVERAGE(OFFSET($H$3,0,0,'Données projet'!$E$13+1,1))</f>
        <v>133.08385802816008</v>
      </c>
      <c r="CZ150" s="59">
        <f t="shared" si="150"/>
        <v>316.59112511251385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projet'!$B$13,Paramètres!$A$1:$I$88,7,0))</f>
        <v>0</v>
      </c>
      <c r="DD150" s="16">
        <f>IF(ISNA(VLOOKUP(A150,'Données projet'!$A$139:$I$159,6,0)),0%,VLOOKUP(A150,'Données projet'!$A$139:$I$159,6,0)*VLOOKUP('Données projet'!$B$13,Paramètres!$A$1:$I$88,7,0))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projet'!$B$13,Paramètres!$A$1:$I$88,3,0)*0.475*44/12</f>
        <v>7.1166111065809377</v>
      </c>
      <c r="DG150" s="21">
        <f>EXP(-LN(2)/25)*DG149+(1-EXP(-LN(2)/25))/(LN(2)/25)*Calculateur!DB150*Calculateur!DD150*VLOOKUP('Données projet'!$B$13,Paramètres!$A$1:$I$88,3,0)*0.475*44/12</f>
        <v>0</v>
      </c>
      <c r="DH150" s="21">
        <f>EXP(-LN(2)/2)*DH149+(1-EXP(-LN(2)/2))/(LN(2)/2)*DB150*DE150*VLOOKUP('Données projet'!$B$13,Paramètres!$A$1:$I$88,3,0)*0.475*44/12</f>
        <v>1.3871775941085237E-17</v>
      </c>
      <c r="DI150" s="22">
        <f t="shared" si="123"/>
        <v>7.1166111065809377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projet'!$B$14,Paramètres!$A$1:$I$88,3,0)*VLOOKUP('Données projet'!$B$14,Paramètres!$A$1:$I$88,5,0)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projet'!$B$14,Paramètres!$A$1:$I$88,7,0))</f>
        <v>0</v>
      </c>
      <c r="DY150" s="16">
        <f>IF(ISNA(VLOOKUP(A150,'Données projet'!$A$165:$I$185,6,0)),0%,VLOOKUP(A150,'Données projet'!$A$165:$I$185,6,0)*VLOOKUP('Données projet'!$B$14,Paramètres!$A$1:$I$88,7,0))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projet'!$B$14,Paramètres!$A$1:$I$88,3,0)*0.475*44/12</f>
        <v>#N/A</v>
      </c>
      <c r="EB150" s="21" t="e">
        <f>EXP(-LN(2)/25)*EB149+(1-EXP(-LN(2)/25))/(LN(2)/25)*Calculateur!DW150*Calculateur!DY150*VLOOKUP('Données projet'!$B$14,Paramètres!$A$1:$I$88,3,0)*0.475*44/12</f>
        <v>#N/A</v>
      </c>
      <c r="EC150" s="21" t="e">
        <f>EXP(-LN(2)/2)*EC149+(1-EXP(-LN(2)/2))/(LN(2)/2)*DW150*DZ150*VLOOKUP('Données projet'!$B$14,Paramètres!$A$1:$I$88,3,0)*0.475*44/12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projet'!$B$15,Paramètres!$A$1:$I$88,3,0)*VLOOKUP('Données projet'!$B$15,Paramètres!$A$1:$I$88,5,0)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projet'!$B$15,Paramètres!$A$1:$I$88,7,0))</f>
        <v>0</v>
      </c>
      <c r="ET150" s="16">
        <f>IF(ISNA(VLOOKUP(A150,'Données projet'!$A$191:$I$211,6,0)),0%,VLOOKUP(A150,'Données projet'!$A$191:$I$211,6,0)*VLOOKUP('Données projet'!$B$15,Paramètres!$A$1:$I$88,7,0))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projet'!$B$15,Paramètres!$A$1:$I$88,3,0)*0.475*44/12</f>
        <v>#N/A</v>
      </c>
      <c r="EW150" s="21" t="e">
        <f>EXP(-LN(2)/25)*EW149+(1-EXP(-LN(2)/25))/(LN(2)/25)*Calculateur!ER150*Calculateur!ET150*VLOOKUP('Données projet'!$B$15,Paramètres!$A$1:$I$88,3,0)*0.475*44/12</f>
        <v>#N/A</v>
      </c>
      <c r="EX150" s="21" t="e">
        <f>EXP(-LN(2)/2)*EX149+(1-EXP(-LN(2)/2))/(LN(2)/2)*ER150*EU150*VLOOKUP('Données projet'!$B$15,Paramètres!$A$1:$I$88,3,0)*0.475*44/12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projet'!$B$16,Paramètres!$A$1:$I$88,3,0)*VLOOKUP('Données projet'!$B$16,Paramètres!$A$1:$I$88,5,0)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projet'!$B$16,Paramètres!$A$1:$I$88,7,0))</f>
        <v>0</v>
      </c>
      <c r="FO150" s="16">
        <f>IF(ISNA(VLOOKUP(A150,'Données projet'!$A$217:$I$237,6,0)),0%,VLOOKUP(A150,'Données projet'!$A$217:$I$237,6,0)*VLOOKUP('Données projet'!$B$16,Paramètres!$A$1:$I$88,7,0))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projet'!$B$16,Paramètres!$A$1:$I$88,3,0)*0.475*44/12</f>
        <v>#N/A</v>
      </c>
      <c r="FR150" s="21" t="e">
        <f>EXP(-LN(2)/25)*FR149+(1-EXP(-LN(2)/25))/(LN(2)/25)*Calculateur!FM150*Calculateur!FO150*VLOOKUP('Données projet'!$B$16,Paramètres!$A$1:$I$88,3,0)*0.475*44/12</f>
        <v>#N/A</v>
      </c>
      <c r="FS150" s="21" t="e">
        <f>EXP(-LN(2)/2)*FS149+(1-EXP(-LN(2)/2))/(LN(2)/2)*FM150*FP150*VLOOKUP('Données projet'!$B$16,Paramètres!$A$1:$I$88,3,0)*0.475*44/12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projet'!$B$17,Paramètres!$A$1:$I$88,3,0)*VLOOKUP('Données projet'!$B$17,Paramètres!$A$1:$I$88,5,0)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projet'!$B$17,Paramètres!$A$1:$I$88,7,0))</f>
        <v>0</v>
      </c>
      <c r="GJ150" s="16">
        <f>IF(ISNA(VLOOKUP(A150,'Données projet'!$A$243:$I$263,6,0)),0%,VLOOKUP(A150,'Données projet'!$A$243:$I$263,6,0)*VLOOKUP('Données projet'!$B$17,Paramètres!$A$1:$I$88,7,0))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projet'!$B$17,Paramètres!$A$1:$I$88,3,0)*0.475*44/12</f>
        <v>#N/A</v>
      </c>
      <c r="GM150" s="21" t="e">
        <f>EXP(-LN(2)/25)*GM149+(1-EXP(-LN(2)/25))/(LN(2)/25)*Calculateur!GH150*Calculateur!GJ150*VLOOKUP('Données projet'!$B$17,Paramètres!$A$1:$I$88,3,0)*0.475*44/12</f>
        <v>#N/A</v>
      </c>
      <c r="GN150" s="21" t="e">
        <f>EXP(-LN(2)/2)*GN149+(1-EXP(-LN(2)/2))/(LN(2)/2)*GH150*GK150*VLOOKUP('Données projet'!$B$17,Paramètres!$A$1:$I$88,3,0)*0.475*44/12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projet'!$B$18,Paramètres!$A$1:$I$88,3,0)*VLOOKUP('Données projet'!$B$18,Paramètres!$A$1:$I$88,5,0)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projet'!$B$18,Paramètres!$A$1:$I$88,7,0))</f>
        <v>0</v>
      </c>
      <c r="HE150" s="16">
        <f>IF(ISNA(VLOOKUP(A150,'Données projet'!$A$269:$I$289,6,0)),0%,VLOOKUP(A150,'Données projet'!$A$269:$I$289,6,0)*VLOOKUP('Données projet'!$B$18,Paramètres!$A$1:$I$88,7,0))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projet'!$B$18,Paramètres!$A$1:$I$88,3,0)*0.475*44/12</f>
        <v>#N/A</v>
      </c>
      <c r="HH150" s="21" t="e">
        <f>EXP(-LN(2)/25)*HH149+(1-EXP(-LN(2)/25))/(LN(2)/25)*Calculateur!HC150*Calculateur!HE150*VLOOKUP('Données projet'!$B$18,Paramètres!$A$1:$I$88,3,0)*0.475*44/12</f>
        <v>#N/A</v>
      </c>
      <c r="HI150" s="21" t="e">
        <f>EXP(-LN(2)/2)*HI149+(1-EXP(-LN(2)/2))/(LN(2)/2)*HC150*HF150*VLOOKUP('Données projet'!$B$18,Paramètres!$A$1:$I$88,3,0)*0.475*44/12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projet'!$B$9,Paramètres!$A$1:$I$88,3,0)*VLOOKUP('Données projet'!$B$9,Paramètres!$A$1:$I$88,5,0)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195.73441209602686</v>
      </c>
      <c r="T151" s="59">
        <f t="shared" si="142"/>
        <v>219.19129224309006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projet'!$B$9,Paramètres!$A$1:$I$88,7,0))</f>
        <v>0</v>
      </c>
      <c r="X151" s="16">
        <f>IF(ISNA(VLOOKUP(A151,'Données projet'!$A$35:$I$55,6,0)),0%,VLOOKUP(A151,'Données projet'!$A$35:$I$55,6,0)*VLOOKUP('Données projet'!$B$9,Paramètres!$A$1:$I$88,7,0))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projet'!$B$9,Paramètres!$A$1:$I$88,3,0)*0.475*44/12</f>
        <v>1.4737886177325787</v>
      </c>
      <c r="AA151" s="21">
        <f>EXP(-LN(2)/25)*AA150+(1-EXP(-LN(2)/25))/(LN(2)/25)*Calculateur!V151*Calculateur!X151*VLOOKUP('Données projet'!$B$9,Paramètres!$A$1:$I$88,3,0)*0.475*44/12</f>
        <v>0.53719202800633215</v>
      </c>
      <c r="AB151" s="21">
        <f>EXP(-LN(2)/2)*AB150+(1-EXP(-LN(2)/2))/(LN(2)/2)*V151*Y151*VLOOKUP('Données projet'!$B$9,Paramètres!$A$1:$I$88,3,0)*0.475*44/12</f>
        <v>6.8820571182037153E-20</v>
      </c>
      <c r="AC151" s="22">
        <f t="shared" si="111"/>
        <v>2.0109806457389108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-4.5474735088646412E-13</v>
      </c>
      <c r="AJ151" s="13">
        <f>AI151*VLOOKUP('Données projet'!$B$10,Paramètres!$A$1:$I$88,3,0)*VLOOKUP('Données projet'!$B$10,Paramètres!$A$1:$I$88,5,0)</f>
        <v>-2.7193891583010558E-13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246.59447135626942</v>
      </c>
      <c r="AO151" s="59">
        <f t="shared" si="144"/>
        <v>262.00382544285367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projet'!$B$10,Paramètres!$A$1:$I$88,7,0))</f>
        <v>0</v>
      </c>
      <c r="AS151" s="16">
        <f>IF(ISNA(VLOOKUP(A151,'Données projet'!$A$61:$I$81,6,0)),0%,VLOOKUP(A151,'Données projet'!$A$61:$I$81,6,0)*VLOOKUP('Données projet'!$B$10,Paramètres!$A$1:$I$88,7,0))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projet'!$B$10,Paramètres!$A$1:$I$88,3,0)*0.475*44/12</f>
        <v>0</v>
      </c>
      <c r="AV151" s="21">
        <f>EXP(-LN(2)/25)*AV150+(1-EXP(-LN(2)/25))/(LN(2)/25)*Calculateur!AQ151*Calculateur!AS151*VLOOKUP('Données projet'!$B$10,Paramètres!$A$1:$I$88,3,0)*0.475*44/12</f>
        <v>0.48754718977813438</v>
      </c>
      <c r="AW151" s="21">
        <f>EXP(-LN(2)/2)*AW150+(1-EXP(-LN(2)/2))/(LN(2)/2)*AQ151*AT151*VLOOKUP('Données projet'!$B$10,Paramètres!$A$1:$I$88,3,0)*0.475*44/12</f>
        <v>4.1163877643015815E-17</v>
      </c>
      <c r="AX151" s="21">
        <f t="shared" si="114"/>
        <v>0.48754718977813444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-5.6843418860808015E-13</v>
      </c>
      <c r="BE151" s="13">
        <f>BD151*VLOOKUP('Données projet'!$B$11,Paramètres!$A$1:$I$88,3,0)*VLOOKUP('Données projet'!$B$11,Paramètres!$A$1:$I$88,5,0)</f>
        <v>-3.177547114319168E-13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355.96253323046608</v>
      </c>
      <c r="BJ151" s="59">
        <f t="shared" si="146"/>
        <v>366.8380442809696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projet'!$B$11,Paramètres!$A$1:$I$88,7,0))</f>
        <v>0</v>
      </c>
      <c r="BN151" s="16">
        <f>IF(ISNA(VLOOKUP(A151,'Données projet'!$A$87:$I$107,6,0)),0%,VLOOKUP(A151,'Données projet'!$A$87:$I$107,6,0)*VLOOKUP('Données projet'!$B$11,Paramètres!$A$1:$I$88,7,0))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projet'!$B$11,Paramètres!$A$1:$I$88,3,0)*0.475*44/12</f>
        <v>0</v>
      </c>
      <c r="BQ151" s="21">
        <f>EXP(-LN(2)/25)*BQ150+(1-EXP(-LN(2)/25))/(LN(2)/25)*Calculateur!BL151*Calculateur!BN151*VLOOKUP('Données projet'!$B$11,Paramètres!$A$1:$I$88,3,0)*0.475*44/12</f>
        <v>0.86320896700924732</v>
      </c>
      <c r="BR151" s="21">
        <f>EXP(-LN(2)/2)*BR150+(1-EXP(-LN(2)/2))/(LN(2)/2)*BL151*BO151*VLOOKUP('Données projet'!$B$11,Paramètres!$A$1:$I$88,3,0)*0.475*44/12</f>
        <v>6.3646062148813833E-17</v>
      </c>
      <c r="BS151" s="22">
        <f t="shared" si="117"/>
        <v>0.86320896700924743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projet'!$B$12,Paramètres!$A$1:$I$88,3,0)*VLOOKUP('Données projet'!$B$12,Paramètres!$A$1:$I$88,5,0)</f>
        <v>3.7243808037601412E-14</v>
      </c>
      <c r="CA151" s="13">
        <f t="shared" si="147"/>
        <v>6.2767589361185393E-13</v>
      </c>
      <c r="CB151" s="20">
        <f t="shared" si="118"/>
        <v>1.1580684803728015E-12</v>
      </c>
      <c r="CC151" s="59">
        <f t="shared" si="119"/>
        <v>293.33333333333445</v>
      </c>
      <c r="CD151" s="59">
        <f ca="1">AVERAGE(OFFSET($CC$3,0,0,'Données projet'!$E$12+1,1))-AVERAGE(OFFSET($H$3,0,0,'Données projet'!$E$12+1,1))</f>
        <v>180.90147430936133</v>
      </c>
      <c r="CE151" s="59">
        <f t="shared" si="148"/>
        <v>226.87949199830018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projet'!$B$12,Paramètres!$A$1:$I$88,7,0))</f>
        <v>0</v>
      </c>
      <c r="CI151" s="16">
        <f>IF(ISNA(VLOOKUP(A151,'Données projet'!$A$113:$I$133,6,0)),0%,VLOOKUP(A151,'Données projet'!$A$113:$I$133,6,0)*VLOOKUP('Données projet'!$B$12,Paramètres!$A$1:$I$88,7,0))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projet'!$B$12,Paramètres!$A$1:$I$88,3,0)*0.475*44/12</f>
        <v>0</v>
      </c>
      <c r="CL151" s="21">
        <f>EXP(-LN(2)/25)*CL150+(1-EXP(-LN(2)/25))/(LN(2)/25)*Calculateur!CG151*Calculateur!CI151*VLOOKUP('Données projet'!$B$12,Paramètres!$A$1:$I$88,3,0)*0.475*44/12</f>
        <v>0.26069275562429667</v>
      </c>
      <c r="CM151" s="21">
        <f>EXP(-LN(2)/2)*CM150+(1-EXP(-LN(2)/2))/(LN(2)/2)*CG151*CJ151*VLOOKUP('Données projet'!$B$12,Paramètres!$A$1:$I$88,3,0)*0.475*44/12</f>
        <v>1.537391716231769E-17</v>
      </c>
      <c r="CN151" s="22">
        <f t="shared" si="120"/>
        <v>0.26069275562429667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5.6843418860808015E-14</v>
      </c>
      <c r="CU151" s="17">
        <f>CT151*VLOOKUP('Données projet'!$B$13,Paramètres!$A$1:$I$88,3,0)*VLOOKUP('Données projet'!$B$13,Paramètres!$A$1:$I$88,5,0)</f>
        <v>2.8908289095852525E-14</v>
      </c>
      <c r="CV151" s="13">
        <f t="shared" si="149"/>
        <v>5.0177780569126974E-13</v>
      </c>
      <c r="CW151" s="20">
        <f t="shared" si="121"/>
        <v>9.2427828175423786E-13</v>
      </c>
      <c r="CX151" s="59">
        <f t="shared" si="122"/>
        <v>293.33333333333422</v>
      </c>
      <c r="CY151" s="59">
        <f ca="1">AVERAGE(OFFSET($CX$3,0,0,'Données projet'!$E$13+1,1))-AVERAGE(OFFSET($H$3,0,0,'Données projet'!$E$13+1,1))</f>
        <v>133.08385802816008</v>
      </c>
      <c r="CZ151" s="59">
        <f t="shared" si="150"/>
        <v>316.59112511251385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projet'!$B$13,Paramètres!$A$1:$I$88,7,0))</f>
        <v>0</v>
      </c>
      <c r="DD151" s="16">
        <f>IF(ISNA(VLOOKUP(A151,'Données projet'!$A$139:$I$159,6,0)),0%,VLOOKUP(A151,'Données projet'!$A$139:$I$159,6,0)*VLOOKUP('Données projet'!$B$13,Paramètres!$A$1:$I$88,7,0))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projet'!$B$13,Paramètres!$A$1:$I$88,3,0)*0.475*44/12</f>
        <v>6.977058703485052</v>
      </c>
      <c r="DG151" s="21">
        <f>EXP(-LN(2)/25)*DG150+(1-EXP(-LN(2)/25))/(LN(2)/25)*Calculateur!DB151*Calculateur!DD151*VLOOKUP('Données projet'!$B$13,Paramètres!$A$1:$I$88,3,0)*0.475*44/12</f>
        <v>0</v>
      </c>
      <c r="DH151" s="21">
        <f>EXP(-LN(2)/2)*DH150+(1-EXP(-LN(2)/2))/(LN(2)/2)*DB151*DE151*VLOOKUP('Données projet'!$B$13,Paramètres!$A$1:$I$88,3,0)*0.475*44/12</f>
        <v>9.8088268350417742E-18</v>
      </c>
      <c r="DI151" s="22">
        <f t="shared" si="123"/>
        <v>6.977058703485052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projet'!$B$14,Paramètres!$A$1:$I$88,3,0)*VLOOKUP('Données projet'!$B$14,Paramètres!$A$1:$I$88,5,0)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projet'!$B$14,Paramètres!$A$1:$I$88,7,0))</f>
        <v>0</v>
      </c>
      <c r="DY151" s="16">
        <f>IF(ISNA(VLOOKUP(A151,'Données projet'!$A$165:$I$185,6,0)),0%,VLOOKUP(A151,'Données projet'!$A$165:$I$185,6,0)*VLOOKUP('Données projet'!$B$14,Paramètres!$A$1:$I$88,7,0))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projet'!$B$14,Paramètres!$A$1:$I$88,3,0)*0.475*44/12</f>
        <v>#N/A</v>
      </c>
      <c r="EB151" s="21" t="e">
        <f>EXP(-LN(2)/25)*EB150+(1-EXP(-LN(2)/25))/(LN(2)/25)*Calculateur!DW151*Calculateur!DY151*VLOOKUP('Données projet'!$B$14,Paramètres!$A$1:$I$88,3,0)*0.475*44/12</f>
        <v>#N/A</v>
      </c>
      <c r="EC151" s="21" t="e">
        <f>EXP(-LN(2)/2)*EC150+(1-EXP(-LN(2)/2))/(LN(2)/2)*DW151*DZ151*VLOOKUP('Données projet'!$B$14,Paramètres!$A$1:$I$88,3,0)*0.475*44/12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projet'!$B$15,Paramètres!$A$1:$I$88,3,0)*VLOOKUP('Données projet'!$B$15,Paramètres!$A$1:$I$88,5,0)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projet'!$B$15,Paramètres!$A$1:$I$88,7,0))</f>
        <v>0</v>
      </c>
      <c r="ET151" s="16">
        <f>IF(ISNA(VLOOKUP(A151,'Données projet'!$A$191:$I$211,6,0)),0%,VLOOKUP(A151,'Données projet'!$A$191:$I$211,6,0)*VLOOKUP('Données projet'!$B$15,Paramètres!$A$1:$I$88,7,0))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projet'!$B$15,Paramètres!$A$1:$I$88,3,0)*0.475*44/12</f>
        <v>#N/A</v>
      </c>
      <c r="EW151" s="21" t="e">
        <f>EXP(-LN(2)/25)*EW150+(1-EXP(-LN(2)/25))/(LN(2)/25)*Calculateur!ER151*Calculateur!ET151*VLOOKUP('Données projet'!$B$15,Paramètres!$A$1:$I$88,3,0)*0.475*44/12</f>
        <v>#N/A</v>
      </c>
      <c r="EX151" s="21" t="e">
        <f>EXP(-LN(2)/2)*EX150+(1-EXP(-LN(2)/2))/(LN(2)/2)*ER151*EU151*VLOOKUP('Données projet'!$B$15,Paramètres!$A$1:$I$88,3,0)*0.475*44/12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projet'!$B$16,Paramètres!$A$1:$I$88,3,0)*VLOOKUP('Données projet'!$B$16,Paramètres!$A$1:$I$88,5,0)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projet'!$B$16,Paramètres!$A$1:$I$88,7,0))</f>
        <v>0</v>
      </c>
      <c r="FO151" s="16">
        <f>IF(ISNA(VLOOKUP(A151,'Données projet'!$A$217:$I$237,6,0)),0%,VLOOKUP(A151,'Données projet'!$A$217:$I$237,6,0)*VLOOKUP('Données projet'!$B$16,Paramètres!$A$1:$I$88,7,0))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projet'!$B$16,Paramètres!$A$1:$I$88,3,0)*0.475*44/12</f>
        <v>#N/A</v>
      </c>
      <c r="FR151" s="21" t="e">
        <f>EXP(-LN(2)/25)*FR150+(1-EXP(-LN(2)/25))/(LN(2)/25)*Calculateur!FM151*Calculateur!FO151*VLOOKUP('Données projet'!$B$16,Paramètres!$A$1:$I$88,3,0)*0.475*44/12</f>
        <v>#N/A</v>
      </c>
      <c r="FS151" s="21" t="e">
        <f>EXP(-LN(2)/2)*FS150+(1-EXP(-LN(2)/2))/(LN(2)/2)*FM151*FP151*VLOOKUP('Données projet'!$B$16,Paramètres!$A$1:$I$88,3,0)*0.475*44/12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projet'!$B$17,Paramètres!$A$1:$I$88,3,0)*VLOOKUP('Données projet'!$B$17,Paramètres!$A$1:$I$88,5,0)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projet'!$B$17,Paramètres!$A$1:$I$88,7,0))</f>
        <v>0</v>
      </c>
      <c r="GJ151" s="16">
        <f>IF(ISNA(VLOOKUP(A151,'Données projet'!$A$243:$I$263,6,0)),0%,VLOOKUP(A151,'Données projet'!$A$243:$I$263,6,0)*VLOOKUP('Données projet'!$B$17,Paramètres!$A$1:$I$88,7,0))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projet'!$B$17,Paramètres!$A$1:$I$88,3,0)*0.475*44/12</f>
        <v>#N/A</v>
      </c>
      <c r="GM151" s="21" t="e">
        <f>EXP(-LN(2)/25)*GM150+(1-EXP(-LN(2)/25))/(LN(2)/25)*Calculateur!GH151*Calculateur!GJ151*VLOOKUP('Données projet'!$B$17,Paramètres!$A$1:$I$88,3,0)*0.475*44/12</f>
        <v>#N/A</v>
      </c>
      <c r="GN151" s="21" t="e">
        <f>EXP(-LN(2)/2)*GN150+(1-EXP(-LN(2)/2))/(LN(2)/2)*GH151*GK151*VLOOKUP('Données projet'!$B$17,Paramètres!$A$1:$I$88,3,0)*0.475*44/12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projet'!$B$18,Paramètres!$A$1:$I$88,3,0)*VLOOKUP('Données projet'!$B$18,Paramètres!$A$1:$I$88,5,0)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projet'!$B$18,Paramètres!$A$1:$I$88,7,0))</f>
        <v>0</v>
      </c>
      <c r="HE151" s="16">
        <f>IF(ISNA(VLOOKUP(A151,'Données projet'!$A$269:$I$289,6,0)),0%,VLOOKUP(A151,'Données projet'!$A$269:$I$289,6,0)*VLOOKUP('Données projet'!$B$18,Paramètres!$A$1:$I$88,7,0))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projet'!$B$18,Paramètres!$A$1:$I$88,3,0)*0.475*44/12</f>
        <v>#N/A</v>
      </c>
      <c r="HH151" s="21" t="e">
        <f>EXP(-LN(2)/25)*HH150+(1-EXP(-LN(2)/25))/(LN(2)/25)*Calculateur!HC151*Calculateur!HE151*VLOOKUP('Données projet'!$B$18,Paramètres!$A$1:$I$88,3,0)*0.475*44/12</f>
        <v>#N/A</v>
      </c>
      <c r="HI151" s="21" t="e">
        <f>EXP(-LN(2)/2)*HI150+(1-EXP(-LN(2)/2))/(LN(2)/2)*HC151*HF151*VLOOKUP('Données projet'!$B$18,Paramètres!$A$1:$I$88,3,0)*0.475*44/12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projet'!$B$9,Paramètres!$A$1:$I$88,3,0)*VLOOKUP('Données projet'!$B$9,Paramètres!$A$1:$I$88,5,0)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195.73441209602686</v>
      </c>
      <c r="T152" s="59">
        <f t="shared" si="142"/>
        <v>219.19129224309006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projet'!$B$9,Paramètres!$A$1:$I$88,7,0))</f>
        <v>0</v>
      </c>
      <c r="X152" s="16">
        <f>IF(ISNA(VLOOKUP(A152,'Données projet'!$A$35:$I$55,6,0)),0%,VLOOKUP(A152,'Données projet'!$A$35:$I$55,6,0)*VLOOKUP('Données projet'!$B$9,Paramètres!$A$1:$I$88,7,0))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projet'!$B$9,Paramètres!$A$1:$I$88,3,0)*0.475*44/12</f>
        <v>1.4448885218611385</v>
      </c>
      <c r="AA152" s="21">
        <f>EXP(-LN(2)/25)*AA151+(1-EXP(-LN(2)/25))/(LN(2)/25)*Calculateur!V152*Calculateur!X152*VLOOKUP('Données projet'!$B$9,Paramètres!$A$1:$I$88,3,0)*0.475*44/12</f>
        <v>0.522502483750798</v>
      </c>
      <c r="AB152" s="21">
        <f>EXP(-LN(2)/2)*AB151+(1-EXP(-LN(2)/2))/(LN(2)/2)*V152*Y152*VLOOKUP('Données projet'!$B$9,Paramètres!$A$1:$I$88,3,0)*0.475*44/12</f>
        <v>4.8663492567949964E-20</v>
      </c>
      <c r="AC152" s="22">
        <f t="shared" si="111"/>
        <v>1.9673910056119364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-4.5474735088646412E-13</v>
      </c>
      <c r="AJ152" s="13">
        <f>AI152*VLOOKUP('Données projet'!$B$10,Paramètres!$A$1:$I$88,3,0)*VLOOKUP('Données projet'!$B$10,Paramètres!$A$1:$I$88,5,0)</f>
        <v>-2.7193891583010558E-13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246.59447135626942</v>
      </c>
      <c r="AO152" s="59">
        <f t="shared" si="144"/>
        <v>262.00382544285367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projet'!$B$10,Paramètres!$A$1:$I$88,7,0))</f>
        <v>0</v>
      </c>
      <c r="AS152" s="16">
        <f>IF(ISNA(VLOOKUP(A152,'Données projet'!$A$61:$I$81,6,0)),0%,VLOOKUP(A152,'Données projet'!$A$61:$I$81,6,0)*VLOOKUP('Données projet'!$B$10,Paramètres!$A$1:$I$88,7,0))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projet'!$B$10,Paramètres!$A$1:$I$88,3,0)*0.475*44/12</f>
        <v>0</v>
      </c>
      <c r="AV152" s="21">
        <f>EXP(-LN(2)/25)*AV151+(1-EXP(-LN(2)/25))/(LN(2)/25)*Calculateur!AQ152*Calculateur!AS152*VLOOKUP('Données projet'!$B$10,Paramètres!$A$1:$I$88,3,0)*0.475*44/12</f>
        <v>0.47421518623465891</v>
      </c>
      <c r="AW152" s="21">
        <f>EXP(-LN(2)/2)*AW151+(1-EXP(-LN(2)/2))/(LN(2)/2)*AQ152*AT152*VLOOKUP('Données projet'!$B$10,Paramètres!$A$1:$I$88,3,0)*0.475*44/12</f>
        <v>2.9107257021309799E-17</v>
      </c>
      <c r="AX152" s="21">
        <f t="shared" si="114"/>
        <v>0.47421518623465897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-5.6843418860808015E-13</v>
      </c>
      <c r="BE152" s="13">
        <f>BD152*VLOOKUP('Données projet'!$B$11,Paramètres!$A$1:$I$88,3,0)*VLOOKUP('Données projet'!$B$11,Paramètres!$A$1:$I$88,5,0)</f>
        <v>-3.177547114319168E-13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355.96253323046608</v>
      </c>
      <c r="BJ152" s="59">
        <f t="shared" si="146"/>
        <v>366.8380442809696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projet'!$B$11,Paramètres!$A$1:$I$88,7,0))</f>
        <v>0</v>
      </c>
      <c r="BN152" s="16">
        <f>IF(ISNA(VLOOKUP(A152,'Données projet'!$A$87:$I$107,6,0)),0%,VLOOKUP(A152,'Données projet'!$A$87:$I$107,6,0)*VLOOKUP('Données projet'!$B$11,Paramètres!$A$1:$I$88,7,0))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projet'!$B$11,Paramètres!$A$1:$I$88,3,0)*0.475*44/12</f>
        <v>0</v>
      </c>
      <c r="BQ152" s="21">
        <f>EXP(-LN(2)/25)*BQ151+(1-EXP(-LN(2)/25))/(LN(2)/25)*Calculateur!BL152*Calculateur!BN152*VLOOKUP('Données projet'!$B$11,Paramètres!$A$1:$I$88,3,0)*0.475*44/12</f>
        <v>0.83960447241219271</v>
      </c>
      <c r="BR152" s="21">
        <f>EXP(-LN(2)/2)*BR151+(1-EXP(-LN(2)/2))/(LN(2)/2)*BL152*BO152*VLOOKUP('Données projet'!$B$11,Paramètres!$A$1:$I$88,3,0)*0.475*44/12</f>
        <v>4.5004562141246709E-17</v>
      </c>
      <c r="BS152" s="22">
        <f t="shared" si="117"/>
        <v>0.83960447241219271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projet'!$B$12,Paramètres!$A$1:$I$88,3,0)*VLOOKUP('Données projet'!$B$12,Paramètres!$A$1:$I$88,5,0)</f>
        <v>3.7243808037601412E-14</v>
      </c>
      <c r="CA152" s="13">
        <f t="shared" si="147"/>
        <v>6.2767589361185393E-13</v>
      </c>
      <c r="CB152" s="20">
        <f t="shared" si="118"/>
        <v>1.1580684803728015E-12</v>
      </c>
      <c r="CC152" s="59">
        <f t="shared" si="119"/>
        <v>293.33333333333445</v>
      </c>
      <c r="CD152" s="59">
        <f ca="1">AVERAGE(OFFSET($CC$3,0,0,'Données projet'!$E$12+1,1))-AVERAGE(OFFSET($H$3,0,0,'Données projet'!$E$12+1,1))</f>
        <v>180.90147430936133</v>
      </c>
      <c r="CE152" s="59">
        <f t="shared" si="148"/>
        <v>226.87949199830018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projet'!$B$12,Paramètres!$A$1:$I$88,7,0))</f>
        <v>0</v>
      </c>
      <c r="CI152" s="16">
        <f>IF(ISNA(VLOOKUP(A152,'Données projet'!$A$113:$I$133,6,0)),0%,VLOOKUP(A152,'Données projet'!$A$113:$I$133,6,0)*VLOOKUP('Données projet'!$B$12,Paramètres!$A$1:$I$88,7,0))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projet'!$B$12,Paramètres!$A$1:$I$88,3,0)*0.475*44/12</f>
        <v>0</v>
      </c>
      <c r="CL152" s="21">
        <f>EXP(-LN(2)/25)*CL151+(1-EXP(-LN(2)/25))/(LN(2)/25)*Calculateur!CG152*Calculateur!CI152*VLOOKUP('Données projet'!$B$12,Paramètres!$A$1:$I$88,3,0)*0.475*44/12</f>
        <v>0.2535640985125141</v>
      </c>
      <c r="CM152" s="21">
        <f>EXP(-LN(2)/2)*CM151+(1-EXP(-LN(2)/2))/(LN(2)/2)*CG152*CJ152*VLOOKUP('Données projet'!$B$12,Paramètres!$A$1:$I$88,3,0)*0.475*44/12</f>
        <v>1.0871001078875083E-17</v>
      </c>
      <c r="CN152" s="22">
        <f t="shared" si="120"/>
        <v>0.2535640985125141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5.6843418860808015E-14</v>
      </c>
      <c r="CU152" s="17">
        <f>CT152*VLOOKUP('Données projet'!$B$13,Paramètres!$A$1:$I$88,3,0)*VLOOKUP('Données projet'!$B$13,Paramètres!$A$1:$I$88,5,0)</f>
        <v>2.8908289095852525E-14</v>
      </c>
      <c r="CV152" s="13">
        <f t="shared" si="149"/>
        <v>5.0177780569126974E-13</v>
      </c>
      <c r="CW152" s="20">
        <f t="shared" si="121"/>
        <v>9.2427828175423786E-13</v>
      </c>
      <c r="CX152" s="59">
        <f t="shared" si="122"/>
        <v>293.33333333333422</v>
      </c>
      <c r="CY152" s="59">
        <f ca="1">AVERAGE(OFFSET($CX$3,0,0,'Données projet'!$E$13+1,1))-AVERAGE(OFFSET($H$3,0,0,'Données projet'!$E$13+1,1))</f>
        <v>133.08385802816008</v>
      </c>
      <c r="CZ152" s="59">
        <f t="shared" si="150"/>
        <v>316.59112511251385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projet'!$B$13,Paramètres!$A$1:$I$88,7,0))</f>
        <v>0</v>
      </c>
      <c r="DD152" s="16">
        <f>IF(ISNA(VLOOKUP(A152,'Données projet'!$A$139:$I$159,6,0)),0%,VLOOKUP(A152,'Données projet'!$A$139:$I$159,6,0)*VLOOKUP('Données projet'!$B$13,Paramètres!$A$1:$I$88,7,0))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projet'!$B$13,Paramètres!$A$1:$I$88,3,0)*0.475*44/12</f>
        <v>6.8402428378953148</v>
      </c>
      <c r="DG152" s="21">
        <f>EXP(-LN(2)/25)*DG151+(1-EXP(-LN(2)/25))/(LN(2)/25)*Calculateur!DB152*Calculateur!DD152*VLOOKUP('Données projet'!$B$13,Paramètres!$A$1:$I$88,3,0)*0.475*44/12</f>
        <v>0</v>
      </c>
      <c r="DH152" s="21">
        <f>EXP(-LN(2)/2)*DH151+(1-EXP(-LN(2)/2))/(LN(2)/2)*DB152*DE152*VLOOKUP('Données projet'!$B$13,Paramètres!$A$1:$I$88,3,0)*0.475*44/12</f>
        <v>6.9358879705426194E-18</v>
      </c>
      <c r="DI152" s="22">
        <f t="shared" si="123"/>
        <v>6.8402428378953148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projet'!$B$14,Paramètres!$A$1:$I$88,3,0)*VLOOKUP('Données projet'!$B$14,Paramètres!$A$1:$I$88,5,0)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projet'!$B$14,Paramètres!$A$1:$I$88,7,0))</f>
        <v>0</v>
      </c>
      <c r="DY152" s="16">
        <f>IF(ISNA(VLOOKUP(A152,'Données projet'!$A$165:$I$185,6,0)),0%,VLOOKUP(A152,'Données projet'!$A$165:$I$185,6,0)*VLOOKUP('Données projet'!$B$14,Paramètres!$A$1:$I$88,7,0))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projet'!$B$14,Paramètres!$A$1:$I$88,3,0)*0.475*44/12</f>
        <v>#N/A</v>
      </c>
      <c r="EB152" s="21" t="e">
        <f>EXP(-LN(2)/25)*EB151+(1-EXP(-LN(2)/25))/(LN(2)/25)*Calculateur!DW152*Calculateur!DY152*VLOOKUP('Données projet'!$B$14,Paramètres!$A$1:$I$88,3,0)*0.475*44/12</f>
        <v>#N/A</v>
      </c>
      <c r="EC152" s="21" t="e">
        <f>EXP(-LN(2)/2)*EC151+(1-EXP(-LN(2)/2))/(LN(2)/2)*DW152*DZ152*VLOOKUP('Données projet'!$B$14,Paramètres!$A$1:$I$88,3,0)*0.475*44/12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projet'!$B$15,Paramètres!$A$1:$I$88,3,0)*VLOOKUP('Données projet'!$B$15,Paramètres!$A$1:$I$88,5,0)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projet'!$B$15,Paramètres!$A$1:$I$88,7,0))</f>
        <v>0</v>
      </c>
      <c r="ET152" s="16">
        <f>IF(ISNA(VLOOKUP(A152,'Données projet'!$A$191:$I$211,6,0)),0%,VLOOKUP(A152,'Données projet'!$A$191:$I$211,6,0)*VLOOKUP('Données projet'!$B$15,Paramètres!$A$1:$I$88,7,0))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projet'!$B$15,Paramètres!$A$1:$I$88,3,0)*0.475*44/12</f>
        <v>#N/A</v>
      </c>
      <c r="EW152" s="21" t="e">
        <f>EXP(-LN(2)/25)*EW151+(1-EXP(-LN(2)/25))/(LN(2)/25)*Calculateur!ER152*Calculateur!ET152*VLOOKUP('Données projet'!$B$15,Paramètres!$A$1:$I$88,3,0)*0.475*44/12</f>
        <v>#N/A</v>
      </c>
      <c r="EX152" s="21" t="e">
        <f>EXP(-LN(2)/2)*EX151+(1-EXP(-LN(2)/2))/(LN(2)/2)*ER152*EU152*VLOOKUP('Données projet'!$B$15,Paramètres!$A$1:$I$88,3,0)*0.475*44/12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projet'!$B$16,Paramètres!$A$1:$I$88,3,0)*VLOOKUP('Données projet'!$B$16,Paramètres!$A$1:$I$88,5,0)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projet'!$B$16,Paramètres!$A$1:$I$88,7,0))</f>
        <v>0</v>
      </c>
      <c r="FO152" s="16">
        <f>IF(ISNA(VLOOKUP(A152,'Données projet'!$A$217:$I$237,6,0)),0%,VLOOKUP(A152,'Données projet'!$A$217:$I$237,6,0)*VLOOKUP('Données projet'!$B$16,Paramètres!$A$1:$I$88,7,0))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projet'!$B$16,Paramètres!$A$1:$I$88,3,0)*0.475*44/12</f>
        <v>#N/A</v>
      </c>
      <c r="FR152" s="21" t="e">
        <f>EXP(-LN(2)/25)*FR151+(1-EXP(-LN(2)/25))/(LN(2)/25)*Calculateur!FM152*Calculateur!FO152*VLOOKUP('Données projet'!$B$16,Paramètres!$A$1:$I$88,3,0)*0.475*44/12</f>
        <v>#N/A</v>
      </c>
      <c r="FS152" s="21" t="e">
        <f>EXP(-LN(2)/2)*FS151+(1-EXP(-LN(2)/2))/(LN(2)/2)*FM152*FP152*VLOOKUP('Données projet'!$B$16,Paramètres!$A$1:$I$88,3,0)*0.475*44/12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projet'!$B$17,Paramètres!$A$1:$I$88,3,0)*VLOOKUP('Données projet'!$B$17,Paramètres!$A$1:$I$88,5,0)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projet'!$B$17,Paramètres!$A$1:$I$88,7,0))</f>
        <v>0</v>
      </c>
      <c r="GJ152" s="16">
        <f>IF(ISNA(VLOOKUP(A152,'Données projet'!$A$243:$I$263,6,0)),0%,VLOOKUP(A152,'Données projet'!$A$243:$I$263,6,0)*VLOOKUP('Données projet'!$B$17,Paramètres!$A$1:$I$88,7,0))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projet'!$B$17,Paramètres!$A$1:$I$88,3,0)*0.475*44/12</f>
        <v>#N/A</v>
      </c>
      <c r="GM152" s="21" t="e">
        <f>EXP(-LN(2)/25)*GM151+(1-EXP(-LN(2)/25))/(LN(2)/25)*Calculateur!GH152*Calculateur!GJ152*VLOOKUP('Données projet'!$B$17,Paramètres!$A$1:$I$88,3,0)*0.475*44/12</f>
        <v>#N/A</v>
      </c>
      <c r="GN152" s="21" t="e">
        <f>EXP(-LN(2)/2)*GN151+(1-EXP(-LN(2)/2))/(LN(2)/2)*GH152*GK152*VLOOKUP('Données projet'!$B$17,Paramètres!$A$1:$I$88,3,0)*0.475*44/12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projet'!$B$18,Paramètres!$A$1:$I$88,3,0)*VLOOKUP('Données projet'!$B$18,Paramètres!$A$1:$I$88,5,0)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projet'!$B$18,Paramètres!$A$1:$I$88,7,0))</f>
        <v>0</v>
      </c>
      <c r="HE152" s="16">
        <f>IF(ISNA(VLOOKUP(A152,'Données projet'!$A$269:$I$289,6,0)),0%,VLOOKUP(A152,'Données projet'!$A$269:$I$289,6,0)*VLOOKUP('Données projet'!$B$18,Paramètres!$A$1:$I$88,7,0))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projet'!$B$18,Paramètres!$A$1:$I$88,3,0)*0.475*44/12</f>
        <v>#N/A</v>
      </c>
      <c r="HH152" s="21" t="e">
        <f>EXP(-LN(2)/25)*HH151+(1-EXP(-LN(2)/25))/(LN(2)/25)*Calculateur!HC152*Calculateur!HE152*VLOOKUP('Données projet'!$B$18,Paramètres!$A$1:$I$88,3,0)*0.475*44/12</f>
        <v>#N/A</v>
      </c>
      <c r="HI152" s="21" t="e">
        <f>EXP(-LN(2)/2)*HI151+(1-EXP(-LN(2)/2))/(LN(2)/2)*HC152*HF152*VLOOKUP('Données projet'!$B$18,Paramètres!$A$1:$I$88,3,0)*0.475*44/12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projet'!$B$9,Paramètres!$A$1:$I$88,3,0)*VLOOKUP('Données projet'!$B$9,Paramètres!$A$1:$I$88,5,0)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195.73441209602686</v>
      </c>
      <c r="T153" s="59">
        <f t="shared" si="142"/>
        <v>219.19129224309006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projet'!$B$9,Paramètres!$A$1:$I$88,7,0))</f>
        <v>0</v>
      </c>
      <c r="X153" s="16">
        <f>IF(ISNA(VLOOKUP(A153,'Données projet'!$A$35:$I$55,6,0)),0%,VLOOKUP(A153,'Données projet'!$A$35:$I$55,6,0)*VLOOKUP('Données projet'!$B$9,Paramètres!$A$1:$I$88,7,0))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projet'!$B$9,Paramètres!$A$1:$I$88,3,0)*0.475*44/12</f>
        <v>1.4165551392424192</v>
      </c>
      <c r="AA153" s="21">
        <f>EXP(-LN(2)/25)*AA152+(1-EXP(-LN(2)/25))/(LN(2)/25)*Calculateur!V153*Calculateur!X153*VLOOKUP('Données projet'!$B$9,Paramètres!$A$1:$I$88,3,0)*0.475*44/12</f>
        <v>0.50821462585542099</v>
      </c>
      <c r="AB153" s="21">
        <f>EXP(-LN(2)/2)*AB152+(1-EXP(-LN(2)/2))/(LN(2)/2)*V153*Y153*VLOOKUP('Données projet'!$B$9,Paramètres!$A$1:$I$88,3,0)*0.475*44/12</f>
        <v>3.4410285591018577E-20</v>
      </c>
      <c r="AC153" s="22">
        <f t="shared" si="111"/>
        <v>1.9247697650978401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-4.5474735088646412E-13</v>
      </c>
      <c r="AJ153" s="13">
        <f>AI153*VLOOKUP('Données projet'!$B$10,Paramètres!$A$1:$I$88,3,0)*VLOOKUP('Données projet'!$B$10,Paramètres!$A$1:$I$88,5,0)</f>
        <v>-2.7193891583010558E-13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246.59447135626942</v>
      </c>
      <c r="AO153" s="59">
        <f t="shared" si="144"/>
        <v>262.00382544285367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projet'!$B$10,Paramètres!$A$1:$I$88,7,0))</f>
        <v>0</v>
      </c>
      <c r="AS153" s="16">
        <f>IF(ISNA(VLOOKUP(A153,'Données projet'!$A$61:$I$81,6,0)),0%,VLOOKUP(A153,'Données projet'!$A$61:$I$81,6,0)*VLOOKUP('Données projet'!$B$10,Paramètres!$A$1:$I$88,7,0))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projet'!$B$10,Paramètres!$A$1:$I$88,3,0)*0.475*44/12</f>
        <v>0</v>
      </c>
      <c r="AV153" s="21">
        <f>EXP(-LN(2)/25)*AV152+(1-EXP(-LN(2)/25))/(LN(2)/25)*Calculateur!AQ153*Calculateur!AS153*VLOOKUP('Données projet'!$B$10,Paramètres!$A$1:$I$88,3,0)*0.475*44/12</f>
        <v>0.46124774702917937</v>
      </c>
      <c r="AW153" s="21">
        <f>EXP(-LN(2)/2)*AW152+(1-EXP(-LN(2)/2))/(LN(2)/2)*AQ153*AT153*VLOOKUP('Données projet'!$B$10,Paramètres!$A$1:$I$88,3,0)*0.475*44/12</f>
        <v>2.0581938821507907E-17</v>
      </c>
      <c r="AX153" s="21">
        <f t="shared" si="114"/>
        <v>0.46124774702917937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-5.6843418860808015E-13</v>
      </c>
      <c r="BE153" s="13">
        <f>BD153*VLOOKUP('Données projet'!$B$11,Paramètres!$A$1:$I$88,3,0)*VLOOKUP('Données projet'!$B$11,Paramètres!$A$1:$I$88,5,0)</f>
        <v>-3.177547114319168E-13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355.96253323046608</v>
      </c>
      <c r="BJ153" s="59">
        <f t="shared" si="146"/>
        <v>366.8380442809696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projet'!$B$11,Paramètres!$A$1:$I$88,7,0))</f>
        <v>0</v>
      </c>
      <c r="BN153" s="16">
        <f>IF(ISNA(VLOOKUP(A153,'Données projet'!$A$87:$I$107,6,0)),0%,VLOOKUP(A153,'Données projet'!$A$87:$I$107,6,0)*VLOOKUP('Données projet'!$B$11,Paramètres!$A$1:$I$88,7,0))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projet'!$B$11,Paramètres!$A$1:$I$88,3,0)*0.475*44/12</f>
        <v>0</v>
      </c>
      <c r="BQ153" s="21">
        <f>EXP(-LN(2)/25)*BQ152+(1-EXP(-LN(2)/25))/(LN(2)/25)*Calculateur!BL153*Calculateur!BN153*VLOOKUP('Données projet'!$B$11,Paramètres!$A$1:$I$88,3,0)*0.475*44/12</f>
        <v>0.81664544396120109</v>
      </c>
      <c r="BR153" s="21">
        <f>EXP(-LN(2)/2)*BR152+(1-EXP(-LN(2)/2))/(LN(2)/2)*BL153*BO153*VLOOKUP('Données projet'!$B$11,Paramètres!$A$1:$I$88,3,0)*0.475*44/12</f>
        <v>3.1823031074406916E-17</v>
      </c>
      <c r="BS153" s="22">
        <f t="shared" si="117"/>
        <v>0.81664544396120109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projet'!$B$12,Paramètres!$A$1:$I$88,3,0)*VLOOKUP('Données projet'!$B$12,Paramètres!$A$1:$I$88,5,0)</f>
        <v>3.7243808037601412E-14</v>
      </c>
      <c r="CA153" s="13">
        <f t="shared" si="147"/>
        <v>6.2767589361185393E-13</v>
      </c>
      <c r="CB153" s="20">
        <f t="shared" si="118"/>
        <v>1.1580684803728015E-12</v>
      </c>
      <c r="CC153" s="59">
        <f t="shared" si="119"/>
        <v>293.33333333333445</v>
      </c>
      <c r="CD153" s="59">
        <f ca="1">AVERAGE(OFFSET($CC$3,0,0,'Données projet'!$E$12+1,1))-AVERAGE(OFFSET($H$3,0,0,'Données projet'!$E$12+1,1))</f>
        <v>180.90147430936133</v>
      </c>
      <c r="CE153" s="59">
        <f t="shared" si="148"/>
        <v>226.87949199830018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projet'!$B$12,Paramètres!$A$1:$I$88,7,0))</f>
        <v>0</v>
      </c>
      <c r="CI153" s="16">
        <f>IF(ISNA(VLOOKUP(A153,'Données projet'!$A$113:$I$133,6,0)),0%,VLOOKUP(A153,'Données projet'!$A$113:$I$133,6,0)*VLOOKUP('Données projet'!$B$12,Paramètres!$A$1:$I$88,7,0))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projet'!$B$12,Paramètres!$A$1:$I$88,3,0)*0.475*44/12</f>
        <v>0</v>
      </c>
      <c r="CL153" s="21">
        <f>EXP(-LN(2)/25)*CL152+(1-EXP(-LN(2)/25))/(LN(2)/25)*Calculateur!CG153*Calculateur!CI153*VLOOKUP('Données projet'!$B$12,Paramètres!$A$1:$I$88,3,0)*0.475*44/12</f>
        <v>0.24663037490433298</v>
      </c>
      <c r="CM153" s="21">
        <f>EXP(-LN(2)/2)*CM152+(1-EXP(-LN(2)/2))/(LN(2)/2)*CG153*CJ153*VLOOKUP('Données projet'!$B$12,Paramètres!$A$1:$I$88,3,0)*0.475*44/12</f>
        <v>7.6869585811588452E-18</v>
      </c>
      <c r="CN153" s="22">
        <f t="shared" si="120"/>
        <v>0.24663037490433298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5.6843418860808015E-14</v>
      </c>
      <c r="CU153" s="17">
        <f>CT153*VLOOKUP('Données projet'!$B$13,Paramètres!$A$1:$I$88,3,0)*VLOOKUP('Données projet'!$B$13,Paramètres!$A$1:$I$88,5,0)</f>
        <v>2.8908289095852525E-14</v>
      </c>
      <c r="CV153" s="13">
        <f t="shared" si="149"/>
        <v>5.0177780569126974E-13</v>
      </c>
      <c r="CW153" s="20">
        <f t="shared" si="121"/>
        <v>9.2427828175423786E-13</v>
      </c>
      <c r="CX153" s="59">
        <f t="shared" si="122"/>
        <v>293.33333333333422</v>
      </c>
      <c r="CY153" s="59">
        <f ca="1">AVERAGE(OFFSET($CX$3,0,0,'Données projet'!$E$13+1,1))-AVERAGE(OFFSET($H$3,0,0,'Données projet'!$E$13+1,1))</f>
        <v>133.08385802816008</v>
      </c>
      <c r="CZ153" s="59">
        <f t="shared" si="150"/>
        <v>316.59112511251385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projet'!$B$13,Paramètres!$A$1:$I$88,7,0))</f>
        <v>0</v>
      </c>
      <c r="DD153" s="16">
        <f>IF(ISNA(VLOOKUP(A153,'Données projet'!$A$139:$I$159,6,0)),0%,VLOOKUP(A153,'Données projet'!$A$139:$I$159,6,0)*VLOOKUP('Données projet'!$B$13,Paramètres!$A$1:$I$88,7,0))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projet'!$B$13,Paramètres!$A$1:$I$88,3,0)*0.475*44/12</f>
        <v>6.7061098479803549</v>
      </c>
      <c r="DG153" s="21">
        <f>EXP(-LN(2)/25)*DG152+(1-EXP(-LN(2)/25))/(LN(2)/25)*Calculateur!DB153*Calculateur!DD153*VLOOKUP('Données projet'!$B$13,Paramètres!$A$1:$I$88,3,0)*0.475*44/12</f>
        <v>0</v>
      </c>
      <c r="DH153" s="21">
        <f>EXP(-LN(2)/2)*DH152+(1-EXP(-LN(2)/2))/(LN(2)/2)*DB153*DE153*VLOOKUP('Données projet'!$B$13,Paramètres!$A$1:$I$88,3,0)*0.475*44/12</f>
        <v>4.9044134175208879E-18</v>
      </c>
      <c r="DI153" s="22">
        <f t="shared" si="123"/>
        <v>6.7061098479803549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projet'!$B$14,Paramètres!$A$1:$I$88,3,0)*VLOOKUP('Données projet'!$B$14,Paramètres!$A$1:$I$88,5,0)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projet'!$B$14,Paramètres!$A$1:$I$88,7,0))</f>
        <v>0</v>
      </c>
      <c r="DY153" s="16">
        <f>IF(ISNA(VLOOKUP(A153,'Données projet'!$A$165:$I$185,6,0)),0%,VLOOKUP(A153,'Données projet'!$A$165:$I$185,6,0)*VLOOKUP('Données projet'!$B$14,Paramètres!$A$1:$I$88,7,0))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projet'!$B$14,Paramètres!$A$1:$I$88,3,0)*0.475*44/12</f>
        <v>#N/A</v>
      </c>
      <c r="EB153" s="21" t="e">
        <f>EXP(-LN(2)/25)*EB152+(1-EXP(-LN(2)/25))/(LN(2)/25)*Calculateur!DW153*Calculateur!DY153*VLOOKUP('Données projet'!$B$14,Paramètres!$A$1:$I$88,3,0)*0.475*44/12</f>
        <v>#N/A</v>
      </c>
      <c r="EC153" s="21" t="e">
        <f>EXP(-LN(2)/2)*EC152+(1-EXP(-LN(2)/2))/(LN(2)/2)*DW153*DZ153*VLOOKUP('Données projet'!$B$14,Paramètres!$A$1:$I$88,3,0)*0.475*44/12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projet'!$B$15,Paramètres!$A$1:$I$88,3,0)*VLOOKUP('Données projet'!$B$15,Paramètres!$A$1:$I$88,5,0)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projet'!$B$15,Paramètres!$A$1:$I$88,7,0))</f>
        <v>0</v>
      </c>
      <c r="ET153" s="16">
        <f>IF(ISNA(VLOOKUP(A153,'Données projet'!$A$191:$I$211,6,0)),0%,VLOOKUP(A153,'Données projet'!$A$191:$I$211,6,0)*VLOOKUP('Données projet'!$B$15,Paramètres!$A$1:$I$88,7,0))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projet'!$B$15,Paramètres!$A$1:$I$88,3,0)*0.475*44/12</f>
        <v>#N/A</v>
      </c>
      <c r="EW153" s="21" t="e">
        <f>EXP(-LN(2)/25)*EW152+(1-EXP(-LN(2)/25))/(LN(2)/25)*Calculateur!ER153*Calculateur!ET153*VLOOKUP('Données projet'!$B$15,Paramètres!$A$1:$I$88,3,0)*0.475*44/12</f>
        <v>#N/A</v>
      </c>
      <c r="EX153" s="21" t="e">
        <f>EXP(-LN(2)/2)*EX152+(1-EXP(-LN(2)/2))/(LN(2)/2)*ER153*EU153*VLOOKUP('Données projet'!$B$15,Paramètres!$A$1:$I$88,3,0)*0.475*44/12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projet'!$B$16,Paramètres!$A$1:$I$88,3,0)*VLOOKUP('Données projet'!$B$16,Paramètres!$A$1:$I$88,5,0)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projet'!$B$16,Paramètres!$A$1:$I$88,7,0))</f>
        <v>0</v>
      </c>
      <c r="FO153" s="16">
        <f>IF(ISNA(VLOOKUP(A153,'Données projet'!$A$217:$I$237,6,0)),0%,VLOOKUP(A153,'Données projet'!$A$217:$I$237,6,0)*VLOOKUP('Données projet'!$B$16,Paramètres!$A$1:$I$88,7,0))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projet'!$B$16,Paramètres!$A$1:$I$88,3,0)*0.475*44/12</f>
        <v>#N/A</v>
      </c>
      <c r="FR153" s="21" t="e">
        <f>EXP(-LN(2)/25)*FR152+(1-EXP(-LN(2)/25))/(LN(2)/25)*Calculateur!FM153*Calculateur!FO153*VLOOKUP('Données projet'!$B$16,Paramètres!$A$1:$I$88,3,0)*0.475*44/12</f>
        <v>#N/A</v>
      </c>
      <c r="FS153" s="21" t="e">
        <f>EXP(-LN(2)/2)*FS152+(1-EXP(-LN(2)/2))/(LN(2)/2)*FM153*FP153*VLOOKUP('Données projet'!$B$16,Paramètres!$A$1:$I$88,3,0)*0.475*44/12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projet'!$B$17,Paramètres!$A$1:$I$88,3,0)*VLOOKUP('Données projet'!$B$17,Paramètres!$A$1:$I$88,5,0)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projet'!$B$17,Paramètres!$A$1:$I$88,7,0))</f>
        <v>0</v>
      </c>
      <c r="GJ153" s="16">
        <f>IF(ISNA(VLOOKUP(A153,'Données projet'!$A$243:$I$263,6,0)),0%,VLOOKUP(A153,'Données projet'!$A$243:$I$263,6,0)*VLOOKUP('Données projet'!$B$17,Paramètres!$A$1:$I$88,7,0))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projet'!$B$17,Paramètres!$A$1:$I$88,3,0)*0.475*44/12</f>
        <v>#N/A</v>
      </c>
      <c r="GM153" s="21" t="e">
        <f>EXP(-LN(2)/25)*GM152+(1-EXP(-LN(2)/25))/(LN(2)/25)*Calculateur!GH153*Calculateur!GJ153*VLOOKUP('Données projet'!$B$17,Paramètres!$A$1:$I$88,3,0)*0.475*44/12</f>
        <v>#N/A</v>
      </c>
      <c r="GN153" s="21" t="e">
        <f>EXP(-LN(2)/2)*GN152+(1-EXP(-LN(2)/2))/(LN(2)/2)*GH153*GK153*VLOOKUP('Données projet'!$B$17,Paramètres!$A$1:$I$88,3,0)*0.475*44/12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projet'!$B$18,Paramètres!$A$1:$I$88,3,0)*VLOOKUP('Données projet'!$B$18,Paramètres!$A$1:$I$88,5,0)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projet'!$B$18,Paramètres!$A$1:$I$88,7,0))</f>
        <v>0</v>
      </c>
      <c r="HE153" s="16">
        <f>IF(ISNA(VLOOKUP(A153,'Données projet'!$A$269:$I$289,6,0)),0%,VLOOKUP(A153,'Données projet'!$A$269:$I$289,6,0)*VLOOKUP('Données projet'!$B$18,Paramètres!$A$1:$I$88,7,0))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projet'!$B$18,Paramètres!$A$1:$I$88,3,0)*0.475*44/12</f>
        <v>#N/A</v>
      </c>
      <c r="HH153" s="21" t="e">
        <f>EXP(-LN(2)/25)*HH152+(1-EXP(-LN(2)/25))/(LN(2)/25)*Calculateur!HC153*Calculateur!HE153*VLOOKUP('Données projet'!$B$18,Paramètres!$A$1:$I$88,3,0)*0.475*44/12</f>
        <v>#N/A</v>
      </c>
      <c r="HI153" s="21" t="e">
        <f>EXP(-LN(2)/2)*HI152+(1-EXP(-LN(2)/2))/(LN(2)/2)*HC153*HF153*VLOOKUP('Données projet'!$B$18,Paramètres!$A$1:$I$88,3,0)*0.475*44/12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projet'!$B$9,Paramètres!$A$1:$I$88,3,0)*VLOOKUP('Données projet'!$B$9,Paramètres!$A$1:$I$88,5,0)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195.73441209602686</v>
      </c>
      <c r="T154" s="59">
        <f t="shared" si="142"/>
        <v>219.19129224309006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projet'!$B$9,Paramètres!$A$1:$I$88,7,0))</f>
        <v>0</v>
      </c>
      <c r="X154" s="16">
        <f>IF(ISNA(VLOOKUP(A154,'Données projet'!$A$35:$I$55,6,0)),0%,VLOOKUP(A154,'Données projet'!$A$35:$I$55,6,0)*VLOOKUP('Données projet'!$B$9,Paramètres!$A$1:$I$88,7,0))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projet'!$B$9,Paramètres!$A$1:$I$88,3,0)*0.475*44/12</f>
        <v>1.388777356975196</v>
      </c>
      <c r="AA154" s="21">
        <f>EXP(-LN(2)/25)*AA153+(1-EXP(-LN(2)/25))/(LN(2)/25)*Calculateur!V154*Calculateur!X154*VLOOKUP('Données projet'!$B$9,Paramètres!$A$1:$I$88,3,0)*0.475*44/12</f>
        <v>0.49431747018555888</v>
      </c>
      <c r="AB154" s="21">
        <f>EXP(-LN(2)/2)*AB153+(1-EXP(-LN(2)/2))/(LN(2)/2)*V154*Y154*VLOOKUP('Données projet'!$B$9,Paramètres!$A$1:$I$88,3,0)*0.475*44/12</f>
        <v>2.4331746283974982E-20</v>
      </c>
      <c r="AC154" s="22">
        <f t="shared" ref="AC154:AC203" si="163">SUM(Z154:AB154)</f>
        <v>1.8830948271607548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-4.5474735088646412E-13</v>
      </c>
      <c r="AJ154" s="13">
        <f>AI154*VLOOKUP('Données projet'!$B$10,Paramètres!$A$1:$I$88,3,0)*VLOOKUP('Données projet'!$B$10,Paramètres!$A$1:$I$88,5,0)</f>
        <v>-2.7193891583010558E-13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246.59447135626942</v>
      </c>
      <c r="AO154" s="59">
        <f t="shared" si="144"/>
        <v>262.00382544285367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projet'!$B$10,Paramètres!$A$1:$I$88,7,0))</f>
        <v>0</v>
      </c>
      <c r="AS154" s="16">
        <f>IF(ISNA(VLOOKUP(A154,'Données projet'!$A$61:$I$81,6,0)),0%,VLOOKUP(A154,'Données projet'!$A$61:$I$81,6,0)*VLOOKUP('Données projet'!$B$10,Paramètres!$A$1:$I$88,7,0))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projet'!$B$10,Paramètres!$A$1:$I$88,3,0)*0.475*44/12</f>
        <v>0</v>
      </c>
      <c r="AV154" s="21">
        <f>EXP(-LN(2)/25)*AV153+(1-EXP(-LN(2)/25))/(LN(2)/25)*Calculateur!AQ154*Calculateur!AS154*VLOOKUP('Données projet'!$B$10,Paramètres!$A$1:$I$88,3,0)*0.475*44/12</f>
        <v>0.44863490313070165</v>
      </c>
      <c r="AW154" s="21">
        <f>EXP(-LN(2)/2)*AW153+(1-EXP(-LN(2)/2))/(LN(2)/2)*AQ154*AT154*VLOOKUP('Données projet'!$B$10,Paramètres!$A$1:$I$88,3,0)*0.475*44/12</f>
        <v>1.4553628510654899E-17</v>
      </c>
      <c r="AX154" s="21">
        <f t="shared" ref="AX154:AX203" si="166">SUM(AU154:AW154)</f>
        <v>0.44863490313070165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-5.6843418860808015E-13</v>
      </c>
      <c r="BE154" s="13">
        <f>BD154*VLOOKUP('Données projet'!$B$11,Paramètres!$A$1:$I$88,3,0)*VLOOKUP('Données projet'!$B$11,Paramètres!$A$1:$I$88,5,0)</f>
        <v>-3.177547114319168E-13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355.96253323046608</v>
      </c>
      <c r="BJ154" s="59">
        <f t="shared" si="146"/>
        <v>366.8380442809696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projet'!$B$11,Paramètres!$A$1:$I$88,7,0))</f>
        <v>0</v>
      </c>
      <c r="BN154" s="16">
        <f>IF(ISNA(VLOOKUP(A154,'Données projet'!$A$87:$I$107,6,0)),0%,VLOOKUP(A154,'Données projet'!$A$87:$I$107,6,0)*VLOOKUP('Données projet'!$B$11,Paramètres!$A$1:$I$88,7,0))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projet'!$B$11,Paramètres!$A$1:$I$88,3,0)*0.475*44/12</f>
        <v>0</v>
      </c>
      <c r="BQ154" s="21">
        <f>EXP(-LN(2)/25)*BQ153+(1-EXP(-LN(2)/25))/(LN(2)/25)*Calculateur!BL154*Calculateur!BN154*VLOOKUP('Données projet'!$B$11,Paramètres!$A$1:$I$88,3,0)*0.475*44/12</f>
        <v>0.79431423135056467</v>
      </c>
      <c r="BR154" s="21">
        <f>EXP(-LN(2)/2)*BR153+(1-EXP(-LN(2)/2))/(LN(2)/2)*BL154*BO154*VLOOKUP('Données projet'!$B$11,Paramètres!$A$1:$I$88,3,0)*0.475*44/12</f>
        <v>2.2502281070623354E-17</v>
      </c>
      <c r="BS154" s="22">
        <f t="shared" ref="BS154:BS203" si="169">SUM(BP154:BR154)</f>
        <v>0.79431423135056467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projet'!$B$12,Paramètres!$A$1:$I$88,3,0)*VLOOKUP('Données projet'!$B$12,Paramètres!$A$1:$I$88,5,0)</f>
        <v>3.7243808037601412E-14</v>
      </c>
      <c r="CA154" s="13">
        <f t="shared" ref="CA154:CA203" si="170">EXP(-1.0587+0.8836*LN(BZ154)+0.284)</f>
        <v>6.2767589361185393E-13</v>
      </c>
      <c r="CB154" s="20">
        <f t="shared" ref="CB154:CB203" si="171">(BZ154+CA154)*0.475*44/12</f>
        <v>1.1580684803728015E-12</v>
      </c>
      <c r="CC154" s="59">
        <f t="shared" si="119"/>
        <v>293.33333333333445</v>
      </c>
      <c r="CD154" s="59">
        <f ca="1">AVERAGE(OFFSET($CC$3,0,0,'Données projet'!$E$12+1,1))-AVERAGE(OFFSET($H$3,0,0,'Données projet'!$E$12+1,1))</f>
        <v>180.90147430936133</v>
      </c>
      <c r="CE154" s="59">
        <f t="shared" si="148"/>
        <v>226.87949199830018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projet'!$B$12,Paramètres!$A$1:$I$88,7,0))</f>
        <v>0</v>
      </c>
      <c r="CI154" s="16">
        <f>IF(ISNA(VLOOKUP(A154,'Données projet'!$A$113:$I$133,6,0)),0%,VLOOKUP(A154,'Données projet'!$A$113:$I$133,6,0)*VLOOKUP('Données projet'!$B$12,Paramètres!$A$1:$I$88,7,0))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projet'!$B$12,Paramètres!$A$1:$I$88,3,0)*0.475*44/12</f>
        <v>0</v>
      </c>
      <c r="CL154" s="21">
        <f>EXP(-LN(2)/25)*CL153+(1-EXP(-LN(2)/25))/(LN(2)/25)*Calculateur!CG154*Calculateur!CI154*VLOOKUP('Données projet'!$B$12,Paramètres!$A$1:$I$88,3,0)*0.475*44/12</f>
        <v>0.23988625433284627</v>
      </c>
      <c r="CM154" s="21">
        <f>EXP(-LN(2)/2)*CM153+(1-EXP(-LN(2)/2))/(LN(2)/2)*CG154*CJ154*VLOOKUP('Données projet'!$B$12,Paramètres!$A$1:$I$88,3,0)*0.475*44/12</f>
        <v>5.4355005394375416E-18</v>
      </c>
      <c r="CN154" s="22">
        <f t="shared" ref="CN154:CN203" si="172">SUM(CK154:CM154)</f>
        <v>0.23988625433284627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5.6843418860808015E-14</v>
      </c>
      <c r="CU154" s="17">
        <f>CT154*VLOOKUP('Données projet'!$B$13,Paramètres!$A$1:$I$88,3,0)*VLOOKUP('Données projet'!$B$13,Paramètres!$A$1:$I$88,5,0)</f>
        <v>2.8908289095852525E-14</v>
      </c>
      <c r="CV154" s="13">
        <f t="shared" ref="CV154:CV203" si="173">EXP(-1.0587+0.8836*LN(CU154)+0.284)</f>
        <v>5.0177780569126974E-13</v>
      </c>
      <c r="CW154" s="20">
        <f t="shared" ref="CW154:CW203" si="174">(CU154+CV154)*0.475*44/12</f>
        <v>9.2427828175423786E-13</v>
      </c>
      <c r="CX154" s="59">
        <f t="shared" si="122"/>
        <v>293.33333333333422</v>
      </c>
      <c r="CY154" s="59">
        <f ca="1">AVERAGE(OFFSET($CX$3,0,0,'Données projet'!$E$13+1,1))-AVERAGE(OFFSET($H$3,0,0,'Données projet'!$E$13+1,1))</f>
        <v>133.08385802816008</v>
      </c>
      <c r="CZ154" s="59">
        <f t="shared" si="150"/>
        <v>316.59112511251385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projet'!$B$13,Paramètres!$A$1:$I$88,7,0))</f>
        <v>0</v>
      </c>
      <c r="DD154" s="16">
        <f>IF(ISNA(VLOOKUP(A154,'Données projet'!$A$139:$I$159,6,0)),0%,VLOOKUP(A154,'Données projet'!$A$139:$I$159,6,0)*VLOOKUP('Données projet'!$B$13,Paramètres!$A$1:$I$88,7,0))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projet'!$B$13,Paramètres!$A$1:$I$88,3,0)*0.475*44/12</f>
        <v>6.5746071241845812</v>
      </c>
      <c r="DG154" s="21">
        <f>EXP(-LN(2)/25)*DG153+(1-EXP(-LN(2)/25))/(LN(2)/25)*Calculateur!DB154*Calculateur!DD154*VLOOKUP('Données projet'!$B$13,Paramètres!$A$1:$I$88,3,0)*0.475*44/12</f>
        <v>0</v>
      </c>
      <c r="DH154" s="21">
        <f>EXP(-LN(2)/2)*DH153+(1-EXP(-LN(2)/2))/(LN(2)/2)*DB154*DE154*VLOOKUP('Données projet'!$B$13,Paramètres!$A$1:$I$88,3,0)*0.475*44/12</f>
        <v>3.4679439852713105E-18</v>
      </c>
      <c r="DI154" s="22">
        <f t="shared" ref="DI154:DI203" si="175">SUM(DF154:DH154)</f>
        <v>6.5746071241845812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projet'!$B$14,Paramètres!$A$1:$I$88,3,0)*VLOOKUP('Données projet'!$B$14,Paramètres!$A$1:$I$88,5,0)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projet'!$B$14,Paramètres!$A$1:$I$88,7,0))</f>
        <v>0</v>
      </c>
      <c r="DY154" s="16">
        <f>IF(ISNA(VLOOKUP(A154,'Données projet'!$A$165:$I$185,6,0)),0%,VLOOKUP(A154,'Données projet'!$A$165:$I$185,6,0)*VLOOKUP('Données projet'!$B$14,Paramètres!$A$1:$I$88,7,0))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projet'!$B$14,Paramètres!$A$1:$I$88,3,0)*0.475*44/12</f>
        <v>#N/A</v>
      </c>
      <c r="EB154" s="21" t="e">
        <f>EXP(-LN(2)/25)*EB153+(1-EXP(-LN(2)/25))/(LN(2)/25)*Calculateur!DW154*Calculateur!DY154*VLOOKUP('Données projet'!$B$14,Paramètres!$A$1:$I$88,3,0)*0.475*44/12</f>
        <v>#N/A</v>
      </c>
      <c r="EC154" s="21" t="e">
        <f>EXP(-LN(2)/2)*EC153+(1-EXP(-LN(2)/2))/(LN(2)/2)*DW154*DZ154*VLOOKUP('Données projet'!$B$14,Paramètres!$A$1:$I$88,3,0)*0.475*44/12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projet'!$B$15,Paramètres!$A$1:$I$88,3,0)*VLOOKUP('Données projet'!$B$15,Paramètres!$A$1:$I$88,5,0)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projet'!$B$15,Paramètres!$A$1:$I$88,7,0))</f>
        <v>0</v>
      </c>
      <c r="ET154" s="16">
        <f>IF(ISNA(VLOOKUP(A154,'Données projet'!$A$191:$I$211,6,0)),0%,VLOOKUP(A154,'Données projet'!$A$191:$I$211,6,0)*VLOOKUP('Données projet'!$B$15,Paramètres!$A$1:$I$88,7,0))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projet'!$B$15,Paramètres!$A$1:$I$88,3,0)*0.475*44/12</f>
        <v>#N/A</v>
      </c>
      <c r="EW154" s="21" t="e">
        <f>EXP(-LN(2)/25)*EW153+(1-EXP(-LN(2)/25))/(LN(2)/25)*Calculateur!ER154*Calculateur!ET154*VLOOKUP('Données projet'!$B$15,Paramètres!$A$1:$I$88,3,0)*0.475*44/12</f>
        <v>#N/A</v>
      </c>
      <c r="EX154" s="21" t="e">
        <f>EXP(-LN(2)/2)*EX153+(1-EXP(-LN(2)/2))/(LN(2)/2)*ER154*EU154*VLOOKUP('Données projet'!$B$15,Paramètres!$A$1:$I$88,3,0)*0.475*44/12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projet'!$B$16,Paramètres!$A$1:$I$88,3,0)*VLOOKUP('Données projet'!$B$16,Paramètres!$A$1:$I$88,5,0)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projet'!$B$16,Paramètres!$A$1:$I$88,7,0))</f>
        <v>0</v>
      </c>
      <c r="FO154" s="16">
        <f>IF(ISNA(VLOOKUP(A154,'Données projet'!$A$217:$I$237,6,0)),0%,VLOOKUP(A154,'Données projet'!$A$217:$I$237,6,0)*VLOOKUP('Données projet'!$B$16,Paramètres!$A$1:$I$88,7,0))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projet'!$B$16,Paramètres!$A$1:$I$88,3,0)*0.475*44/12</f>
        <v>#N/A</v>
      </c>
      <c r="FR154" s="21" t="e">
        <f>EXP(-LN(2)/25)*FR153+(1-EXP(-LN(2)/25))/(LN(2)/25)*Calculateur!FM154*Calculateur!FO154*VLOOKUP('Données projet'!$B$16,Paramètres!$A$1:$I$88,3,0)*0.475*44/12</f>
        <v>#N/A</v>
      </c>
      <c r="FS154" s="21" t="e">
        <f>EXP(-LN(2)/2)*FS153+(1-EXP(-LN(2)/2))/(LN(2)/2)*FM154*FP154*VLOOKUP('Données projet'!$B$16,Paramètres!$A$1:$I$88,3,0)*0.475*44/12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projet'!$B$17,Paramètres!$A$1:$I$88,3,0)*VLOOKUP('Données projet'!$B$17,Paramètres!$A$1:$I$88,5,0)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projet'!$B$17,Paramètres!$A$1:$I$88,7,0))</f>
        <v>0</v>
      </c>
      <c r="GJ154" s="16">
        <f>IF(ISNA(VLOOKUP(A154,'Données projet'!$A$243:$I$263,6,0)),0%,VLOOKUP(A154,'Données projet'!$A$243:$I$263,6,0)*VLOOKUP('Données projet'!$B$17,Paramètres!$A$1:$I$88,7,0))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projet'!$B$17,Paramètres!$A$1:$I$88,3,0)*0.475*44/12</f>
        <v>#N/A</v>
      </c>
      <c r="GM154" s="21" t="e">
        <f>EXP(-LN(2)/25)*GM153+(1-EXP(-LN(2)/25))/(LN(2)/25)*Calculateur!GH154*Calculateur!GJ154*VLOOKUP('Données projet'!$B$17,Paramètres!$A$1:$I$88,3,0)*0.475*44/12</f>
        <v>#N/A</v>
      </c>
      <c r="GN154" s="21" t="e">
        <f>EXP(-LN(2)/2)*GN153+(1-EXP(-LN(2)/2))/(LN(2)/2)*GH154*GK154*VLOOKUP('Données projet'!$B$17,Paramètres!$A$1:$I$88,3,0)*0.475*44/12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projet'!$B$18,Paramètres!$A$1:$I$88,3,0)*VLOOKUP('Données projet'!$B$18,Paramètres!$A$1:$I$88,5,0)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projet'!$B$18,Paramètres!$A$1:$I$88,7,0))</f>
        <v>0</v>
      </c>
      <c r="HE154" s="16">
        <f>IF(ISNA(VLOOKUP(A154,'Données projet'!$A$269:$I$289,6,0)),0%,VLOOKUP(A154,'Données projet'!$A$269:$I$289,6,0)*VLOOKUP('Données projet'!$B$18,Paramètres!$A$1:$I$88,7,0))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projet'!$B$18,Paramètres!$A$1:$I$88,3,0)*0.475*44/12</f>
        <v>#N/A</v>
      </c>
      <c r="HH154" s="21" t="e">
        <f>EXP(-LN(2)/25)*HH153+(1-EXP(-LN(2)/25))/(LN(2)/25)*Calculateur!HC154*Calculateur!HE154*VLOOKUP('Données projet'!$B$18,Paramètres!$A$1:$I$88,3,0)*0.475*44/12</f>
        <v>#N/A</v>
      </c>
      <c r="HI154" s="21" t="e">
        <f>EXP(-LN(2)/2)*HI153+(1-EXP(-LN(2)/2))/(LN(2)/2)*HC154*HF154*VLOOKUP('Données projet'!$B$18,Paramètres!$A$1:$I$88,3,0)*0.475*44/12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projet'!$B$9,Paramètres!$A$1:$I$88,3,0)*VLOOKUP('Données projet'!$B$9,Paramètres!$A$1:$I$88,5,0)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195.73441209602686</v>
      </c>
      <c r="T155" s="59">
        <f t="shared" si="142"/>
        <v>219.19129224309006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projet'!$B$9,Paramètres!$A$1:$I$88,7,0))</f>
        <v>0</v>
      </c>
      <c r="X155" s="16">
        <f>IF(ISNA(VLOOKUP(A155,'Données projet'!$A$35:$I$55,6,0)),0%,VLOOKUP(A155,'Données projet'!$A$35:$I$55,6,0)*VLOOKUP('Données projet'!$B$9,Paramètres!$A$1:$I$88,7,0))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projet'!$B$9,Paramètres!$A$1:$I$88,3,0)*0.475*44/12</f>
        <v>1.3615442800754589</v>
      </c>
      <c r="AA155" s="21">
        <f>EXP(-LN(2)/25)*AA154+(1-EXP(-LN(2)/25))/(LN(2)/25)*Calculateur!V155*Calculateur!X155*VLOOKUP('Données projet'!$B$9,Paramètres!$A$1:$I$88,3,0)*0.475*44/12</f>
        <v>0.48080033296830882</v>
      </c>
      <c r="AB155" s="21">
        <f>EXP(-LN(2)/2)*AB154+(1-EXP(-LN(2)/2))/(LN(2)/2)*V155*Y155*VLOOKUP('Données projet'!$B$9,Paramètres!$A$1:$I$88,3,0)*0.475*44/12</f>
        <v>1.7205142795509288E-20</v>
      </c>
      <c r="AC155" s="22">
        <f t="shared" si="163"/>
        <v>1.8423446130437677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-4.5474735088646412E-13</v>
      </c>
      <c r="AJ155" s="13">
        <f>AI155*VLOOKUP('Données projet'!$B$10,Paramètres!$A$1:$I$88,3,0)*VLOOKUP('Données projet'!$B$10,Paramètres!$A$1:$I$88,5,0)</f>
        <v>-2.7193891583010558E-13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246.59447135626942</v>
      </c>
      <c r="AO155" s="59">
        <f t="shared" si="144"/>
        <v>262.00382544285367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projet'!$B$10,Paramètres!$A$1:$I$88,7,0))</f>
        <v>0</v>
      </c>
      <c r="AS155" s="16">
        <f>IF(ISNA(VLOOKUP(A155,'Données projet'!$A$61:$I$81,6,0)),0%,VLOOKUP(A155,'Données projet'!$A$61:$I$81,6,0)*VLOOKUP('Données projet'!$B$10,Paramètres!$A$1:$I$88,7,0))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projet'!$B$10,Paramètres!$A$1:$I$88,3,0)*0.475*44/12</f>
        <v>0</v>
      </c>
      <c r="AV155" s="21">
        <f>EXP(-LN(2)/25)*AV154+(1-EXP(-LN(2)/25))/(LN(2)/25)*Calculateur!AQ155*Calculateur!AS155*VLOOKUP('Données projet'!$B$10,Paramètres!$A$1:$I$88,3,0)*0.475*44/12</f>
        <v>0.4363669581119084</v>
      </c>
      <c r="AW155" s="21">
        <f>EXP(-LN(2)/2)*AW154+(1-EXP(-LN(2)/2))/(LN(2)/2)*AQ155*AT155*VLOOKUP('Données projet'!$B$10,Paramètres!$A$1:$I$88,3,0)*0.475*44/12</f>
        <v>1.0290969410753954E-17</v>
      </c>
      <c r="AX155" s="21">
        <f t="shared" si="166"/>
        <v>0.4363669581119084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-5.6843418860808015E-13</v>
      </c>
      <c r="BE155" s="13">
        <f>BD155*VLOOKUP('Données projet'!$B$11,Paramètres!$A$1:$I$88,3,0)*VLOOKUP('Données projet'!$B$11,Paramètres!$A$1:$I$88,5,0)</f>
        <v>-3.177547114319168E-13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355.96253323046608</v>
      </c>
      <c r="BJ155" s="59">
        <f t="shared" si="146"/>
        <v>366.8380442809696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projet'!$B$11,Paramètres!$A$1:$I$88,7,0))</f>
        <v>0</v>
      </c>
      <c r="BN155" s="16">
        <f>IF(ISNA(VLOOKUP(A155,'Données projet'!$A$87:$I$107,6,0)),0%,VLOOKUP(A155,'Données projet'!$A$87:$I$107,6,0)*VLOOKUP('Données projet'!$B$11,Paramètres!$A$1:$I$88,7,0))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projet'!$B$11,Paramètres!$A$1:$I$88,3,0)*0.475*44/12</f>
        <v>0</v>
      </c>
      <c r="BQ155" s="21">
        <f>EXP(-LN(2)/25)*BQ154+(1-EXP(-LN(2)/25))/(LN(2)/25)*Calculateur!BL155*Calculateur!BN155*VLOOKUP('Données projet'!$B$11,Paramètres!$A$1:$I$88,3,0)*0.475*44/12</f>
        <v>0.77259366692311349</v>
      </c>
      <c r="BR155" s="21">
        <f>EXP(-LN(2)/2)*BR154+(1-EXP(-LN(2)/2))/(LN(2)/2)*BL155*BO155*VLOOKUP('Données projet'!$B$11,Paramètres!$A$1:$I$88,3,0)*0.475*44/12</f>
        <v>1.5911515537203458E-17</v>
      </c>
      <c r="BS155" s="22">
        <f t="shared" si="169"/>
        <v>0.77259366692311349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projet'!$B$12,Paramètres!$A$1:$I$88,3,0)*VLOOKUP('Données projet'!$B$12,Paramètres!$A$1:$I$88,5,0)</f>
        <v>3.7243808037601412E-14</v>
      </c>
      <c r="CA155" s="13">
        <f t="shared" si="170"/>
        <v>6.2767589361185393E-13</v>
      </c>
      <c r="CB155" s="20">
        <f t="shared" si="171"/>
        <v>1.1580684803728015E-12</v>
      </c>
      <c r="CC155" s="59">
        <f t="shared" si="119"/>
        <v>293.33333333333445</v>
      </c>
      <c r="CD155" s="59">
        <f ca="1">AVERAGE(OFFSET($CC$3,0,0,'Données projet'!$E$12+1,1))-AVERAGE(OFFSET($H$3,0,0,'Données projet'!$E$12+1,1))</f>
        <v>180.90147430936133</v>
      </c>
      <c r="CE155" s="59">
        <f t="shared" si="148"/>
        <v>226.87949199830018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projet'!$B$12,Paramètres!$A$1:$I$88,7,0))</f>
        <v>0</v>
      </c>
      <c r="CI155" s="16">
        <f>IF(ISNA(VLOOKUP(A155,'Données projet'!$A$113:$I$133,6,0)),0%,VLOOKUP(A155,'Données projet'!$A$113:$I$133,6,0)*VLOOKUP('Données projet'!$B$12,Paramètres!$A$1:$I$88,7,0))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projet'!$B$12,Paramètres!$A$1:$I$88,3,0)*0.475*44/12</f>
        <v>0</v>
      </c>
      <c r="CL155" s="21">
        <f>EXP(-LN(2)/25)*CL154+(1-EXP(-LN(2)/25))/(LN(2)/25)*Calculateur!CG155*Calculateur!CI155*VLOOKUP('Données projet'!$B$12,Paramètres!$A$1:$I$88,3,0)*0.475*44/12</f>
        <v>0.23332655209304473</v>
      </c>
      <c r="CM155" s="21">
        <f>EXP(-LN(2)/2)*CM154+(1-EXP(-LN(2)/2))/(LN(2)/2)*CG155*CJ155*VLOOKUP('Données projet'!$B$12,Paramètres!$A$1:$I$88,3,0)*0.475*44/12</f>
        <v>3.8434792905794226E-18</v>
      </c>
      <c r="CN155" s="22">
        <f t="shared" si="172"/>
        <v>0.23332655209304473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5.6843418860808015E-14</v>
      </c>
      <c r="CU155" s="17">
        <f>CT155*VLOOKUP('Données projet'!$B$13,Paramètres!$A$1:$I$88,3,0)*VLOOKUP('Données projet'!$B$13,Paramètres!$A$1:$I$88,5,0)</f>
        <v>2.8908289095852525E-14</v>
      </c>
      <c r="CV155" s="13">
        <f t="shared" si="173"/>
        <v>5.0177780569126974E-13</v>
      </c>
      <c r="CW155" s="20">
        <f t="shared" si="174"/>
        <v>9.2427828175423786E-13</v>
      </c>
      <c r="CX155" s="59">
        <f t="shared" si="122"/>
        <v>293.33333333333422</v>
      </c>
      <c r="CY155" s="59">
        <f ca="1">AVERAGE(OFFSET($CX$3,0,0,'Données projet'!$E$13+1,1))-AVERAGE(OFFSET($H$3,0,0,'Données projet'!$E$13+1,1))</f>
        <v>133.08385802816008</v>
      </c>
      <c r="CZ155" s="59">
        <f t="shared" si="150"/>
        <v>316.59112511251385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projet'!$B$13,Paramètres!$A$1:$I$88,7,0))</f>
        <v>0</v>
      </c>
      <c r="DD155" s="16">
        <f>IF(ISNA(VLOOKUP(A155,'Données projet'!$A$139:$I$159,6,0)),0%,VLOOKUP(A155,'Données projet'!$A$139:$I$159,6,0)*VLOOKUP('Données projet'!$B$13,Paramètres!$A$1:$I$88,7,0))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projet'!$B$13,Paramètres!$A$1:$I$88,3,0)*0.475*44/12</f>
        <v>6.4456830885937011</v>
      </c>
      <c r="DG155" s="21">
        <f>EXP(-LN(2)/25)*DG154+(1-EXP(-LN(2)/25))/(LN(2)/25)*Calculateur!DB155*Calculateur!DD155*VLOOKUP('Données projet'!$B$13,Paramètres!$A$1:$I$88,3,0)*0.475*44/12</f>
        <v>0</v>
      </c>
      <c r="DH155" s="21">
        <f>EXP(-LN(2)/2)*DH154+(1-EXP(-LN(2)/2))/(LN(2)/2)*DB155*DE155*VLOOKUP('Données projet'!$B$13,Paramètres!$A$1:$I$88,3,0)*0.475*44/12</f>
        <v>2.4522067087604443E-18</v>
      </c>
      <c r="DI155" s="22">
        <f t="shared" si="175"/>
        <v>6.4456830885937011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projet'!$B$14,Paramètres!$A$1:$I$88,3,0)*VLOOKUP('Données projet'!$B$14,Paramètres!$A$1:$I$88,5,0)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projet'!$B$14,Paramètres!$A$1:$I$88,7,0))</f>
        <v>0</v>
      </c>
      <c r="DY155" s="16">
        <f>IF(ISNA(VLOOKUP(A155,'Données projet'!$A$165:$I$185,6,0)),0%,VLOOKUP(A155,'Données projet'!$A$165:$I$185,6,0)*VLOOKUP('Données projet'!$B$14,Paramètres!$A$1:$I$88,7,0))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projet'!$B$14,Paramètres!$A$1:$I$88,3,0)*0.475*44/12</f>
        <v>#N/A</v>
      </c>
      <c r="EB155" s="21" t="e">
        <f>EXP(-LN(2)/25)*EB154+(1-EXP(-LN(2)/25))/(LN(2)/25)*Calculateur!DW155*Calculateur!DY155*VLOOKUP('Données projet'!$B$14,Paramètres!$A$1:$I$88,3,0)*0.475*44/12</f>
        <v>#N/A</v>
      </c>
      <c r="EC155" s="21" t="e">
        <f>EXP(-LN(2)/2)*EC154+(1-EXP(-LN(2)/2))/(LN(2)/2)*DW155*DZ155*VLOOKUP('Données projet'!$B$14,Paramètres!$A$1:$I$88,3,0)*0.475*44/12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projet'!$B$15,Paramètres!$A$1:$I$88,3,0)*VLOOKUP('Données projet'!$B$15,Paramètres!$A$1:$I$88,5,0)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projet'!$B$15,Paramètres!$A$1:$I$88,7,0))</f>
        <v>0</v>
      </c>
      <c r="ET155" s="16">
        <f>IF(ISNA(VLOOKUP(A155,'Données projet'!$A$191:$I$211,6,0)),0%,VLOOKUP(A155,'Données projet'!$A$191:$I$211,6,0)*VLOOKUP('Données projet'!$B$15,Paramètres!$A$1:$I$88,7,0))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projet'!$B$15,Paramètres!$A$1:$I$88,3,0)*0.475*44/12</f>
        <v>#N/A</v>
      </c>
      <c r="EW155" s="21" t="e">
        <f>EXP(-LN(2)/25)*EW154+(1-EXP(-LN(2)/25))/(LN(2)/25)*Calculateur!ER155*Calculateur!ET155*VLOOKUP('Données projet'!$B$15,Paramètres!$A$1:$I$88,3,0)*0.475*44/12</f>
        <v>#N/A</v>
      </c>
      <c r="EX155" s="21" t="e">
        <f>EXP(-LN(2)/2)*EX154+(1-EXP(-LN(2)/2))/(LN(2)/2)*ER155*EU155*VLOOKUP('Données projet'!$B$15,Paramètres!$A$1:$I$88,3,0)*0.475*44/12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projet'!$B$16,Paramètres!$A$1:$I$88,3,0)*VLOOKUP('Données projet'!$B$16,Paramètres!$A$1:$I$88,5,0)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projet'!$B$16,Paramètres!$A$1:$I$88,7,0))</f>
        <v>0</v>
      </c>
      <c r="FO155" s="16">
        <f>IF(ISNA(VLOOKUP(A155,'Données projet'!$A$217:$I$237,6,0)),0%,VLOOKUP(A155,'Données projet'!$A$217:$I$237,6,0)*VLOOKUP('Données projet'!$B$16,Paramètres!$A$1:$I$88,7,0))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projet'!$B$16,Paramètres!$A$1:$I$88,3,0)*0.475*44/12</f>
        <v>#N/A</v>
      </c>
      <c r="FR155" s="21" t="e">
        <f>EXP(-LN(2)/25)*FR154+(1-EXP(-LN(2)/25))/(LN(2)/25)*Calculateur!FM155*Calculateur!FO155*VLOOKUP('Données projet'!$B$16,Paramètres!$A$1:$I$88,3,0)*0.475*44/12</f>
        <v>#N/A</v>
      </c>
      <c r="FS155" s="21" t="e">
        <f>EXP(-LN(2)/2)*FS154+(1-EXP(-LN(2)/2))/(LN(2)/2)*FM155*FP155*VLOOKUP('Données projet'!$B$16,Paramètres!$A$1:$I$88,3,0)*0.475*44/12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projet'!$B$17,Paramètres!$A$1:$I$88,3,0)*VLOOKUP('Données projet'!$B$17,Paramètres!$A$1:$I$88,5,0)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projet'!$B$17,Paramètres!$A$1:$I$88,7,0))</f>
        <v>0</v>
      </c>
      <c r="GJ155" s="16">
        <f>IF(ISNA(VLOOKUP(A155,'Données projet'!$A$243:$I$263,6,0)),0%,VLOOKUP(A155,'Données projet'!$A$243:$I$263,6,0)*VLOOKUP('Données projet'!$B$17,Paramètres!$A$1:$I$88,7,0))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projet'!$B$17,Paramètres!$A$1:$I$88,3,0)*0.475*44/12</f>
        <v>#N/A</v>
      </c>
      <c r="GM155" s="21" t="e">
        <f>EXP(-LN(2)/25)*GM154+(1-EXP(-LN(2)/25))/(LN(2)/25)*Calculateur!GH155*Calculateur!GJ155*VLOOKUP('Données projet'!$B$17,Paramètres!$A$1:$I$88,3,0)*0.475*44/12</f>
        <v>#N/A</v>
      </c>
      <c r="GN155" s="21" t="e">
        <f>EXP(-LN(2)/2)*GN154+(1-EXP(-LN(2)/2))/(LN(2)/2)*GH155*GK155*VLOOKUP('Données projet'!$B$17,Paramètres!$A$1:$I$88,3,0)*0.475*44/12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projet'!$B$18,Paramètres!$A$1:$I$88,3,0)*VLOOKUP('Données projet'!$B$18,Paramètres!$A$1:$I$88,5,0)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projet'!$B$18,Paramètres!$A$1:$I$88,7,0))</f>
        <v>0</v>
      </c>
      <c r="HE155" s="16">
        <f>IF(ISNA(VLOOKUP(A155,'Données projet'!$A$269:$I$289,6,0)),0%,VLOOKUP(A155,'Données projet'!$A$269:$I$289,6,0)*VLOOKUP('Données projet'!$B$18,Paramètres!$A$1:$I$88,7,0))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projet'!$B$18,Paramètres!$A$1:$I$88,3,0)*0.475*44/12</f>
        <v>#N/A</v>
      </c>
      <c r="HH155" s="21" t="e">
        <f>EXP(-LN(2)/25)*HH154+(1-EXP(-LN(2)/25))/(LN(2)/25)*Calculateur!HC155*Calculateur!HE155*VLOOKUP('Données projet'!$B$18,Paramètres!$A$1:$I$88,3,0)*0.475*44/12</f>
        <v>#N/A</v>
      </c>
      <c r="HI155" s="21" t="e">
        <f>EXP(-LN(2)/2)*HI154+(1-EXP(-LN(2)/2))/(LN(2)/2)*HC155*HF155*VLOOKUP('Données projet'!$B$18,Paramètres!$A$1:$I$88,3,0)*0.475*44/12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projet'!$B$9,Paramètres!$A$1:$I$88,3,0)*VLOOKUP('Données projet'!$B$9,Paramètres!$A$1:$I$88,5,0)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195.73441209602686</v>
      </c>
      <c r="T156" s="59">
        <f t="shared" si="142"/>
        <v>219.19129224309006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projet'!$B$9,Paramètres!$A$1:$I$88,7,0))</f>
        <v>0</v>
      </c>
      <c r="X156" s="16">
        <f>IF(ISNA(VLOOKUP(A156,'Données projet'!$A$35:$I$55,6,0)),0%,VLOOKUP(A156,'Données projet'!$A$35:$I$55,6,0)*VLOOKUP('Données projet'!$B$9,Paramètres!$A$1:$I$88,7,0))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projet'!$B$9,Paramètres!$A$1:$I$88,3,0)*0.475*44/12</f>
        <v>1.334845227203189</v>
      </c>
      <c r="AA156" s="21">
        <f>EXP(-LN(2)/25)*AA155+(1-EXP(-LN(2)/25))/(LN(2)/25)*Calculateur!V156*Calculateur!X156*VLOOKUP('Données projet'!$B$9,Paramètres!$A$1:$I$88,3,0)*0.475*44/12</f>
        <v>0.46765282257909979</v>
      </c>
      <c r="AB156" s="21">
        <f>EXP(-LN(2)/2)*AB155+(1-EXP(-LN(2)/2))/(LN(2)/2)*V156*Y156*VLOOKUP('Données projet'!$B$9,Paramètres!$A$1:$I$88,3,0)*0.475*44/12</f>
        <v>1.2165873141987491E-20</v>
      </c>
      <c r="AC156" s="22">
        <f t="shared" si="163"/>
        <v>1.8024980497822889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-4.5474735088646412E-13</v>
      </c>
      <c r="AJ156" s="13">
        <f>AI156*VLOOKUP('Données projet'!$B$10,Paramètres!$A$1:$I$88,3,0)*VLOOKUP('Données projet'!$B$10,Paramètres!$A$1:$I$88,5,0)</f>
        <v>-2.7193891583010558E-13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246.59447135626942</v>
      </c>
      <c r="AO156" s="59">
        <f t="shared" si="144"/>
        <v>262.00382544285367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projet'!$B$10,Paramètres!$A$1:$I$88,7,0))</f>
        <v>0</v>
      </c>
      <c r="AS156" s="16">
        <f>IF(ISNA(VLOOKUP(A156,'Données projet'!$A$61:$I$81,6,0)),0%,VLOOKUP(A156,'Données projet'!$A$61:$I$81,6,0)*VLOOKUP('Données projet'!$B$10,Paramètres!$A$1:$I$88,7,0))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projet'!$B$10,Paramètres!$A$1:$I$88,3,0)*0.475*44/12</f>
        <v>0</v>
      </c>
      <c r="AV156" s="21">
        <f>EXP(-LN(2)/25)*AV155+(1-EXP(-LN(2)/25))/(LN(2)/25)*Calculateur!AQ156*Calculateur!AS156*VLOOKUP('Données projet'!$B$10,Paramètres!$A$1:$I$88,3,0)*0.475*44/12</f>
        <v>0.42443448069479728</v>
      </c>
      <c r="AW156" s="21">
        <f>EXP(-LN(2)/2)*AW155+(1-EXP(-LN(2)/2))/(LN(2)/2)*AQ156*AT156*VLOOKUP('Données projet'!$B$10,Paramètres!$A$1:$I$88,3,0)*0.475*44/12</f>
        <v>7.2768142553274497E-18</v>
      </c>
      <c r="AX156" s="21">
        <f t="shared" si="166"/>
        <v>0.42443448069479728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-5.6843418860808015E-13</v>
      </c>
      <c r="BE156" s="13">
        <f>BD156*VLOOKUP('Données projet'!$B$11,Paramètres!$A$1:$I$88,3,0)*VLOOKUP('Données projet'!$B$11,Paramètres!$A$1:$I$88,5,0)</f>
        <v>-3.177547114319168E-13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355.96253323046608</v>
      </c>
      <c r="BJ156" s="59">
        <f t="shared" si="146"/>
        <v>366.8380442809696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projet'!$B$11,Paramètres!$A$1:$I$88,7,0))</f>
        <v>0</v>
      </c>
      <c r="BN156" s="16">
        <f>IF(ISNA(VLOOKUP(A156,'Données projet'!$A$87:$I$107,6,0)),0%,VLOOKUP(A156,'Données projet'!$A$87:$I$107,6,0)*VLOOKUP('Données projet'!$B$11,Paramètres!$A$1:$I$88,7,0))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projet'!$B$11,Paramètres!$A$1:$I$88,3,0)*0.475*44/12</f>
        <v>0</v>
      </c>
      <c r="BQ156" s="21">
        <f>EXP(-LN(2)/25)*BQ155+(1-EXP(-LN(2)/25))/(LN(2)/25)*Calculateur!BL156*Calculateur!BN156*VLOOKUP('Données projet'!$B$11,Paramètres!$A$1:$I$88,3,0)*0.475*44/12</f>
        <v>0.75146705247216583</v>
      </c>
      <c r="BR156" s="21">
        <f>EXP(-LN(2)/2)*BR155+(1-EXP(-LN(2)/2))/(LN(2)/2)*BL156*BO156*VLOOKUP('Données projet'!$B$11,Paramètres!$A$1:$I$88,3,0)*0.475*44/12</f>
        <v>1.1251140535311677E-17</v>
      </c>
      <c r="BS156" s="22">
        <f t="shared" si="169"/>
        <v>0.75146705247216583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projet'!$B$12,Paramètres!$A$1:$I$88,3,0)*VLOOKUP('Données projet'!$B$12,Paramètres!$A$1:$I$88,5,0)</f>
        <v>3.7243808037601412E-14</v>
      </c>
      <c r="CA156" s="13">
        <f t="shared" si="170"/>
        <v>6.2767589361185393E-13</v>
      </c>
      <c r="CB156" s="20">
        <f t="shared" si="171"/>
        <v>1.1580684803728015E-12</v>
      </c>
      <c r="CC156" s="59">
        <f t="shared" si="119"/>
        <v>293.33333333333445</v>
      </c>
      <c r="CD156" s="59">
        <f ca="1">AVERAGE(OFFSET($CC$3,0,0,'Données projet'!$E$12+1,1))-AVERAGE(OFFSET($H$3,0,0,'Données projet'!$E$12+1,1))</f>
        <v>180.90147430936133</v>
      </c>
      <c r="CE156" s="59">
        <f t="shared" si="148"/>
        <v>226.87949199830018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projet'!$B$12,Paramètres!$A$1:$I$88,7,0))</f>
        <v>0</v>
      </c>
      <c r="CI156" s="16">
        <f>IF(ISNA(VLOOKUP(A156,'Données projet'!$A$113:$I$133,6,0)),0%,VLOOKUP(A156,'Données projet'!$A$113:$I$133,6,0)*VLOOKUP('Données projet'!$B$12,Paramètres!$A$1:$I$88,7,0))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projet'!$B$12,Paramètres!$A$1:$I$88,3,0)*0.475*44/12</f>
        <v>0</v>
      </c>
      <c r="CL156" s="21">
        <f>EXP(-LN(2)/25)*CL155+(1-EXP(-LN(2)/25))/(LN(2)/25)*Calculateur!CG156*Calculateur!CI156*VLOOKUP('Données projet'!$B$12,Paramètres!$A$1:$I$88,3,0)*0.475*44/12</f>
        <v>0.22694622525595032</v>
      </c>
      <c r="CM156" s="21">
        <f>EXP(-LN(2)/2)*CM155+(1-EXP(-LN(2)/2))/(LN(2)/2)*CG156*CJ156*VLOOKUP('Données projet'!$B$12,Paramètres!$A$1:$I$88,3,0)*0.475*44/12</f>
        <v>2.7177502697187708E-18</v>
      </c>
      <c r="CN156" s="22">
        <f t="shared" si="172"/>
        <v>0.22694622525595032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5.6843418860808015E-14</v>
      </c>
      <c r="CU156" s="17">
        <f>CT156*VLOOKUP('Données projet'!$B$13,Paramètres!$A$1:$I$88,3,0)*VLOOKUP('Données projet'!$B$13,Paramètres!$A$1:$I$88,5,0)</f>
        <v>2.8908289095852525E-14</v>
      </c>
      <c r="CV156" s="13">
        <f t="shared" si="173"/>
        <v>5.0177780569126974E-13</v>
      </c>
      <c r="CW156" s="20">
        <f t="shared" si="174"/>
        <v>9.2427828175423786E-13</v>
      </c>
      <c r="CX156" s="59">
        <f t="shared" si="122"/>
        <v>293.33333333333422</v>
      </c>
      <c r="CY156" s="59">
        <f ca="1">AVERAGE(OFFSET($CX$3,0,0,'Données projet'!$E$13+1,1))-AVERAGE(OFFSET($H$3,0,0,'Données projet'!$E$13+1,1))</f>
        <v>133.08385802816008</v>
      </c>
      <c r="CZ156" s="59">
        <f t="shared" si="150"/>
        <v>316.59112511251385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projet'!$B$13,Paramètres!$A$1:$I$88,7,0))</f>
        <v>0</v>
      </c>
      <c r="DD156" s="16">
        <f>IF(ISNA(VLOOKUP(A156,'Données projet'!$A$139:$I$159,6,0)),0%,VLOOKUP(A156,'Données projet'!$A$139:$I$159,6,0)*VLOOKUP('Données projet'!$B$13,Paramètres!$A$1:$I$88,7,0))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projet'!$B$13,Paramètres!$A$1:$I$88,3,0)*0.475*44/12</f>
        <v>6.3192871747048613</v>
      </c>
      <c r="DG156" s="21">
        <f>EXP(-LN(2)/25)*DG155+(1-EXP(-LN(2)/25))/(LN(2)/25)*Calculateur!DB156*Calculateur!DD156*VLOOKUP('Données projet'!$B$13,Paramètres!$A$1:$I$88,3,0)*0.475*44/12</f>
        <v>0</v>
      </c>
      <c r="DH156" s="21">
        <f>EXP(-LN(2)/2)*DH155+(1-EXP(-LN(2)/2))/(LN(2)/2)*DB156*DE156*VLOOKUP('Données projet'!$B$13,Paramètres!$A$1:$I$88,3,0)*0.475*44/12</f>
        <v>1.7339719926356554E-18</v>
      </c>
      <c r="DI156" s="22">
        <f t="shared" si="175"/>
        <v>6.3192871747048613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projet'!$B$14,Paramètres!$A$1:$I$88,3,0)*VLOOKUP('Données projet'!$B$14,Paramètres!$A$1:$I$88,5,0)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projet'!$B$14,Paramètres!$A$1:$I$88,7,0))</f>
        <v>0</v>
      </c>
      <c r="DY156" s="16">
        <f>IF(ISNA(VLOOKUP(A156,'Données projet'!$A$165:$I$185,6,0)),0%,VLOOKUP(A156,'Données projet'!$A$165:$I$185,6,0)*VLOOKUP('Données projet'!$B$14,Paramètres!$A$1:$I$88,7,0))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projet'!$B$14,Paramètres!$A$1:$I$88,3,0)*0.475*44/12</f>
        <v>#N/A</v>
      </c>
      <c r="EB156" s="21" t="e">
        <f>EXP(-LN(2)/25)*EB155+(1-EXP(-LN(2)/25))/(LN(2)/25)*Calculateur!DW156*Calculateur!DY156*VLOOKUP('Données projet'!$B$14,Paramètres!$A$1:$I$88,3,0)*0.475*44/12</f>
        <v>#N/A</v>
      </c>
      <c r="EC156" s="21" t="e">
        <f>EXP(-LN(2)/2)*EC155+(1-EXP(-LN(2)/2))/(LN(2)/2)*DW156*DZ156*VLOOKUP('Données projet'!$B$14,Paramètres!$A$1:$I$88,3,0)*0.475*44/12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projet'!$B$15,Paramètres!$A$1:$I$88,3,0)*VLOOKUP('Données projet'!$B$15,Paramètres!$A$1:$I$88,5,0)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projet'!$B$15,Paramètres!$A$1:$I$88,7,0))</f>
        <v>0</v>
      </c>
      <c r="ET156" s="16">
        <f>IF(ISNA(VLOOKUP(A156,'Données projet'!$A$191:$I$211,6,0)),0%,VLOOKUP(A156,'Données projet'!$A$191:$I$211,6,0)*VLOOKUP('Données projet'!$B$15,Paramètres!$A$1:$I$88,7,0))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projet'!$B$15,Paramètres!$A$1:$I$88,3,0)*0.475*44/12</f>
        <v>#N/A</v>
      </c>
      <c r="EW156" s="21" t="e">
        <f>EXP(-LN(2)/25)*EW155+(1-EXP(-LN(2)/25))/(LN(2)/25)*Calculateur!ER156*Calculateur!ET156*VLOOKUP('Données projet'!$B$15,Paramètres!$A$1:$I$88,3,0)*0.475*44/12</f>
        <v>#N/A</v>
      </c>
      <c r="EX156" s="21" t="e">
        <f>EXP(-LN(2)/2)*EX155+(1-EXP(-LN(2)/2))/(LN(2)/2)*ER156*EU156*VLOOKUP('Données projet'!$B$15,Paramètres!$A$1:$I$88,3,0)*0.475*44/12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projet'!$B$16,Paramètres!$A$1:$I$88,3,0)*VLOOKUP('Données projet'!$B$16,Paramètres!$A$1:$I$88,5,0)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projet'!$B$16,Paramètres!$A$1:$I$88,7,0))</f>
        <v>0</v>
      </c>
      <c r="FO156" s="16">
        <f>IF(ISNA(VLOOKUP(A156,'Données projet'!$A$217:$I$237,6,0)),0%,VLOOKUP(A156,'Données projet'!$A$217:$I$237,6,0)*VLOOKUP('Données projet'!$B$16,Paramètres!$A$1:$I$88,7,0))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projet'!$B$16,Paramètres!$A$1:$I$88,3,0)*0.475*44/12</f>
        <v>#N/A</v>
      </c>
      <c r="FR156" s="21" t="e">
        <f>EXP(-LN(2)/25)*FR155+(1-EXP(-LN(2)/25))/(LN(2)/25)*Calculateur!FM156*Calculateur!FO156*VLOOKUP('Données projet'!$B$16,Paramètres!$A$1:$I$88,3,0)*0.475*44/12</f>
        <v>#N/A</v>
      </c>
      <c r="FS156" s="21" t="e">
        <f>EXP(-LN(2)/2)*FS155+(1-EXP(-LN(2)/2))/(LN(2)/2)*FM156*FP156*VLOOKUP('Données projet'!$B$16,Paramètres!$A$1:$I$88,3,0)*0.475*44/12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projet'!$B$17,Paramètres!$A$1:$I$88,3,0)*VLOOKUP('Données projet'!$B$17,Paramètres!$A$1:$I$88,5,0)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projet'!$B$17,Paramètres!$A$1:$I$88,7,0))</f>
        <v>0</v>
      </c>
      <c r="GJ156" s="16">
        <f>IF(ISNA(VLOOKUP(A156,'Données projet'!$A$243:$I$263,6,0)),0%,VLOOKUP(A156,'Données projet'!$A$243:$I$263,6,0)*VLOOKUP('Données projet'!$B$17,Paramètres!$A$1:$I$88,7,0))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projet'!$B$17,Paramètres!$A$1:$I$88,3,0)*0.475*44/12</f>
        <v>#N/A</v>
      </c>
      <c r="GM156" s="21" t="e">
        <f>EXP(-LN(2)/25)*GM155+(1-EXP(-LN(2)/25))/(LN(2)/25)*Calculateur!GH156*Calculateur!GJ156*VLOOKUP('Données projet'!$B$17,Paramètres!$A$1:$I$88,3,0)*0.475*44/12</f>
        <v>#N/A</v>
      </c>
      <c r="GN156" s="21" t="e">
        <f>EXP(-LN(2)/2)*GN155+(1-EXP(-LN(2)/2))/(LN(2)/2)*GH156*GK156*VLOOKUP('Données projet'!$B$17,Paramètres!$A$1:$I$88,3,0)*0.475*44/12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projet'!$B$18,Paramètres!$A$1:$I$88,3,0)*VLOOKUP('Données projet'!$B$18,Paramètres!$A$1:$I$88,5,0)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projet'!$B$18,Paramètres!$A$1:$I$88,7,0))</f>
        <v>0</v>
      </c>
      <c r="HE156" s="16">
        <f>IF(ISNA(VLOOKUP(A156,'Données projet'!$A$269:$I$289,6,0)),0%,VLOOKUP(A156,'Données projet'!$A$269:$I$289,6,0)*VLOOKUP('Données projet'!$B$18,Paramètres!$A$1:$I$88,7,0))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projet'!$B$18,Paramètres!$A$1:$I$88,3,0)*0.475*44/12</f>
        <v>#N/A</v>
      </c>
      <c r="HH156" s="21" t="e">
        <f>EXP(-LN(2)/25)*HH155+(1-EXP(-LN(2)/25))/(LN(2)/25)*Calculateur!HC156*Calculateur!HE156*VLOOKUP('Données projet'!$B$18,Paramètres!$A$1:$I$88,3,0)*0.475*44/12</f>
        <v>#N/A</v>
      </c>
      <c r="HI156" s="21" t="e">
        <f>EXP(-LN(2)/2)*HI155+(1-EXP(-LN(2)/2))/(LN(2)/2)*HC156*HF156*VLOOKUP('Données projet'!$B$18,Paramètres!$A$1:$I$88,3,0)*0.475*44/12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projet'!$B$9,Paramètres!$A$1:$I$88,3,0)*VLOOKUP('Données projet'!$B$9,Paramètres!$A$1:$I$88,5,0)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195.73441209602686</v>
      </c>
      <c r="T157" s="59">
        <f t="shared" si="142"/>
        <v>219.19129224309006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projet'!$B$9,Paramètres!$A$1:$I$88,7,0))</f>
        <v>0</v>
      </c>
      <c r="X157" s="16">
        <f>IF(ISNA(VLOOKUP(A157,'Données projet'!$A$35:$I$55,6,0)),0%,VLOOKUP(A157,'Données projet'!$A$35:$I$55,6,0)*VLOOKUP('Données projet'!$B$9,Paramètres!$A$1:$I$88,7,0))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projet'!$B$9,Paramètres!$A$1:$I$88,3,0)*0.475*44/12</f>
        <v>1.3086697264729299</v>
      </c>
      <c r="AA157" s="21">
        <f>EXP(-LN(2)/25)*AA156+(1-EXP(-LN(2)/25))/(LN(2)/25)*Calculateur!V157*Calculateur!X157*VLOOKUP('Données projet'!$B$9,Paramètres!$A$1:$I$88,3,0)*0.475*44/12</f>
        <v>0.45486483155288121</v>
      </c>
      <c r="AB157" s="21">
        <f>EXP(-LN(2)/2)*AB156+(1-EXP(-LN(2)/2))/(LN(2)/2)*V157*Y157*VLOOKUP('Données projet'!$B$9,Paramètres!$A$1:$I$88,3,0)*0.475*44/12</f>
        <v>8.6025713977546442E-21</v>
      </c>
      <c r="AC157" s="22">
        <f t="shared" si="163"/>
        <v>1.763534558025811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-4.5474735088646412E-13</v>
      </c>
      <c r="AJ157" s="13">
        <f>AI157*VLOOKUP('Données projet'!$B$10,Paramètres!$A$1:$I$88,3,0)*VLOOKUP('Données projet'!$B$10,Paramètres!$A$1:$I$88,5,0)</f>
        <v>-2.7193891583010558E-13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246.59447135626942</v>
      </c>
      <c r="AO157" s="59">
        <f t="shared" si="144"/>
        <v>262.00382544285367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projet'!$B$10,Paramètres!$A$1:$I$88,7,0))</f>
        <v>0</v>
      </c>
      <c r="AS157" s="16">
        <f>IF(ISNA(VLOOKUP(A157,'Données projet'!$A$61:$I$81,6,0)),0%,VLOOKUP(A157,'Données projet'!$A$61:$I$81,6,0)*VLOOKUP('Données projet'!$B$10,Paramètres!$A$1:$I$88,7,0))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projet'!$B$10,Paramètres!$A$1:$I$88,3,0)*0.475*44/12</f>
        <v>0</v>
      </c>
      <c r="AV157" s="21">
        <f>EXP(-LN(2)/25)*AV156+(1-EXP(-LN(2)/25))/(LN(2)/25)*Calculateur!AQ157*Calculateur!AS157*VLOOKUP('Données projet'!$B$10,Paramètres!$A$1:$I$88,3,0)*0.475*44/12</f>
        <v>0.41282829750015876</v>
      </c>
      <c r="AW157" s="21">
        <f>EXP(-LN(2)/2)*AW156+(1-EXP(-LN(2)/2))/(LN(2)/2)*AQ157*AT157*VLOOKUP('Données projet'!$B$10,Paramètres!$A$1:$I$88,3,0)*0.475*44/12</f>
        <v>5.1454847053769769E-18</v>
      </c>
      <c r="AX157" s="21">
        <f t="shared" si="166"/>
        <v>0.41282829750015876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-5.6843418860808015E-13</v>
      </c>
      <c r="BE157" s="13">
        <f>BD157*VLOOKUP('Données projet'!$B$11,Paramètres!$A$1:$I$88,3,0)*VLOOKUP('Données projet'!$B$11,Paramètres!$A$1:$I$88,5,0)</f>
        <v>-3.177547114319168E-13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355.96253323046608</v>
      </c>
      <c r="BJ157" s="59">
        <f t="shared" si="146"/>
        <v>366.8380442809696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projet'!$B$11,Paramètres!$A$1:$I$88,7,0))</f>
        <v>0</v>
      </c>
      <c r="BN157" s="16">
        <f>IF(ISNA(VLOOKUP(A157,'Données projet'!$A$87:$I$107,6,0)),0%,VLOOKUP(A157,'Données projet'!$A$87:$I$107,6,0)*VLOOKUP('Données projet'!$B$11,Paramètres!$A$1:$I$88,7,0))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projet'!$B$11,Paramètres!$A$1:$I$88,3,0)*0.475*44/12</f>
        <v>0</v>
      </c>
      <c r="BQ157" s="21">
        <f>EXP(-LN(2)/25)*BQ156+(1-EXP(-LN(2)/25))/(LN(2)/25)*Calculateur!BL157*Calculateur!BN157*VLOOKUP('Données projet'!$B$11,Paramètres!$A$1:$I$88,3,0)*0.475*44/12</f>
        <v>0.73091814640437969</v>
      </c>
      <c r="BR157" s="21">
        <f>EXP(-LN(2)/2)*BR156+(1-EXP(-LN(2)/2))/(LN(2)/2)*BL157*BO157*VLOOKUP('Données projet'!$B$11,Paramètres!$A$1:$I$88,3,0)*0.475*44/12</f>
        <v>7.9557577686017291E-18</v>
      </c>
      <c r="BS157" s="22">
        <f t="shared" si="169"/>
        <v>0.73091814640437969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projet'!$B$12,Paramètres!$A$1:$I$88,3,0)*VLOOKUP('Données projet'!$B$12,Paramètres!$A$1:$I$88,5,0)</f>
        <v>3.7243808037601412E-14</v>
      </c>
      <c r="CA157" s="13">
        <f t="shared" si="170"/>
        <v>6.2767589361185393E-13</v>
      </c>
      <c r="CB157" s="20">
        <f t="shared" si="171"/>
        <v>1.1580684803728015E-12</v>
      </c>
      <c r="CC157" s="59">
        <f t="shared" si="119"/>
        <v>293.33333333333445</v>
      </c>
      <c r="CD157" s="59">
        <f ca="1">AVERAGE(OFFSET($CC$3,0,0,'Données projet'!$E$12+1,1))-AVERAGE(OFFSET($H$3,0,0,'Données projet'!$E$12+1,1))</f>
        <v>180.90147430936133</v>
      </c>
      <c r="CE157" s="59">
        <f t="shared" si="148"/>
        <v>226.87949199830018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projet'!$B$12,Paramètres!$A$1:$I$88,7,0))</f>
        <v>0</v>
      </c>
      <c r="CI157" s="16">
        <f>IF(ISNA(VLOOKUP(A157,'Données projet'!$A$113:$I$133,6,0)),0%,VLOOKUP(A157,'Données projet'!$A$113:$I$133,6,0)*VLOOKUP('Données projet'!$B$12,Paramètres!$A$1:$I$88,7,0))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projet'!$B$12,Paramètres!$A$1:$I$88,3,0)*0.475*44/12</f>
        <v>0</v>
      </c>
      <c r="CL157" s="21">
        <f>EXP(-LN(2)/25)*CL156+(1-EXP(-LN(2)/25))/(LN(2)/25)*Calculateur!CG157*Calculateur!CI157*VLOOKUP('Données projet'!$B$12,Paramètres!$A$1:$I$88,3,0)*0.475*44/12</f>
        <v>0.22074036879174305</v>
      </c>
      <c r="CM157" s="21">
        <f>EXP(-LN(2)/2)*CM156+(1-EXP(-LN(2)/2))/(LN(2)/2)*CG157*CJ157*VLOOKUP('Données projet'!$B$12,Paramètres!$A$1:$I$88,3,0)*0.475*44/12</f>
        <v>1.9217396452897113E-18</v>
      </c>
      <c r="CN157" s="22">
        <f t="shared" si="172"/>
        <v>0.22074036879174305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5.6843418860808015E-14</v>
      </c>
      <c r="CU157" s="17">
        <f>CT157*VLOOKUP('Données projet'!$B$13,Paramètres!$A$1:$I$88,3,0)*VLOOKUP('Données projet'!$B$13,Paramètres!$A$1:$I$88,5,0)</f>
        <v>2.8908289095852525E-14</v>
      </c>
      <c r="CV157" s="13">
        <f t="shared" si="173"/>
        <v>5.0177780569126974E-13</v>
      </c>
      <c r="CW157" s="20">
        <f t="shared" si="174"/>
        <v>9.2427828175423786E-13</v>
      </c>
      <c r="CX157" s="59">
        <f t="shared" si="122"/>
        <v>293.33333333333422</v>
      </c>
      <c r="CY157" s="59">
        <f ca="1">AVERAGE(OFFSET($CX$3,0,0,'Données projet'!$E$13+1,1))-AVERAGE(OFFSET($H$3,0,0,'Données projet'!$E$13+1,1))</f>
        <v>133.08385802816008</v>
      </c>
      <c r="CZ157" s="59">
        <f t="shared" si="150"/>
        <v>316.59112511251385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projet'!$B$13,Paramètres!$A$1:$I$88,7,0))</f>
        <v>0</v>
      </c>
      <c r="DD157" s="16">
        <f>IF(ISNA(VLOOKUP(A157,'Données projet'!$A$139:$I$159,6,0)),0%,VLOOKUP(A157,'Données projet'!$A$139:$I$159,6,0)*VLOOKUP('Données projet'!$B$13,Paramètres!$A$1:$I$88,7,0))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projet'!$B$13,Paramètres!$A$1:$I$88,3,0)*0.475*44/12</f>
        <v>6.1953698075934867</v>
      </c>
      <c r="DG157" s="21">
        <f>EXP(-LN(2)/25)*DG156+(1-EXP(-LN(2)/25))/(LN(2)/25)*Calculateur!DB157*Calculateur!DD157*VLOOKUP('Données projet'!$B$13,Paramètres!$A$1:$I$88,3,0)*0.475*44/12</f>
        <v>0</v>
      </c>
      <c r="DH157" s="21">
        <f>EXP(-LN(2)/2)*DH156+(1-EXP(-LN(2)/2))/(LN(2)/2)*DB157*DE157*VLOOKUP('Données projet'!$B$13,Paramètres!$A$1:$I$88,3,0)*0.475*44/12</f>
        <v>1.2261033543802224E-18</v>
      </c>
      <c r="DI157" s="22">
        <f t="shared" si="175"/>
        <v>6.1953698075934867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projet'!$B$14,Paramètres!$A$1:$I$88,3,0)*VLOOKUP('Données projet'!$B$14,Paramètres!$A$1:$I$88,5,0)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projet'!$B$14,Paramètres!$A$1:$I$88,7,0))</f>
        <v>0</v>
      </c>
      <c r="DY157" s="16">
        <f>IF(ISNA(VLOOKUP(A157,'Données projet'!$A$165:$I$185,6,0)),0%,VLOOKUP(A157,'Données projet'!$A$165:$I$185,6,0)*VLOOKUP('Données projet'!$B$14,Paramètres!$A$1:$I$88,7,0))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projet'!$B$14,Paramètres!$A$1:$I$88,3,0)*0.475*44/12</f>
        <v>#N/A</v>
      </c>
      <c r="EB157" s="21" t="e">
        <f>EXP(-LN(2)/25)*EB156+(1-EXP(-LN(2)/25))/(LN(2)/25)*Calculateur!DW157*Calculateur!DY157*VLOOKUP('Données projet'!$B$14,Paramètres!$A$1:$I$88,3,0)*0.475*44/12</f>
        <v>#N/A</v>
      </c>
      <c r="EC157" s="21" t="e">
        <f>EXP(-LN(2)/2)*EC156+(1-EXP(-LN(2)/2))/(LN(2)/2)*DW157*DZ157*VLOOKUP('Données projet'!$B$14,Paramètres!$A$1:$I$88,3,0)*0.475*44/12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projet'!$B$15,Paramètres!$A$1:$I$88,3,0)*VLOOKUP('Données projet'!$B$15,Paramètres!$A$1:$I$88,5,0)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projet'!$B$15,Paramètres!$A$1:$I$88,7,0))</f>
        <v>0</v>
      </c>
      <c r="ET157" s="16">
        <f>IF(ISNA(VLOOKUP(A157,'Données projet'!$A$191:$I$211,6,0)),0%,VLOOKUP(A157,'Données projet'!$A$191:$I$211,6,0)*VLOOKUP('Données projet'!$B$15,Paramètres!$A$1:$I$88,7,0))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projet'!$B$15,Paramètres!$A$1:$I$88,3,0)*0.475*44/12</f>
        <v>#N/A</v>
      </c>
      <c r="EW157" s="21" t="e">
        <f>EXP(-LN(2)/25)*EW156+(1-EXP(-LN(2)/25))/(LN(2)/25)*Calculateur!ER157*Calculateur!ET157*VLOOKUP('Données projet'!$B$15,Paramètres!$A$1:$I$88,3,0)*0.475*44/12</f>
        <v>#N/A</v>
      </c>
      <c r="EX157" s="21" t="e">
        <f>EXP(-LN(2)/2)*EX156+(1-EXP(-LN(2)/2))/(LN(2)/2)*ER157*EU157*VLOOKUP('Données projet'!$B$15,Paramètres!$A$1:$I$88,3,0)*0.475*44/12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projet'!$B$16,Paramètres!$A$1:$I$88,3,0)*VLOOKUP('Données projet'!$B$16,Paramètres!$A$1:$I$88,5,0)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projet'!$B$16,Paramètres!$A$1:$I$88,7,0))</f>
        <v>0</v>
      </c>
      <c r="FO157" s="16">
        <f>IF(ISNA(VLOOKUP(A157,'Données projet'!$A$217:$I$237,6,0)),0%,VLOOKUP(A157,'Données projet'!$A$217:$I$237,6,0)*VLOOKUP('Données projet'!$B$16,Paramètres!$A$1:$I$88,7,0))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projet'!$B$16,Paramètres!$A$1:$I$88,3,0)*0.475*44/12</f>
        <v>#N/A</v>
      </c>
      <c r="FR157" s="21" t="e">
        <f>EXP(-LN(2)/25)*FR156+(1-EXP(-LN(2)/25))/(LN(2)/25)*Calculateur!FM157*Calculateur!FO157*VLOOKUP('Données projet'!$B$16,Paramètres!$A$1:$I$88,3,0)*0.475*44/12</f>
        <v>#N/A</v>
      </c>
      <c r="FS157" s="21" t="e">
        <f>EXP(-LN(2)/2)*FS156+(1-EXP(-LN(2)/2))/(LN(2)/2)*FM157*FP157*VLOOKUP('Données projet'!$B$16,Paramètres!$A$1:$I$88,3,0)*0.475*44/12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projet'!$B$17,Paramètres!$A$1:$I$88,3,0)*VLOOKUP('Données projet'!$B$17,Paramètres!$A$1:$I$88,5,0)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projet'!$B$17,Paramètres!$A$1:$I$88,7,0))</f>
        <v>0</v>
      </c>
      <c r="GJ157" s="16">
        <f>IF(ISNA(VLOOKUP(A157,'Données projet'!$A$243:$I$263,6,0)),0%,VLOOKUP(A157,'Données projet'!$A$243:$I$263,6,0)*VLOOKUP('Données projet'!$B$17,Paramètres!$A$1:$I$88,7,0))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projet'!$B$17,Paramètres!$A$1:$I$88,3,0)*0.475*44/12</f>
        <v>#N/A</v>
      </c>
      <c r="GM157" s="21" t="e">
        <f>EXP(-LN(2)/25)*GM156+(1-EXP(-LN(2)/25))/(LN(2)/25)*Calculateur!GH157*Calculateur!GJ157*VLOOKUP('Données projet'!$B$17,Paramètres!$A$1:$I$88,3,0)*0.475*44/12</f>
        <v>#N/A</v>
      </c>
      <c r="GN157" s="21" t="e">
        <f>EXP(-LN(2)/2)*GN156+(1-EXP(-LN(2)/2))/(LN(2)/2)*GH157*GK157*VLOOKUP('Données projet'!$B$17,Paramètres!$A$1:$I$88,3,0)*0.475*44/12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projet'!$B$18,Paramètres!$A$1:$I$88,3,0)*VLOOKUP('Données projet'!$B$18,Paramètres!$A$1:$I$88,5,0)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projet'!$B$18,Paramètres!$A$1:$I$88,7,0))</f>
        <v>0</v>
      </c>
      <c r="HE157" s="16">
        <f>IF(ISNA(VLOOKUP(A157,'Données projet'!$A$269:$I$289,6,0)),0%,VLOOKUP(A157,'Données projet'!$A$269:$I$289,6,0)*VLOOKUP('Données projet'!$B$18,Paramètres!$A$1:$I$88,7,0))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projet'!$B$18,Paramètres!$A$1:$I$88,3,0)*0.475*44/12</f>
        <v>#N/A</v>
      </c>
      <c r="HH157" s="21" t="e">
        <f>EXP(-LN(2)/25)*HH156+(1-EXP(-LN(2)/25))/(LN(2)/25)*Calculateur!HC157*Calculateur!HE157*VLOOKUP('Données projet'!$B$18,Paramètres!$A$1:$I$88,3,0)*0.475*44/12</f>
        <v>#N/A</v>
      </c>
      <c r="HI157" s="21" t="e">
        <f>EXP(-LN(2)/2)*HI156+(1-EXP(-LN(2)/2))/(LN(2)/2)*HC157*HF157*VLOOKUP('Données projet'!$B$18,Paramètres!$A$1:$I$88,3,0)*0.475*44/12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projet'!$B$9,Paramètres!$A$1:$I$88,3,0)*VLOOKUP('Données projet'!$B$9,Paramètres!$A$1:$I$88,5,0)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195.73441209602686</v>
      </c>
      <c r="T158" s="59">
        <f t="shared" si="142"/>
        <v>219.19129224309006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projet'!$B$9,Paramètres!$A$1:$I$88,7,0))</f>
        <v>0</v>
      </c>
      <c r="X158" s="16">
        <f>IF(ISNA(VLOOKUP(A158,'Données projet'!$A$35:$I$55,6,0)),0%,VLOOKUP(A158,'Données projet'!$A$35:$I$55,6,0)*VLOOKUP('Données projet'!$B$9,Paramètres!$A$1:$I$88,7,0))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projet'!$B$9,Paramètres!$A$1:$I$88,3,0)*0.475*44/12</f>
        <v>1.2830075113465123</v>
      </c>
      <c r="AA158" s="21">
        <f>EXP(-LN(2)/25)*AA157+(1-EXP(-LN(2)/25))/(LN(2)/25)*Calculateur!V158*Calculateur!X158*VLOOKUP('Données projet'!$B$9,Paramètres!$A$1:$I$88,3,0)*0.475*44/12</f>
        <v>0.44242652881376576</v>
      </c>
      <c r="AB158" s="21">
        <f>EXP(-LN(2)/2)*AB157+(1-EXP(-LN(2)/2))/(LN(2)/2)*V158*Y158*VLOOKUP('Données projet'!$B$9,Paramètres!$A$1:$I$88,3,0)*0.475*44/12</f>
        <v>6.0829365709937455E-21</v>
      </c>
      <c r="AC158" s="22">
        <f t="shared" si="163"/>
        <v>1.7254340401602781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-4.5474735088646412E-13</v>
      </c>
      <c r="AJ158" s="13">
        <f>AI158*VLOOKUP('Données projet'!$B$10,Paramètres!$A$1:$I$88,3,0)*VLOOKUP('Données projet'!$B$10,Paramètres!$A$1:$I$88,5,0)</f>
        <v>-2.7193891583010558E-13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246.59447135626942</v>
      </c>
      <c r="AO158" s="59">
        <f t="shared" si="144"/>
        <v>262.00382544285367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projet'!$B$10,Paramètres!$A$1:$I$88,7,0))</f>
        <v>0</v>
      </c>
      <c r="AS158" s="16">
        <f>IF(ISNA(VLOOKUP(A158,'Données projet'!$A$61:$I$81,6,0)),0%,VLOOKUP(A158,'Données projet'!$A$61:$I$81,6,0)*VLOOKUP('Données projet'!$B$10,Paramètres!$A$1:$I$88,7,0))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projet'!$B$10,Paramètres!$A$1:$I$88,3,0)*0.475*44/12</f>
        <v>0</v>
      </c>
      <c r="AV158" s="21">
        <f>EXP(-LN(2)/25)*AV157+(1-EXP(-LN(2)/25))/(LN(2)/25)*Calculateur!AQ158*Calculateur!AS158*VLOOKUP('Données projet'!$B$10,Paramètres!$A$1:$I$88,3,0)*0.475*44/12</f>
        <v>0.4015394859953203</v>
      </c>
      <c r="AW158" s="21">
        <f>EXP(-LN(2)/2)*AW157+(1-EXP(-LN(2)/2))/(LN(2)/2)*AQ158*AT158*VLOOKUP('Données projet'!$B$10,Paramètres!$A$1:$I$88,3,0)*0.475*44/12</f>
        <v>3.6384071276637248E-18</v>
      </c>
      <c r="AX158" s="21">
        <f t="shared" si="166"/>
        <v>0.4015394859953203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-5.6843418860808015E-13</v>
      </c>
      <c r="BE158" s="13">
        <f>BD158*VLOOKUP('Données projet'!$B$11,Paramètres!$A$1:$I$88,3,0)*VLOOKUP('Données projet'!$B$11,Paramètres!$A$1:$I$88,5,0)</f>
        <v>-3.177547114319168E-13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355.96253323046608</v>
      </c>
      <c r="BJ158" s="59">
        <f t="shared" si="146"/>
        <v>366.8380442809696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projet'!$B$11,Paramètres!$A$1:$I$88,7,0))</f>
        <v>0</v>
      </c>
      <c r="BN158" s="16">
        <f>IF(ISNA(VLOOKUP(A158,'Données projet'!$A$87:$I$107,6,0)),0%,VLOOKUP(A158,'Données projet'!$A$87:$I$107,6,0)*VLOOKUP('Données projet'!$B$11,Paramètres!$A$1:$I$88,7,0))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projet'!$B$11,Paramètres!$A$1:$I$88,3,0)*0.475*44/12</f>
        <v>0</v>
      </c>
      <c r="BQ158" s="21">
        <f>EXP(-LN(2)/25)*BQ157+(1-EXP(-LN(2)/25))/(LN(2)/25)*Calculateur!BL158*Calculateur!BN158*VLOOKUP('Données projet'!$B$11,Paramètres!$A$1:$I$88,3,0)*0.475*44/12</f>
        <v>0.71093115125363715</v>
      </c>
      <c r="BR158" s="21">
        <f>EXP(-LN(2)/2)*BR157+(1-EXP(-LN(2)/2))/(LN(2)/2)*BL158*BO158*VLOOKUP('Données projet'!$B$11,Paramètres!$A$1:$I$88,3,0)*0.475*44/12</f>
        <v>5.6255702676558386E-18</v>
      </c>
      <c r="BS158" s="22">
        <f t="shared" si="169"/>
        <v>0.71093115125363715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projet'!$B$12,Paramètres!$A$1:$I$88,3,0)*VLOOKUP('Données projet'!$B$12,Paramètres!$A$1:$I$88,5,0)</f>
        <v>3.7243808037601412E-14</v>
      </c>
      <c r="CA158" s="13">
        <f t="shared" si="170"/>
        <v>6.2767589361185393E-13</v>
      </c>
      <c r="CB158" s="20">
        <f t="shared" si="171"/>
        <v>1.1580684803728015E-12</v>
      </c>
      <c r="CC158" s="59">
        <f t="shared" si="119"/>
        <v>293.33333333333445</v>
      </c>
      <c r="CD158" s="59">
        <f ca="1">AVERAGE(OFFSET($CC$3,0,0,'Données projet'!$E$12+1,1))-AVERAGE(OFFSET($H$3,0,0,'Données projet'!$E$12+1,1))</f>
        <v>180.90147430936133</v>
      </c>
      <c r="CE158" s="59">
        <f t="shared" si="148"/>
        <v>226.87949199830018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projet'!$B$12,Paramètres!$A$1:$I$88,7,0))</f>
        <v>0</v>
      </c>
      <c r="CI158" s="16">
        <f>IF(ISNA(VLOOKUP(A158,'Données projet'!$A$113:$I$133,6,0)),0%,VLOOKUP(A158,'Données projet'!$A$113:$I$133,6,0)*VLOOKUP('Données projet'!$B$12,Paramètres!$A$1:$I$88,7,0))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projet'!$B$12,Paramètres!$A$1:$I$88,3,0)*0.475*44/12</f>
        <v>0</v>
      </c>
      <c r="CL158" s="21">
        <f>EXP(-LN(2)/25)*CL157+(1-EXP(-LN(2)/25))/(LN(2)/25)*Calculateur!CG158*Calculateur!CI158*VLOOKUP('Données projet'!$B$12,Paramètres!$A$1:$I$88,3,0)*0.475*44/12</f>
        <v>0.21470421179890134</v>
      </c>
      <c r="CM158" s="21">
        <f>EXP(-LN(2)/2)*CM157+(1-EXP(-LN(2)/2))/(LN(2)/2)*CG158*CJ158*VLOOKUP('Données projet'!$B$12,Paramètres!$A$1:$I$88,3,0)*0.475*44/12</f>
        <v>1.3588751348593854E-18</v>
      </c>
      <c r="CN158" s="22">
        <f t="shared" si="172"/>
        <v>0.21470421179890134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5.6843418860808015E-14</v>
      </c>
      <c r="CU158" s="17">
        <f>CT158*VLOOKUP('Données projet'!$B$13,Paramètres!$A$1:$I$88,3,0)*VLOOKUP('Données projet'!$B$13,Paramètres!$A$1:$I$88,5,0)</f>
        <v>2.8908289095852525E-14</v>
      </c>
      <c r="CV158" s="13">
        <f t="shared" si="173"/>
        <v>5.0177780569126974E-13</v>
      </c>
      <c r="CW158" s="20">
        <f t="shared" si="174"/>
        <v>9.2427828175423786E-13</v>
      </c>
      <c r="CX158" s="59">
        <f t="shared" si="122"/>
        <v>293.33333333333422</v>
      </c>
      <c r="CY158" s="59">
        <f ca="1">AVERAGE(OFFSET($CX$3,0,0,'Données projet'!$E$13+1,1))-AVERAGE(OFFSET($H$3,0,0,'Données projet'!$E$13+1,1))</f>
        <v>133.08385802816008</v>
      </c>
      <c r="CZ158" s="59">
        <f t="shared" si="150"/>
        <v>316.59112511251385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projet'!$B$13,Paramètres!$A$1:$I$88,7,0))</f>
        <v>0</v>
      </c>
      <c r="DD158" s="16">
        <f>IF(ISNA(VLOOKUP(A158,'Données projet'!$A$139:$I$159,6,0)),0%,VLOOKUP(A158,'Données projet'!$A$139:$I$159,6,0)*VLOOKUP('Données projet'!$B$13,Paramètres!$A$1:$I$88,7,0))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projet'!$B$13,Paramètres!$A$1:$I$88,3,0)*0.475*44/12</f>
        <v>6.0738823844690355</v>
      </c>
      <c r="DG158" s="21">
        <f>EXP(-LN(2)/25)*DG157+(1-EXP(-LN(2)/25))/(LN(2)/25)*Calculateur!DB158*Calculateur!DD158*VLOOKUP('Données projet'!$B$13,Paramètres!$A$1:$I$88,3,0)*0.475*44/12</f>
        <v>0</v>
      </c>
      <c r="DH158" s="21">
        <f>EXP(-LN(2)/2)*DH157+(1-EXP(-LN(2)/2))/(LN(2)/2)*DB158*DE158*VLOOKUP('Données projet'!$B$13,Paramètres!$A$1:$I$88,3,0)*0.475*44/12</f>
        <v>8.6698599631782791E-19</v>
      </c>
      <c r="DI158" s="22">
        <f t="shared" si="175"/>
        <v>6.0738823844690355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projet'!$B$14,Paramètres!$A$1:$I$88,3,0)*VLOOKUP('Données projet'!$B$14,Paramètres!$A$1:$I$88,5,0)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projet'!$B$14,Paramètres!$A$1:$I$88,7,0))</f>
        <v>0</v>
      </c>
      <c r="DY158" s="16">
        <f>IF(ISNA(VLOOKUP(A158,'Données projet'!$A$165:$I$185,6,0)),0%,VLOOKUP(A158,'Données projet'!$A$165:$I$185,6,0)*VLOOKUP('Données projet'!$B$14,Paramètres!$A$1:$I$88,7,0))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projet'!$B$14,Paramètres!$A$1:$I$88,3,0)*0.475*44/12</f>
        <v>#N/A</v>
      </c>
      <c r="EB158" s="21" t="e">
        <f>EXP(-LN(2)/25)*EB157+(1-EXP(-LN(2)/25))/(LN(2)/25)*Calculateur!DW158*Calculateur!DY158*VLOOKUP('Données projet'!$B$14,Paramètres!$A$1:$I$88,3,0)*0.475*44/12</f>
        <v>#N/A</v>
      </c>
      <c r="EC158" s="21" t="e">
        <f>EXP(-LN(2)/2)*EC157+(1-EXP(-LN(2)/2))/(LN(2)/2)*DW158*DZ158*VLOOKUP('Données projet'!$B$14,Paramètres!$A$1:$I$88,3,0)*0.475*44/12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projet'!$B$15,Paramètres!$A$1:$I$88,3,0)*VLOOKUP('Données projet'!$B$15,Paramètres!$A$1:$I$88,5,0)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projet'!$B$15,Paramètres!$A$1:$I$88,7,0))</f>
        <v>0</v>
      </c>
      <c r="ET158" s="16">
        <f>IF(ISNA(VLOOKUP(A158,'Données projet'!$A$191:$I$211,6,0)),0%,VLOOKUP(A158,'Données projet'!$A$191:$I$211,6,0)*VLOOKUP('Données projet'!$B$15,Paramètres!$A$1:$I$88,7,0))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projet'!$B$15,Paramètres!$A$1:$I$88,3,0)*0.475*44/12</f>
        <v>#N/A</v>
      </c>
      <c r="EW158" s="21" t="e">
        <f>EXP(-LN(2)/25)*EW157+(1-EXP(-LN(2)/25))/(LN(2)/25)*Calculateur!ER158*Calculateur!ET158*VLOOKUP('Données projet'!$B$15,Paramètres!$A$1:$I$88,3,0)*0.475*44/12</f>
        <v>#N/A</v>
      </c>
      <c r="EX158" s="21" t="e">
        <f>EXP(-LN(2)/2)*EX157+(1-EXP(-LN(2)/2))/(LN(2)/2)*ER158*EU158*VLOOKUP('Données projet'!$B$15,Paramètres!$A$1:$I$88,3,0)*0.475*44/12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projet'!$B$16,Paramètres!$A$1:$I$88,3,0)*VLOOKUP('Données projet'!$B$16,Paramètres!$A$1:$I$88,5,0)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projet'!$B$16,Paramètres!$A$1:$I$88,7,0))</f>
        <v>0</v>
      </c>
      <c r="FO158" s="16">
        <f>IF(ISNA(VLOOKUP(A158,'Données projet'!$A$217:$I$237,6,0)),0%,VLOOKUP(A158,'Données projet'!$A$217:$I$237,6,0)*VLOOKUP('Données projet'!$B$16,Paramètres!$A$1:$I$88,7,0))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projet'!$B$16,Paramètres!$A$1:$I$88,3,0)*0.475*44/12</f>
        <v>#N/A</v>
      </c>
      <c r="FR158" s="21" t="e">
        <f>EXP(-LN(2)/25)*FR157+(1-EXP(-LN(2)/25))/(LN(2)/25)*Calculateur!FM158*Calculateur!FO158*VLOOKUP('Données projet'!$B$16,Paramètres!$A$1:$I$88,3,0)*0.475*44/12</f>
        <v>#N/A</v>
      </c>
      <c r="FS158" s="21" t="e">
        <f>EXP(-LN(2)/2)*FS157+(1-EXP(-LN(2)/2))/(LN(2)/2)*FM158*FP158*VLOOKUP('Données projet'!$B$16,Paramètres!$A$1:$I$88,3,0)*0.475*44/12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projet'!$B$17,Paramètres!$A$1:$I$88,3,0)*VLOOKUP('Données projet'!$B$17,Paramètres!$A$1:$I$88,5,0)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projet'!$B$17,Paramètres!$A$1:$I$88,7,0))</f>
        <v>0</v>
      </c>
      <c r="GJ158" s="16">
        <f>IF(ISNA(VLOOKUP(A158,'Données projet'!$A$243:$I$263,6,0)),0%,VLOOKUP(A158,'Données projet'!$A$243:$I$263,6,0)*VLOOKUP('Données projet'!$B$17,Paramètres!$A$1:$I$88,7,0))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projet'!$B$17,Paramètres!$A$1:$I$88,3,0)*0.475*44/12</f>
        <v>#N/A</v>
      </c>
      <c r="GM158" s="21" t="e">
        <f>EXP(-LN(2)/25)*GM157+(1-EXP(-LN(2)/25))/(LN(2)/25)*Calculateur!GH158*Calculateur!GJ158*VLOOKUP('Données projet'!$B$17,Paramètres!$A$1:$I$88,3,0)*0.475*44/12</f>
        <v>#N/A</v>
      </c>
      <c r="GN158" s="21" t="e">
        <f>EXP(-LN(2)/2)*GN157+(1-EXP(-LN(2)/2))/(LN(2)/2)*GH158*GK158*VLOOKUP('Données projet'!$B$17,Paramètres!$A$1:$I$88,3,0)*0.475*44/12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projet'!$B$18,Paramètres!$A$1:$I$88,3,0)*VLOOKUP('Données projet'!$B$18,Paramètres!$A$1:$I$88,5,0)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projet'!$B$18,Paramètres!$A$1:$I$88,7,0))</f>
        <v>0</v>
      </c>
      <c r="HE158" s="16">
        <f>IF(ISNA(VLOOKUP(A158,'Données projet'!$A$269:$I$289,6,0)),0%,VLOOKUP(A158,'Données projet'!$A$269:$I$289,6,0)*VLOOKUP('Données projet'!$B$18,Paramètres!$A$1:$I$88,7,0))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projet'!$B$18,Paramètres!$A$1:$I$88,3,0)*0.475*44/12</f>
        <v>#N/A</v>
      </c>
      <c r="HH158" s="21" t="e">
        <f>EXP(-LN(2)/25)*HH157+(1-EXP(-LN(2)/25))/(LN(2)/25)*Calculateur!HC158*Calculateur!HE158*VLOOKUP('Données projet'!$B$18,Paramètres!$A$1:$I$88,3,0)*0.475*44/12</f>
        <v>#N/A</v>
      </c>
      <c r="HI158" s="21" t="e">
        <f>EXP(-LN(2)/2)*HI157+(1-EXP(-LN(2)/2))/(LN(2)/2)*HC158*HF158*VLOOKUP('Données projet'!$B$18,Paramètres!$A$1:$I$88,3,0)*0.475*44/12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projet'!$B$9,Paramètres!$A$1:$I$88,3,0)*VLOOKUP('Données projet'!$B$9,Paramètres!$A$1:$I$88,5,0)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195.73441209602686</v>
      </c>
      <c r="T159" s="59">
        <f t="shared" si="142"/>
        <v>219.19129224309006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projet'!$B$9,Paramètres!$A$1:$I$88,7,0))</f>
        <v>0</v>
      </c>
      <c r="X159" s="16">
        <f>IF(ISNA(VLOOKUP(A159,'Données projet'!$A$35:$I$55,6,0)),0%,VLOOKUP(A159,'Données projet'!$A$35:$I$55,6,0)*VLOOKUP('Données projet'!$B$9,Paramètres!$A$1:$I$88,7,0))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projet'!$B$9,Paramètres!$A$1:$I$88,3,0)*0.475*44/12</f>
        <v>1.257848516606318</v>
      </c>
      <c r="AA159" s="21">
        <f>EXP(-LN(2)/25)*AA158+(1-EXP(-LN(2)/25))/(LN(2)/25)*Calculateur!V159*Calculateur!X159*VLOOKUP('Données projet'!$B$9,Paramètres!$A$1:$I$88,3,0)*0.475*44/12</f>
        <v>0.43032835211715337</v>
      </c>
      <c r="AB159" s="21">
        <f>EXP(-LN(2)/2)*AB158+(1-EXP(-LN(2)/2))/(LN(2)/2)*V159*Y159*VLOOKUP('Données projet'!$B$9,Paramètres!$A$1:$I$88,3,0)*0.475*44/12</f>
        <v>4.3012856988773221E-21</v>
      </c>
      <c r="AC159" s="22">
        <f t="shared" si="163"/>
        <v>1.6881768687234713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-4.5474735088646412E-13</v>
      </c>
      <c r="AJ159" s="13">
        <f>AI159*VLOOKUP('Données projet'!$B$10,Paramètres!$A$1:$I$88,3,0)*VLOOKUP('Données projet'!$B$10,Paramètres!$A$1:$I$88,5,0)</f>
        <v>-2.7193891583010558E-13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246.59447135626942</v>
      </c>
      <c r="AO159" s="59">
        <f t="shared" si="144"/>
        <v>262.00382544285367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projet'!$B$10,Paramètres!$A$1:$I$88,7,0))</f>
        <v>0</v>
      </c>
      <c r="AS159" s="16">
        <f>IF(ISNA(VLOOKUP(A159,'Données projet'!$A$61:$I$81,6,0)),0%,VLOOKUP(A159,'Données projet'!$A$61:$I$81,6,0)*VLOOKUP('Données projet'!$B$10,Paramètres!$A$1:$I$88,7,0))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projet'!$B$10,Paramètres!$A$1:$I$88,3,0)*0.475*44/12</f>
        <v>0</v>
      </c>
      <c r="AV159" s="21">
        <f>EXP(-LN(2)/25)*AV158+(1-EXP(-LN(2)/25))/(LN(2)/25)*Calculateur!AQ159*Calculateur!AS159*VLOOKUP('Données projet'!$B$10,Paramètres!$A$1:$I$88,3,0)*0.475*44/12</f>
        <v>0.39055936763473442</v>
      </c>
      <c r="AW159" s="21">
        <f>EXP(-LN(2)/2)*AW158+(1-EXP(-LN(2)/2))/(LN(2)/2)*AQ159*AT159*VLOOKUP('Données projet'!$B$10,Paramètres!$A$1:$I$88,3,0)*0.475*44/12</f>
        <v>2.5727423526884884E-18</v>
      </c>
      <c r="AX159" s="21">
        <f t="shared" si="166"/>
        <v>0.39055936763473442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-5.6843418860808015E-13</v>
      </c>
      <c r="BE159" s="13">
        <f>BD159*VLOOKUP('Données projet'!$B$11,Paramètres!$A$1:$I$88,3,0)*VLOOKUP('Données projet'!$B$11,Paramètres!$A$1:$I$88,5,0)</f>
        <v>-3.177547114319168E-13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355.96253323046608</v>
      </c>
      <c r="BJ159" s="59">
        <f t="shared" si="146"/>
        <v>366.8380442809696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projet'!$B$11,Paramètres!$A$1:$I$88,7,0))</f>
        <v>0</v>
      </c>
      <c r="BN159" s="16">
        <f>IF(ISNA(VLOOKUP(A159,'Données projet'!$A$87:$I$107,6,0)),0%,VLOOKUP(A159,'Données projet'!$A$87:$I$107,6,0)*VLOOKUP('Données projet'!$B$11,Paramètres!$A$1:$I$88,7,0))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projet'!$B$11,Paramètres!$A$1:$I$88,3,0)*0.475*44/12</f>
        <v>0</v>
      </c>
      <c r="BQ159" s="21">
        <f>EXP(-LN(2)/25)*BQ158+(1-EXP(-LN(2)/25))/(LN(2)/25)*Calculateur!BL159*Calculateur!BN159*VLOOKUP('Données projet'!$B$11,Paramètres!$A$1:$I$88,3,0)*0.475*44/12</f>
        <v>0.69149070153636205</v>
      </c>
      <c r="BR159" s="21">
        <f>EXP(-LN(2)/2)*BR158+(1-EXP(-LN(2)/2))/(LN(2)/2)*BL159*BO159*VLOOKUP('Données projet'!$B$11,Paramètres!$A$1:$I$88,3,0)*0.475*44/12</f>
        <v>3.9778788843008645E-18</v>
      </c>
      <c r="BS159" s="22">
        <f t="shared" si="169"/>
        <v>0.69149070153636205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projet'!$B$12,Paramètres!$A$1:$I$88,3,0)*VLOOKUP('Données projet'!$B$12,Paramètres!$A$1:$I$88,5,0)</f>
        <v>3.7243808037601412E-14</v>
      </c>
      <c r="CA159" s="13">
        <f t="shared" si="170"/>
        <v>6.2767589361185393E-13</v>
      </c>
      <c r="CB159" s="20">
        <f t="shared" si="171"/>
        <v>1.1580684803728015E-12</v>
      </c>
      <c r="CC159" s="59">
        <f t="shared" si="119"/>
        <v>293.33333333333445</v>
      </c>
      <c r="CD159" s="59">
        <f ca="1">AVERAGE(OFFSET($CC$3,0,0,'Données projet'!$E$12+1,1))-AVERAGE(OFFSET($H$3,0,0,'Données projet'!$E$12+1,1))</f>
        <v>180.90147430936133</v>
      </c>
      <c r="CE159" s="59">
        <f t="shared" si="148"/>
        <v>226.87949199830018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projet'!$B$12,Paramètres!$A$1:$I$88,7,0))</f>
        <v>0</v>
      </c>
      <c r="CI159" s="16">
        <f>IF(ISNA(VLOOKUP(A159,'Données projet'!$A$113:$I$133,6,0)),0%,VLOOKUP(A159,'Données projet'!$A$113:$I$133,6,0)*VLOOKUP('Données projet'!$B$12,Paramètres!$A$1:$I$88,7,0))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projet'!$B$12,Paramètres!$A$1:$I$88,3,0)*0.475*44/12</f>
        <v>0</v>
      </c>
      <c r="CL159" s="21">
        <f>EXP(-LN(2)/25)*CL158+(1-EXP(-LN(2)/25))/(LN(2)/25)*Calculateur!CG159*Calculateur!CI159*VLOOKUP('Données projet'!$B$12,Paramètres!$A$1:$I$88,3,0)*0.475*44/12</f>
        <v>0.20883311383645659</v>
      </c>
      <c r="CM159" s="21">
        <f>EXP(-LN(2)/2)*CM158+(1-EXP(-LN(2)/2))/(LN(2)/2)*CG159*CJ159*VLOOKUP('Données projet'!$B$12,Paramètres!$A$1:$I$88,3,0)*0.475*44/12</f>
        <v>9.6086982264485566E-19</v>
      </c>
      <c r="CN159" s="22">
        <f t="shared" si="172"/>
        <v>0.20883311383645659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5.6843418860808015E-14</v>
      </c>
      <c r="CU159" s="17">
        <f>CT159*VLOOKUP('Données projet'!$B$13,Paramètres!$A$1:$I$88,3,0)*VLOOKUP('Données projet'!$B$13,Paramètres!$A$1:$I$88,5,0)</f>
        <v>2.8908289095852525E-14</v>
      </c>
      <c r="CV159" s="13">
        <f t="shared" si="173"/>
        <v>5.0177780569126974E-13</v>
      </c>
      <c r="CW159" s="20">
        <f t="shared" si="174"/>
        <v>9.2427828175423786E-13</v>
      </c>
      <c r="CX159" s="59">
        <f t="shared" si="122"/>
        <v>293.33333333333422</v>
      </c>
      <c r="CY159" s="59">
        <f ca="1">AVERAGE(OFFSET($CX$3,0,0,'Données projet'!$E$13+1,1))-AVERAGE(OFFSET($H$3,0,0,'Données projet'!$E$13+1,1))</f>
        <v>133.08385802816008</v>
      </c>
      <c r="CZ159" s="59">
        <f t="shared" si="150"/>
        <v>316.59112511251385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projet'!$B$13,Paramètres!$A$1:$I$88,7,0))</f>
        <v>0</v>
      </c>
      <c r="DD159" s="16">
        <f>IF(ISNA(VLOOKUP(A159,'Données projet'!$A$139:$I$159,6,0)),0%,VLOOKUP(A159,'Données projet'!$A$139:$I$159,6,0)*VLOOKUP('Données projet'!$B$13,Paramètres!$A$1:$I$88,7,0))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projet'!$B$13,Paramètres!$A$1:$I$88,3,0)*0.475*44/12</f>
        <v>5.9547772556120435</v>
      </c>
      <c r="DG159" s="21">
        <f>EXP(-LN(2)/25)*DG158+(1-EXP(-LN(2)/25))/(LN(2)/25)*Calculateur!DB159*Calculateur!DD159*VLOOKUP('Données projet'!$B$13,Paramètres!$A$1:$I$88,3,0)*0.475*44/12</f>
        <v>0</v>
      </c>
      <c r="DH159" s="21">
        <f>EXP(-LN(2)/2)*DH158+(1-EXP(-LN(2)/2))/(LN(2)/2)*DB159*DE159*VLOOKUP('Données projet'!$B$13,Paramètres!$A$1:$I$88,3,0)*0.475*44/12</f>
        <v>6.1305167719011127E-19</v>
      </c>
      <c r="DI159" s="22">
        <f t="shared" si="175"/>
        <v>5.9547772556120435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projet'!$B$14,Paramètres!$A$1:$I$88,3,0)*VLOOKUP('Données projet'!$B$14,Paramètres!$A$1:$I$88,5,0)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projet'!$B$14,Paramètres!$A$1:$I$88,7,0))</f>
        <v>0</v>
      </c>
      <c r="DY159" s="16">
        <f>IF(ISNA(VLOOKUP(A159,'Données projet'!$A$165:$I$185,6,0)),0%,VLOOKUP(A159,'Données projet'!$A$165:$I$185,6,0)*VLOOKUP('Données projet'!$B$14,Paramètres!$A$1:$I$88,7,0))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projet'!$B$14,Paramètres!$A$1:$I$88,3,0)*0.475*44/12</f>
        <v>#N/A</v>
      </c>
      <c r="EB159" s="21" t="e">
        <f>EXP(-LN(2)/25)*EB158+(1-EXP(-LN(2)/25))/(LN(2)/25)*Calculateur!DW159*Calculateur!DY159*VLOOKUP('Données projet'!$B$14,Paramètres!$A$1:$I$88,3,0)*0.475*44/12</f>
        <v>#N/A</v>
      </c>
      <c r="EC159" s="21" t="e">
        <f>EXP(-LN(2)/2)*EC158+(1-EXP(-LN(2)/2))/(LN(2)/2)*DW159*DZ159*VLOOKUP('Données projet'!$B$14,Paramètres!$A$1:$I$88,3,0)*0.475*44/12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projet'!$B$15,Paramètres!$A$1:$I$88,3,0)*VLOOKUP('Données projet'!$B$15,Paramètres!$A$1:$I$88,5,0)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projet'!$B$15,Paramètres!$A$1:$I$88,7,0))</f>
        <v>0</v>
      </c>
      <c r="ET159" s="16">
        <f>IF(ISNA(VLOOKUP(A159,'Données projet'!$A$191:$I$211,6,0)),0%,VLOOKUP(A159,'Données projet'!$A$191:$I$211,6,0)*VLOOKUP('Données projet'!$B$15,Paramètres!$A$1:$I$88,7,0))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projet'!$B$15,Paramètres!$A$1:$I$88,3,0)*0.475*44/12</f>
        <v>#N/A</v>
      </c>
      <c r="EW159" s="21" t="e">
        <f>EXP(-LN(2)/25)*EW158+(1-EXP(-LN(2)/25))/(LN(2)/25)*Calculateur!ER159*Calculateur!ET159*VLOOKUP('Données projet'!$B$15,Paramètres!$A$1:$I$88,3,0)*0.475*44/12</f>
        <v>#N/A</v>
      </c>
      <c r="EX159" s="21" t="e">
        <f>EXP(-LN(2)/2)*EX158+(1-EXP(-LN(2)/2))/(LN(2)/2)*ER159*EU159*VLOOKUP('Données projet'!$B$15,Paramètres!$A$1:$I$88,3,0)*0.475*44/12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projet'!$B$16,Paramètres!$A$1:$I$88,3,0)*VLOOKUP('Données projet'!$B$16,Paramètres!$A$1:$I$88,5,0)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projet'!$B$16,Paramètres!$A$1:$I$88,7,0))</f>
        <v>0</v>
      </c>
      <c r="FO159" s="16">
        <f>IF(ISNA(VLOOKUP(A159,'Données projet'!$A$217:$I$237,6,0)),0%,VLOOKUP(A159,'Données projet'!$A$217:$I$237,6,0)*VLOOKUP('Données projet'!$B$16,Paramètres!$A$1:$I$88,7,0))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projet'!$B$16,Paramètres!$A$1:$I$88,3,0)*0.475*44/12</f>
        <v>#N/A</v>
      </c>
      <c r="FR159" s="21" t="e">
        <f>EXP(-LN(2)/25)*FR158+(1-EXP(-LN(2)/25))/(LN(2)/25)*Calculateur!FM159*Calculateur!FO159*VLOOKUP('Données projet'!$B$16,Paramètres!$A$1:$I$88,3,0)*0.475*44/12</f>
        <v>#N/A</v>
      </c>
      <c r="FS159" s="21" t="e">
        <f>EXP(-LN(2)/2)*FS158+(1-EXP(-LN(2)/2))/(LN(2)/2)*FM159*FP159*VLOOKUP('Données projet'!$B$16,Paramètres!$A$1:$I$88,3,0)*0.475*44/12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projet'!$B$17,Paramètres!$A$1:$I$88,3,0)*VLOOKUP('Données projet'!$B$17,Paramètres!$A$1:$I$88,5,0)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projet'!$B$17,Paramètres!$A$1:$I$88,7,0))</f>
        <v>0</v>
      </c>
      <c r="GJ159" s="16">
        <f>IF(ISNA(VLOOKUP(A159,'Données projet'!$A$243:$I$263,6,0)),0%,VLOOKUP(A159,'Données projet'!$A$243:$I$263,6,0)*VLOOKUP('Données projet'!$B$17,Paramètres!$A$1:$I$88,7,0))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projet'!$B$17,Paramètres!$A$1:$I$88,3,0)*0.475*44/12</f>
        <v>#N/A</v>
      </c>
      <c r="GM159" s="21" t="e">
        <f>EXP(-LN(2)/25)*GM158+(1-EXP(-LN(2)/25))/(LN(2)/25)*Calculateur!GH159*Calculateur!GJ159*VLOOKUP('Données projet'!$B$17,Paramètres!$A$1:$I$88,3,0)*0.475*44/12</f>
        <v>#N/A</v>
      </c>
      <c r="GN159" s="21" t="e">
        <f>EXP(-LN(2)/2)*GN158+(1-EXP(-LN(2)/2))/(LN(2)/2)*GH159*GK159*VLOOKUP('Données projet'!$B$17,Paramètres!$A$1:$I$88,3,0)*0.475*44/12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projet'!$B$18,Paramètres!$A$1:$I$88,3,0)*VLOOKUP('Données projet'!$B$18,Paramètres!$A$1:$I$88,5,0)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projet'!$B$18,Paramètres!$A$1:$I$88,7,0))</f>
        <v>0</v>
      </c>
      <c r="HE159" s="16">
        <f>IF(ISNA(VLOOKUP(A159,'Données projet'!$A$269:$I$289,6,0)),0%,VLOOKUP(A159,'Données projet'!$A$269:$I$289,6,0)*VLOOKUP('Données projet'!$B$18,Paramètres!$A$1:$I$88,7,0))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projet'!$B$18,Paramètres!$A$1:$I$88,3,0)*0.475*44/12</f>
        <v>#N/A</v>
      </c>
      <c r="HH159" s="21" t="e">
        <f>EXP(-LN(2)/25)*HH158+(1-EXP(-LN(2)/25))/(LN(2)/25)*Calculateur!HC159*Calculateur!HE159*VLOOKUP('Données projet'!$B$18,Paramètres!$A$1:$I$88,3,0)*0.475*44/12</f>
        <v>#N/A</v>
      </c>
      <c r="HI159" s="21" t="e">
        <f>EXP(-LN(2)/2)*HI158+(1-EXP(-LN(2)/2))/(LN(2)/2)*HC159*HF159*VLOOKUP('Données projet'!$B$18,Paramètres!$A$1:$I$88,3,0)*0.475*44/12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projet'!$B$9,Paramètres!$A$1:$I$88,3,0)*VLOOKUP('Données projet'!$B$9,Paramètres!$A$1:$I$88,5,0)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195.73441209602686</v>
      </c>
      <c r="T160" s="59">
        <f t="shared" si="142"/>
        <v>219.19129224309006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projet'!$B$9,Paramètres!$A$1:$I$88,7,0))</f>
        <v>0</v>
      </c>
      <c r="X160" s="16">
        <f>IF(ISNA(VLOOKUP(A160,'Données projet'!$A$35:$I$55,6,0)),0%,VLOOKUP(A160,'Données projet'!$A$35:$I$55,6,0)*VLOOKUP('Données projet'!$B$9,Paramètres!$A$1:$I$88,7,0))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projet'!$B$9,Paramètres!$A$1:$I$88,3,0)*0.475*44/12</f>
        <v>1.2331828744075073</v>
      </c>
      <c r="AA160" s="21">
        <f>EXP(-LN(2)/25)*AA159+(1-EXP(-LN(2)/25))/(LN(2)/25)*Calculateur!V160*Calculateur!X160*VLOOKUP('Données projet'!$B$9,Paramètres!$A$1:$I$88,3,0)*0.475*44/12</f>
        <v>0.41856100069852531</v>
      </c>
      <c r="AB160" s="21">
        <f>EXP(-LN(2)/2)*AB159+(1-EXP(-LN(2)/2))/(LN(2)/2)*V160*Y160*VLOOKUP('Données projet'!$B$9,Paramètres!$A$1:$I$88,3,0)*0.475*44/12</f>
        <v>3.0414682854968728E-21</v>
      </c>
      <c r="AC160" s="22">
        <f t="shared" si="163"/>
        <v>1.6517438751060327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-4.5474735088646412E-13</v>
      </c>
      <c r="AJ160" s="13">
        <f>AI160*VLOOKUP('Données projet'!$B$10,Paramètres!$A$1:$I$88,3,0)*VLOOKUP('Données projet'!$B$10,Paramètres!$A$1:$I$88,5,0)</f>
        <v>-2.7193891583010558E-13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246.59447135626942</v>
      </c>
      <c r="AO160" s="59">
        <f t="shared" si="144"/>
        <v>262.00382544285367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projet'!$B$10,Paramètres!$A$1:$I$88,7,0))</f>
        <v>0</v>
      </c>
      <c r="AS160" s="16">
        <f>IF(ISNA(VLOOKUP(A160,'Données projet'!$A$61:$I$81,6,0)),0%,VLOOKUP(A160,'Données projet'!$A$61:$I$81,6,0)*VLOOKUP('Données projet'!$B$10,Paramètres!$A$1:$I$88,7,0))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projet'!$B$10,Paramètres!$A$1:$I$88,3,0)*0.475*44/12</f>
        <v>0</v>
      </c>
      <c r="AV160" s="21">
        <f>EXP(-LN(2)/25)*AV159+(1-EXP(-LN(2)/25))/(LN(2)/25)*Calculateur!AQ160*Calculateur!AS160*VLOOKUP('Données projet'!$B$10,Paramètres!$A$1:$I$88,3,0)*0.475*44/12</f>
        <v>0.37987950118813812</v>
      </c>
      <c r="AW160" s="21">
        <f>EXP(-LN(2)/2)*AW159+(1-EXP(-LN(2)/2))/(LN(2)/2)*AQ160*AT160*VLOOKUP('Données projet'!$B$10,Paramètres!$A$1:$I$88,3,0)*0.475*44/12</f>
        <v>1.8192035638318624E-18</v>
      </c>
      <c r="AX160" s="21">
        <f t="shared" si="166"/>
        <v>0.37987950118813812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-5.6843418860808015E-13</v>
      </c>
      <c r="BE160" s="13">
        <f>BD160*VLOOKUP('Données projet'!$B$11,Paramètres!$A$1:$I$88,3,0)*VLOOKUP('Données projet'!$B$11,Paramètres!$A$1:$I$88,5,0)</f>
        <v>-3.177547114319168E-13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355.96253323046608</v>
      </c>
      <c r="BJ160" s="59">
        <f t="shared" si="146"/>
        <v>366.8380442809696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projet'!$B$11,Paramètres!$A$1:$I$88,7,0))</f>
        <v>0</v>
      </c>
      <c r="BN160" s="16">
        <f>IF(ISNA(VLOOKUP(A160,'Données projet'!$A$87:$I$107,6,0)),0%,VLOOKUP(A160,'Données projet'!$A$87:$I$107,6,0)*VLOOKUP('Données projet'!$B$11,Paramètres!$A$1:$I$88,7,0))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projet'!$B$11,Paramètres!$A$1:$I$88,3,0)*0.475*44/12</f>
        <v>0</v>
      </c>
      <c r="BQ160" s="21">
        <f>EXP(-LN(2)/25)*BQ159+(1-EXP(-LN(2)/25))/(LN(2)/25)*Calculateur!BL160*Calculateur!BN160*VLOOKUP('Données projet'!$B$11,Paramètres!$A$1:$I$88,3,0)*0.475*44/12</f>
        <v>0.67258185193893472</v>
      </c>
      <c r="BR160" s="21">
        <f>EXP(-LN(2)/2)*BR159+(1-EXP(-LN(2)/2))/(LN(2)/2)*BL160*BO160*VLOOKUP('Données projet'!$B$11,Paramètres!$A$1:$I$88,3,0)*0.475*44/12</f>
        <v>2.8127851338279193E-18</v>
      </c>
      <c r="BS160" s="22">
        <f t="shared" si="169"/>
        <v>0.67258185193893472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projet'!$B$12,Paramètres!$A$1:$I$88,3,0)*VLOOKUP('Données projet'!$B$12,Paramètres!$A$1:$I$88,5,0)</f>
        <v>3.7243808037601412E-14</v>
      </c>
      <c r="CA160" s="13">
        <f t="shared" si="170"/>
        <v>6.2767589361185393E-13</v>
      </c>
      <c r="CB160" s="20">
        <f t="shared" si="171"/>
        <v>1.1580684803728015E-12</v>
      </c>
      <c r="CC160" s="59">
        <f t="shared" si="119"/>
        <v>293.33333333333445</v>
      </c>
      <c r="CD160" s="59">
        <f ca="1">AVERAGE(OFFSET($CC$3,0,0,'Données projet'!$E$12+1,1))-AVERAGE(OFFSET($H$3,0,0,'Données projet'!$E$12+1,1))</f>
        <v>180.90147430936133</v>
      </c>
      <c r="CE160" s="59">
        <f t="shared" si="148"/>
        <v>226.87949199830018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projet'!$B$12,Paramètres!$A$1:$I$88,7,0))</f>
        <v>0</v>
      </c>
      <c r="CI160" s="16">
        <f>IF(ISNA(VLOOKUP(A160,'Données projet'!$A$113:$I$133,6,0)),0%,VLOOKUP(A160,'Données projet'!$A$113:$I$133,6,0)*VLOOKUP('Données projet'!$B$12,Paramètres!$A$1:$I$88,7,0))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projet'!$B$12,Paramètres!$A$1:$I$88,3,0)*0.475*44/12</f>
        <v>0</v>
      </c>
      <c r="CL160" s="21">
        <f>EXP(-LN(2)/25)*CL159+(1-EXP(-LN(2)/25))/(LN(2)/25)*Calculateur!CG160*Calculateur!CI160*VLOOKUP('Données projet'!$B$12,Paramètres!$A$1:$I$88,3,0)*0.475*44/12</f>
        <v>0.20312256135654252</v>
      </c>
      <c r="CM160" s="21">
        <f>EXP(-LN(2)/2)*CM159+(1-EXP(-LN(2)/2))/(LN(2)/2)*CG160*CJ160*VLOOKUP('Données projet'!$B$12,Paramètres!$A$1:$I$88,3,0)*0.475*44/12</f>
        <v>6.794375674296927E-19</v>
      </c>
      <c r="CN160" s="22">
        <f t="shared" si="172"/>
        <v>0.20312256135654252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5.6843418860808015E-14</v>
      </c>
      <c r="CU160" s="17">
        <f>CT160*VLOOKUP('Données projet'!$B$13,Paramètres!$A$1:$I$88,3,0)*VLOOKUP('Données projet'!$B$13,Paramètres!$A$1:$I$88,5,0)</f>
        <v>2.8908289095852525E-14</v>
      </c>
      <c r="CV160" s="13">
        <f t="shared" si="173"/>
        <v>5.0177780569126974E-13</v>
      </c>
      <c r="CW160" s="20">
        <f t="shared" si="174"/>
        <v>9.2427828175423786E-13</v>
      </c>
      <c r="CX160" s="59">
        <f t="shared" si="122"/>
        <v>293.33333333333422</v>
      </c>
      <c r="CY160" s="59">
        <f ca="1">AVERAGE(OFFSET($CX$3,0,0,'Données projet'!$E$13+1,1))-AVERAGE(OFFSET($H$3,0,0,'Données projet'!$E$13+1,1))</f>
        <v>133.08385802816008</v>
      </c>
      <c r="CZ160" s="59">
        <f t="shared" si="150"/>
        <v>316.59112511251385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projet'!$B$13,Paramètres!$A$1:$I$88,7,0))</f>
        <v>0</v>
      </c>
      <c r="DD160" s="16">
        <f>IF(ISNA(VLOOKUP(A160,'Données projet'!$A$139:$I$159,6,0)),0%,VLOOKUP(A160,'Données projet'!$A$139:$I$159,6,0)*VLOOKUP('Données projet'!$B$13,Paramètres!$A$1:$I$88,7,0))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projet'!$B$13,Paramètres!$A$1:$I$88,3,0)*0.475*44/12</f>
        <v>5.8380077056849817</v>
      </c>
      <c r="DG160" s="21">
        <f>EXP(-LN(2)/25)*DG159+(1-EXP(-LN(2)/25))/(LN(2)/25)*Calculateur!DB160*Calculateur!DD160*VLOOKUP('Données projet'!$B$13,Paramètres!$A$1:$I$88,3,0)*0.475*44/12</f>
        <v>0</v>
      </c>
      <c r="DH160" s="21">
        <f>EXP(-LN(2)/2)*DH159+(1-EXP(-LN(2)/2))/(LN(2)/2)*DB160*DE160*VLOOKUP('Données projet'!$B$13,Paramètres!$A$1:$I$88,3,0)*0.475*44/12</f>
        <v>4.33492998158914E-19</v>
      </c>
      <c r="DI160" s="22">
        <f t="shared" si="175"/>
        <v>5.8380077056849817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projet'!$B$14,Paramètres!$A$1:$I$88,3,0)*VLOOKUP('Données projet'!$B$14,Paramètres!$A$1:$I$88,5,0)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projet'!$B$14,Paramètres!$A$1:$I$88,7,0))</f>
        <v>0</v>
      </c>
      <c r="DY160" s="16">
        <f>IF(ISNA(VLOOKUP(A160,'Données projet'!$A$165:$I$185,6,0)),0%,VLOOKUP(A160,'Données projet'!$A$165:$I$185,6,0)*VLOOKUP('Données projet'!$B$14,Paramètres!$A$1:$I$88,7,0))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projet'!$B$14,Paramètres!$A$1:$I$88,3,0)*0.475*44/12</f>
        <v>#N/A</v>
      </c>
      <c r="EB160" s="21" t="e">
        <f>EXP(-LN(2)/25)*EB159+(1-EXP(-LN(2)/25))/(LN(2)/25)*Calculateur!DW160*Calculateur!DY160*VLOOKUP('Données projet'!$B$14,Paramètres!$A$1:$I$88,3,0)*0.475*44/12</f>
        <v>#N/A</v>
      </c>
      <c r="EC160" s="21" t="e">
        <f>EXP(-LN(2)/2)*EC159+(1-EXP(-LN(2)/2))/(LN(2)/2)*DW160*DZ160*VLOOKUP('Données projet'!$B$14,Paramètres!$A$1:$I$88,3,0)*0.475*44/12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projet'!$B$15,Paramètres!$A$1:$I$88,3,0)*VLOOKUP('Données projet'!$B$15,Paramètres!$A$1:$I$88,5,0)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projet'!$B$15,Paramètres!$A$1:$I$88,7,0))</f>
        <v>0</v>
      </c>
      <c r="ET160" s="16">
        <f>IF(ISNA(VLOOKUP(A160,'Données projet'!$A$191:$I$211,6,0)),0%,VLOOKUP(A160,'Données projet'!$A$191:$I$211,6,0)*VLOOKUP('Données projet'!$B$15,Paramètres!$A$1:$I$88,7,0))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projet'!$B$15,Paramètres!$A$1:$I$88,3,0)*0.475*44/12</f>
        <v>#N/A</v>
      </c>
      <c r="EW160" s="21" t="e">
        <f>EXP(-LN(2)/25)*EW159+(1-EXP(-LN(2)/25))/(LN(2)/25)*Calculateur!ER160*Calculateur!ET160*VLOOKUP('Données projet'!$B$15,Paramètres!$A$1:$I$88,3,0)*0.475*44/12</f>
        <v>#N/A</v>
      </c>
      <c r="EX160" s="21" t="e">
        <f>EXP(-LN(2)/2)*EX159+(1-EXP(-LN(2)/2))/(LN(2)/2)*ER160*EU160*VLOOKUP('Données projet'!$B$15,Paramètres!$A$1:$I$88,3,0)*0.475*44/12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projet'!$B$16,Paramètres!$A$1:$I$88,3,0)*VLOOKUP('Données projet'!$B$16,Paramètres!$A$1:$I$88,5,0)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projet'!$B$16,Paramètres!$A$1:$I$88,7,0))</f>
        <v>0</v>
      </c>
      <c r="FO160" s="16">
        <f>IF(ISNA(VLOOKUP(A160,'Données projet'!$A$217:$I$237,6,0)),0%,VLOOKUP(A160,'Données projet'!$A$217:$I$237,6,0)*VLOOKUP('Données projet'!$B$16,Paramètres!$A$1:$I$88,7,0))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projet'!$B$16,Paramètres!$A$1:$I$88,3,0)*0.475*44/12</f>
        <v>#N/A</v>
      </c>
      <c r="FR160" s="21" t="e">
        <f>EXP(-LN(2)/25)*FR159+(1-EXP(-LN(2)/25))/(LN(2)/25)*Calculateur!FM160*Calculateur!FO160*VLOOKUP('Données projet'!$B$16,Paramètres!$A$1:$I$88,3,0)*0.475*44/12</f>
        <v>#N/A</v>
      </c>
      <c r="FS160" s="21" t="e">
        <f>EXP(-LN(2)/2)*FS159+(1-EXP(-LN(2)/2))/(LN(2)/2)*FM160*FP160*VLOOKUP('Données projet'!$B$16,Paramètres!$A$1:$I$88,3,0)*0.475*44/12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projet'!$B$17,Paramètres!$A$1:$I$88,3,0)*VLOOKUP('Données projet'!$B$17,Paramètres!$A$1:$I$88,5,0)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projet'!$B$17,Paramètres!$A$1:$I$88,7,0))</f>
        <v>0</v>
      </c>
      <c r="GJ160" s="16">
        <f>IF(ISNA(VLOOKUP(A160,'Données projet'!$A$243:$I$263,6,0)),0%,VLOOKUP(A160,'Données projet'!$A$243:$I$263,6,0)*VLOOKUP('Données projet'!$B$17,Paramètres!$A$1:$I$88,7,0))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projet'!$B$17,Paramètres!$A$1:$I$88,3,0)*0.475*44/12</f>
        <v>#N/A</v>
      </c>
      <c r="GM160" s="21" t="e">
        <f>EXP(-LN(2)/25)*GM159+(1-EXP(-LN(2)/25))/(LN(2)/25)*Calculateur!GH160*Calculateur!GJ160*VLOOKUP('Données projet'!$B$17,Paramètres!$A$1:$I$88,3,0)*0.475*44/12</f>
        <v>#N/A</v>
      </c>
      <c r="GN160" s="21" t="e">
        <f>EXP(-LN(2)/2)*GN159+(1-EXP(-LN(2)/2))/(LN(2)/2)*GH160*GK160*VLOOKUP('Données projet'!$B$17,Paramètres!$A$1:$I$88,3,0)*0.475*44/12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projet'!$B$18,Paramètres!$A$1:$I$88,3,0)*VLOOKUP('Données projet'!$B$18,Paramètres!$A$1:$I$88,5,0)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projet'!$B$18,Paramètres!$A$1:$I$88,7,0))</f>
        <v>0</v>
      </c>
      <c r="HE160" s="16">
        <f>IF(ISNA(VLOOKUP(A160,'Données projet'!$A$269:$I$289,6,0)),0%,VLOOKUP(A160,'Données projet'!$A$269:$I$289,6,0)*VLOOKUP('Données projet'!$B$18,Paramètres!$A$1:$I$88,7,0))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projet'!$B$18,Paramètres!$A$1:$I$88,3,0)*0.475*44/12</f>
        <v>#N/A</v>
      </c>
      <c r="HH160" s="21" t="e">
        <f>EXP(-LN(2)/25)*HH159+(1-EXP(-LN(2)/25))/(LN(2)/25)*Calculateur!HC160*Calculateur!HE160*VLOOKUP('Données projet'!$B$18,Paramètres!$A$1:$I$88,3,0)*0.475*44/12</f>
        <v>#N/A</v>
      </c>
      <c r="HI160" s="21" t="e">
        <f>EXP(-LN(2)/2)*HI159+(1-EXP(-LN(2)/2))/(LN(2)/2)*HC160*HF160*VLOOKUP('Données projet'!$B$18,Paramètres!$A$1:$I$88,3,0)*0.475*44/12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projet'!$B$9,Paramètres!$A$1:$I$88,3,0)*VLOOKUP('Données projet'!$B$9,Paramètres!$A$1:$I$88,5,0)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195.73441209602686</v>
      </c>
      <c r="T161" s="59">
        <f t="shared" si="142"/>
        <v>219.19129224309006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projet'!$B$9,Paramètres!$A$1:$I$88,7,0))</f>
        <v>0</v>
      </c>
      <c r="X161" s="16">
        <f>IF(ISNA(VLOOKUP(A161,'Données projet'!$A$35:$I$55,6,0)),0%,VLOOKUP(A161,'Données projet'!$A$35:$I$55,6,0)*VLOOKUP('Données projet'!$B$9,Paramètres!$A$1:$I$88,7,0))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projet'!$B$9,Paramètres!$A$1:$I$88,3,0)*0.475*44/12</f>
        <v>1.2090009104076591</v>
      </c>
      <c r="AA161" s="21">
        <f>EXP(-LN(2)/25)*AA160+(1-EXP(-LN(2)/25))/(LN(2)/25)*Calculateur!V161*Calculateur!X161*VLOOKUP('Données projet'!$B$9,Paramètres!$A$1:$I$88,3,0)*0.475*44/12</f>
        <v>0.40711542812325774</v>
      </c>
      <c r="AB161" s="21">
        <f>EXP(-LN(2)/2)*AB160+(1-EXP(-LN(2)/2))/(LN(2)/2)*V161*Y161*VLOOKUP('Données projet'!$B$9,Paramètres!$A$1:$I$88,3,0)*0.475*44/12</f>
        <v>2.150642849438661E-21</v>
      </c>
      <c r="AC161" s="22">
        <f t="shared" si="163"/>
        <v>1.616116338530917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-4.5474735088646412E-13</v>
      </c>
      <c r="AJ161" s="13">
        <f>AI161*VLOOKUP('Données projet'!$B$10,Paramètres!$A$1:$I$88,3,0)*VLOOKUP('Données projet'!$B$10,Paramètres!$A$1:$I$88,5,0)</f>
        <v>-2.7193891583010558E-13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246.59447135626942</v>
      </c>
      <c r="AO161" s="59">
        <f t="shared" si="144"/>
        <v>262.00382544285367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projet'!$B$10,Paramètres!$A$1:$I$88,7,0))</f>
        <v>0</v>
      </c>
      <c r="AS161" s="16">
        <f>IF(ISNA(VLOOKUP(A161,'Données projet'!$A$61:$I$81,6,0)),0%,VLOOKUP(A161,'Données projet'!$A$61:$I$81,6,0)*VLOOKUP('Données projet'!$B$10,Paramètres!$A$1:$I$88,7,0))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projet'!$B$10,Paramètres!$A$1:$I$88,3,0)*0.475*44/12</f>
        <v>0</v>
      </c>
      <c r="AV161" s="21">
        <f>EXP(-LN(2)/25)*AV160+(1-EXP(-LN(2)/25))/(LN(2)/25)*Calculateur!AQ161*Calculateur!AS161*VLOOKUP('Données projet'!$B$10,Paramètres!$A$1:$I$88,3,0)*0.475*44/12</f>
        <v>0.36949167625115376</v>
      </c>
      <c r="AW161" s="21">
        <f>EXP(-LN(2)/2)*AW160+(1-EXP(-LN(2)/2))/(LN(2)/2)*AQ161*AT161*VLOOKUP('Données projet'!$B$10,Paramètres!$A$1:$I$88,3,0)*0.475*44/12</f>
        <v>1.2863711763442442E-18</v>
      </c>
      <c r="AX161" s="21">
        <f t="shared" si="166"/>
        <v>0.36949167625115376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-5.6843418860808015E-13</v>
      </c>
      <c r="BE161" s="13">
        <f>BD161*VLOOKUP('Données projet'!$B$11,Paramètres!$A$1:$I$88,3,0)*VLOOKUP('Données projet'!$B$11,Paramètres!$A$1:$I$88,5,0)</f>
        <v>-3.177547114319168E-13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355.96253323046608</v>
      </c>
      <c r="BJ161" s="59">
        <f t="shared" si="146"/>
        <v>366.8380442809696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projet'!$B$11,Paramètres!$A$1:$I$88,7,0))</f>
        <v>0</v>
      </c>
      <c r="BN161" s="16">
        <f>IF(ISNA(VLOOKUP(A161,'Données projet'!$A$87:$I$107,6,0)),0%,VLOOKUP(A161,'Données projet'!$A$87:$I$107,6,0)*VLOOKUP('Données projet'!$B$11,Paramètres!$A$1:$I$88,7,0))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projet'!$B$11,Paramètres!$A$1:$I$88,3,0)*0.475*44/12</f>
        <v>0</v>
      </c>
      <c r="BQ161" s="21">
        <f>EXP(-LN(2)/25)*BQ160+(1-EXP(-LN(2)/25))/(LN(2)/25)*Calculateur!BL161*Calculateur!BN161*VLOOKUP('Données projet'!$B$11,Paramètres!$A$1:$I$88,3,0)*0.475*44/12</f>
        <v>0.65419006582812211</v>
      </c>
      <c r="BR161" s="21">
        <f>EXP(-LN(2)/2)*BR160+(1-EXP(-LN(2)/2))/(LN(2)/2)*BL161*BO161*VLOOKUP('Données projet'!$B$11,Paramètres!$A$1:$I$88,3,0)*0.475*44/12</f>
        <v>1.9889394421504323E-18</v>
      </c>
      <c r="BS161" s="22">
        <f t="shared" si="169"/>
        <v>0.65419006582812211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projet'!$B$12,Paramètres!$A$1:$I$88,3,0)*VLOOKUP('Données projet'!$B$12,Paramètres!$A$1:$I$88,5,0)</f>
        <v>3.7243808037601412E-14</v>
      </c>
      <c r="CA161" s="13">
        <f t="shared" si="170"/>
        <v>6.2767589361185393E-13</v>
      </c>
      <c r="CB161" s="20">
        <f t="shared" si="171"/>
        <v>1.1580684803728015E-12</v>
      </c>
      <c r="CC161" s="59">
        <f t="shared" si="119"/>
        <v>293.33333333333445</v>
      </c>
      <c r="CD161" s="59">
        <f ca="1">AVERAGE(OFFSET($CC$3,0,0,'Données projet'!$E$12+1,1))-AVERAGE(OFFSET($H$3,0,0,'Données projet'!$E$12+1,1))</f>
        <v>180.90147430936133</v>
      </c>
      <c r="CE161" s="59">
        <f t="shared" si="148"/>
        <v>226.87949199830018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projet'!$B$12,Paramètres!$A$1:$I$88,7,0))</f>
        <v>0</v>
      </c>
      <c r="CI161" s="16">
        <f>IF(ISNA(VLOOKUP(A161,'Données projet'!$A$113:$I$133,6,0)),0%,VLOOKUP(A161,'Données projet'!$A$113:$I$133,6,0)*VLOOKUP('Données projet'!$B$12,Paramètres!$A$1:$I$88,7,0))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projet'!$B$12,Paramètres!$A$1:$I$88,3,0)*0.475*44/12</f>
        <v>0</v>
      </c>
      <c r="CL161" s="21">
        <f>EXP(-LN(2)/25)*CL160+(1-EXP(-LN(2)/25))/(LN(2)/25)*Calculateur!CG161*Calculateur!CI161*VLOOKUP('Données projet'!$B$12,Paramètres!$A$1:$I$88,3,0)*0.475*44/12</f>
        <v>0.19756816423449661</v>
      </c>
      <c r="CM161" s="21">
        <f>EXP(-LN(2)/2)*CM160+(1-EXP(-LN(2)/2))/(LN(2)/2)*CG161*CJ161*VLOOKUP('Données projet'!$B$12,Paramètres!$A$1:$I$88,3,0)*0.475*44/12</f>
        <v>4.8043491132242783E-19</v>
      </c>
      <c r="CN161" s="22">
        <f t="shared" si="172"/>
        <v>0.19756816423449661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5.6843418860808015E-14</v>
      </c>
      <c r="CU161" s="17">
        <f>CT161*VLOOKUP('Données projet'!$B$13,Paramètres!$A$1:$I$88,3,0)*VLOOKUP('Données projet'!$B$13,Paramètres!$A$1:$I$88,5,0)</f>
        <v>2.8908289095852525E-14</v>
      </c>
      <c r="CV161" s="13">
        <f t="shared" si="173"/>
        <v>5.0177780569126974E-13</v>
      </c>
      <c r="CW161" s="20">
        <f t="shared" si="174"/>
        <v>9.2427828175423786E-13</v>
      </c>
      <c r="CX161" s="59">
        <f t="shared" si="122"/>
        <v>293.33333333333422</v>
      </c>
      <c r="CY161" s="59">
        <f ca="1">AVERAGE(OFFSET($CX$3,0,0,'Données projet'!$E$13+1,1))-AVERAGE(OFFSET($H$3,0,0,'Données projet'!$E$13+1,1))</f>
        <v>133.08385802816008</v>
      </c>
      <c r="CZ161" s="59">
        <f t="shared" si="150"/>
        <v>316.59112511251385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projet'!$B$13,Paramètres!$A$1:$I$88,7,0))</f>
        <v>0</v>
      </c>
      <c r="DD161" s="16">
        <f>IF(ISNA(VLOOKUP(A161,'Données projet'!$A$139:$I$159,6,0)),0%,VLOOKUP(A161,'Données projet'!$A$139:$I$159,6,0)*VLOOKUP('Données projet'!$B$13,Paramètres!$A$1:$I$88,7,0))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projet'!$B$13,Paramètres!$A$1:$I$88,3,0)*0.475*44/12</f>
        <v>5.7235279354095967</v>
      </c>
      <c r="DG161" s="21">
        <f>EXP(-LN(2)/25)*DG160+(1-EXP(-LN(2)/25))/(LN(2)/25)*Calculateur!DB161*Calculateur!DD161*VLOOKUP('Données projet'!$B$13,Paramètres!$A$1:$I$88,3,0)*0.475*44/12</f>
        <v>0</v>
      </c>
      <c r="DH161" s="21">
        <f>EXP(-LN(2)/2)*DH160+(1-EXP(-LN(2)/2))/(LN(2)/2)*DB161*DE161*VLOOKUP('Données projet'!$B$13,Paramètres!$A$1:$I$88,3,0)*0.475*44/12</f>
        <v>3.0652583859505568E-19</v>
      </c>
      <c r="DI161" s="22">
        <f t="shared" si="175"/>
        <v>5.7235279354095967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projet'!$B$14,Paramètres!$A$1:$I$88,3,0)*VLOOKUP('Données projet'!$B$14,Paramètres!$A$1:$I$88,5,0)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projet'!$B$14,Paramètres!$A$1:$I$88,7,0))</f>
        <v>0</v>
      </c>
      <c r="DY161" s="16">
        <f>IF(ISNA(VLOOKUP(A161,'Données projet'!$A$165:$I$185,6,0)),0%,VLOOKUP(A161,'Données projet'!$A$165:$I$185,6,0)*VLOOKUP('Données projet'!$B$14,Paramètres!$A$1:$I$88,7,0))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projet'!$B$14,Paramètres!$A$1:$I$88,3,0)*0.475*44/12</f>
        <v>#N/A</v>
      </c>
      <c r="EB161" s="21" t="e">
        <f>EXP(-LN(2)/25)*EB160+(1-EXP(-LN(2)/25))/(LN(2)/25)*Calculateur!DW161*Calculateur!DY161*VLOOKUP('Données projet'!$B$14,Paramètres!$A$1:$I$88,3,0)*0.475*44/12</f>
        <v>#N/A</v>
      </c>
      <c r="EC161" s="21" t="e">
        <f>EXP(-LN(2)/2)*EC160+(1-EXP(-LN(2)/2))/(LN(2)/2)*DW161*DZ161*VLOOKUP('Données projet'!$B$14,Paramètres!$A$1:$I$88,3,0)*0.475*44/12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projet'!$B$15,Paramètres!$A$1:$I$88,3,0)*VLOOKUP('Données projet'!$B$15,Paramètres!$A$1:$I$88,5,0)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projet'!$B$15,Paramètres!$A$1:$I$88,7,0))</f>
        <v>0</v>
      </c>
      <c r="ET161" s="16">
        <f>IF(ISNA(VLOOKUP(A161,'Données projet'!$A$191:$I$211,6,0)),0%,VLOOKUP(A161,'Données projet'!$A$191:$I$211,6,0)*VLOOKUP('Données projet'!$B$15,Paramètres!$A$1:$I$88,7,0))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projet'!$B$15,Paramètres!$A$1:$I$88,3,0)*0.475*44/12</f>
        <v>#N/A</v>
      </c>
      <c r="EW161" s="21" t="e">
        <f>EXP(-LN(2)/25)*EW160+(1-EXP(-LN(2)/25))/(LN(2)/25)*Calculateur!ER161*Calculateur!ET161*VLOOKUP('Données projet'!$B$15,Paramètres!$A$1:$I$88,3,0)*0.475*44/12</f>
        <v>#N/A</v>
      </c>
      <c r="EX161" s="21" t="e">
        <f>EXP(-LN(2)/2)*EX160+(1-EXP(-LN(2)/2))/(LN(2)/2)*ER161*EU161*VLOOKUP('Données projet'!$B$15,Paramètres!$A$1:$I$88,3,0)*0.475*44/12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projet'!$B$16,Paramètres!$A$1:$I$88,3,0)*VLOOKUP('Données projet'!$B$16,Paramètres!$A$1:$I$88,5,0)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projet'!$B$16,Paramètres!$A$1:$I$88,7,0))</f>
        <v>0</v>
      </c>
      <c r="FO161" s="16">
        <f>IF(ISNA(VLOOKUP(A161,'Données projet'!$A$217:$I$237,6,0)),0%,VLOOKUP(A161,'Données projet'!$A$217:$I$237,6,0)*VLOOKUP('Données projet'!$B$16,Paramètres!$A$1:$I$88,7,0))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projet'!$B$16,Paramètres!$A$1:$I$88,3,0)*0.475*44/12</f>
        <v>#N/A</v>
      </c>
      <c r="FR161" s="21" t="e">
        <f>EXP(-LN(2)/25)*FR160+(1-EXP(-LN(2)/25))/(LN(2)/25)*Calculateur!FM161*Calculateur!FO161*VLOOKUP('Données projet'!$B$16,Paramètres!$A$1:$I$88,3,0)*0.475*44/12</f>
        <v>#N/A</v>
      </c>
      <c r="FS161" s="21" t="e">
        <f>EXP(-LN(2)/2)*FS160+(1-EXP(-LN(2)/2))/(LN(2)/2)*FM161*FP161*VLOOKUP('Données projet'!$B$16,Paramètres!$A$1:$I$88,3,0)*0.475*44/12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projet'!$B$17,Paramètres!$A$1:$I$88,3,0)*VLOOKUP('Données projet'!$B$17,Paramètres!$A$1:$I$88,5,0)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projet'!$B$17,Paramètres!$A$1:$I$88,7,0))</f>
        <v>0</v>
      </c>
      <c r="GJ161" s="16">
        <f>IF(ISNA(VLOOKUP(A161,'Données projet'!$A$243:$I$263,6,0)),0%,VLOOKUP(A161,'Données projet'!$A$243:$I$263,6,0)*VLOOKUP('Données projet'!$B$17,Paramètres!$A$1:$I$88,7,0))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projet'!$B$17,Paramètres!$A$1:$I$88,3,0)*0.475*44/12</f>
        <v>#N/A</v>
      </c>
      <c r="GM161" s="21" t="e">
        <f>EXP(-LN(2)/25)*GM160+(1-EXP(-LN(2)/25))/(LN(2)/25)*Calculateur!GH161*Calculateur!GJ161*VLOOKUP('Données projet'!$B$17,Paramètres!$A$1:$I$88,3,0)*0.475*44/12</f>
        <v>#N/A</v>
      </c>
      <c r="GN161" s="21" t="e">
        <f>EXP(-LN(2)/2)*GN160+(1-EXP(-LN(2)/2))/(LN(2)/2)*GH161*GK161*VLOOKUP('Données projet'!$B$17,Paramètres!$A$1:$I$88,3,0)*0.475*44/12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projet'!$B$18,Paramètres!$A$1:$I$88,3,0)*VLOOKUP('Données projet'!$B$18,Paramètres!$A$1:$I$88,5,0)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projet'!$B$18,Paramètres!$A$1:$I$88,7,0))</f>
        <v>0</v>
      </c>
      <c r="HE161" s="16">
        <f>IF(ISNA(VLOOKUP(A161,'Données projet'!$A$269:$I$289,6,0)),0%,VLOOKUP(A161,'Données projet'!$A$269:$I$289,6,0)*VLOOKUP('Données projet'!$B$18,Paramètres!$A$1:$I$88,7,0))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projet'!$B$18,Paramètres!$A$1:$I$88,3,0)*0.475*44/12</f>
        <v>#N/A</v>
      </c>
      <c r="HH161" s="21" t="e">
        <f>EXP(-LN(2)/25)*HH160+(1-EXP(-LN(2)/25))/(LN(2)/25)*Calculateur!HC161*Calculateur!HE161*VLOOKUP('Données projet'!$B$18,Paramètres!$A$1:$I$88,3,0)*0.475*44/12</f>
        <v>#N/A</v>
      </c>
      <c r="HI161" s="21" t="e">
        <f>EXP(-LN(2)/2)*HI160+(1-EXP(-LN(2)/2))/(LN(2)/2)*HC161*HF161*VLOOKUP('Données projet'!$B$18,Paramètres!$A$1:$I$88,3,0)*0.475*44/12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projet'!$B$9,Paramètres!$A$1:$I$88,3,0)*VLOOKUP('Données projet'!$B$9,Paramètres!$A$1:$I$88,5,0)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195.73441209602686</v>
      </c>
      <c r="T162" s="59">
        <f t="shared" si="142"/>
        <v>219.19129224309006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projet'!$B$9,Paramètres!$A$1:$I$88,7,0))</f>
        <v>0</v>
      </c>
      <c r="X162" s="16">
        <f>IF(ISNA(VLOOKUP(A162,'Données projet'!$A$35:$I$55,6,0)),0%,VLOOKUP(A162,'Données projet'!$A$35:$I$55,6,0)*VLOOKUP('Données projet'!$B$9,Paramètres!$A$1:$I$88,7,0))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projet'!$B$9,Paramètres!$A$1:$I$88,3,0)*0.475*44/12</f>
        <v>1.1852931399723063</v>
      </c>
      <c r="AA162" s="21">
        <f>EXP(-LN(2)/25)*AA161+(1-EXP(-LN(2)/25))/(LN(2)/25)*Calculateur!V162*Calculateur!X162*VLOOKUP('Données projet'!$B$9,Paramètres!$A$1:$I$88,3,0)*0.475*44/12</f>
        <v>0.39598283533195738</v>
      </c>
      <c r="AB162" s="21">
        <f>EXP(-LN(2)/2)*AB161+(1-EXP(-LN(2)/2))/(LN(2)/2)*V162*Y162*VLOOKUP('Données projet'!$B$9,Paramètres!$A$1:$I$88,3,0)*0.475*44/12</f>
        <v>1.5207341427484364E-21</v>
      </c>
      <c r="AC162" s="22">
        <f t="shared" si="163"/>
        <v>1.5812759753042638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-4.5474735088646412E-13</v>
      </c>
      <c r="AJ162" s="13">
        <f>AI162*VLOOKUP('Données projet'!$B$10,Paramètres!$A$1:$I$88,3,0)*VLOOKUP('Données projet'!$B$10,Paramètres!$A$1:$I$88,5,0)</f>
        <v>-2.7193891583010558E-13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246.59447135626942</v>
      </c>
      <c r="AO162" s="59">
        <f t="shared" si="144"/>
        <v>262.00382544285367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projet'!$B$10,Paramètres!$A$1:$I$88,7,0))</f>
        <v>0</v>
      </c>
      <c r="AS162" s="16">
        <f>IF(ISNA(VLOOKUP(A162,'Données projet'!$A$61:$I$81,6,0)),0%,VLOOKUP(A162,'Données projet'!$A$61:$I$81,6,0)*VLOOKUP('Données projet'!$B$10,Paramètres!$A$1:$I$88,7,0))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projet'!$B$10,Paramètres!$A$1:$I$88,3,0)*0.475*44/12</f>
        <v>0</v>
      </c>
      <c r="AV162" s="21">
        <f>EXP(-LN(2)/25)*AV161+(1-EXP(-LN(2)/25))/(LN(2)/25)*Calculateur!AQ162*Calculateur!AS162*VLOOKUP('Données projet'!$B$10,Paramètres!$A$1:$I$88,3,0)*0.475*44/12</f>
        <v>0.35938790693334316</v>
      </c>
      <c r="AW162" s="21">
        <f>EXP(-LN(2)/2)*AW161+(1-EXP(-LN(2)/2))/(LN(2)/2)*AQ162*AT162*VLOOKUP('Données projet'!$B$10,Paramètres!$A$1:$I$88,3,0)*0.475*44/12</f>
        <v>9.0960178191593121E-19</v>
      </c>
      <c r="AX162" s="21">
        <f t="shared" si="166"/>
        <v>0.35938790693334316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-5.6843418860808015E-13</v>
      </c>
      <c r="BE162" s="13">
        <f>BD162*VLOOKUP('Données projet'!$B$11,Paramètres!$A$1:$I$88,3,0)*VLOOKUP('Données projet'!$B$11,Paramètres!$A$1:$I$88,5,0)</f>
        <v>-3.177547114319168E-13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355.96253323046608</v>
      </c>
      <c r="BJ162" s="59">
        <f t="shared" si="146"/>
        <v>366.8380442809696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projet'!$B$11,Paramètres!$A$1:$I$88,7,0))</f>
        <v>0</v>
      </c>
      <c r="BN162" s="16">
        <f>IF(ISNA(VLOOKUP(A162,'Données projet'!$A$87:$I$107,6,0)),0%,VLOOKUP(A162,'Données projet'!$A$87:$I$107,6,0)*VLOOKUP('Données projet'!$B$11,Paramètres!$A$1:$I$88,7,0))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projet'!$B$11,Paramètres!$A$1:$I$88,3,0)*0.475*44/12</f>
        <v>0</v>
      </c>
      <c r="BQ162" s="21">
        <f>EXP(-LN(2)/25)*BQ161+(1-EXP(-LN(2)/25))/(LN(2)/25)*Calculateur!BL162*Calculateur!BN162*VLOOKUP('Données projet'!$B$11,Paramètres!$A$1:$I$88,3,0)*0.475*44/12</f>
        <v>0.63630120407569168</v>
      </c>
      <c r="BR162" s="21">
        <f>EXP(-LN(2)/2)*BR161+(1-EXP(-LN(2)/2))/(LN(2)/2)*BL162*BO162*VLOOKUP('Données projet'!$B$11,Paramètres!$A$1:$I$88,3,0)*0.475*44/12</f>
        <v>1.4063925669139596E-18</v>
      </c>
      <c r="BS162" s="22">
        <f t="shared" si="169"/>
        <v>0.63630120407569168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projet'!$B$12,Paramètres!$A$1:$I$88,3,0)*VLOOKUP('Données projet'!$B$12,Paramètres!$A$1:$I$88,5,0)</f>
        <v>3.7243808037601412E-14</v>
      </c>
      <c r="CA162" s="13">
        <f t="shared" si="170"/>
        <v>6.2767589361185393E-13</v>
      </c>
      <c r="CB162" s="20">
        <f t="shared" si="171"/>
        <v>1.1580684803728015E-12</v>
      </c>
      <c r="CC162" s="59">
        <f t="shared" si="119"/>
        <v>293.33333333333445</v>
      </c>
      <c r="CD162" s="59">
        <f ca="1">AVERAGE(OFFSET($CC$3,0,0,'Données projet'!$E$12+1,1))-AVERAGE(OFFSET($H$3,0,0,'Données projet'!$E$12+1,1))</f>
        <v>180.90147430936133</v>
      </c>
      <c r="CE162" s="59">
        <f t="shared" si="148"/>
        <v>226.87949199830018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projet'!$B$12,Paramètres!$A$1:$I$88,7,0))</f>
        <v>0</v>
      </c>
      <c r="CI162" s="16">
        <f>IF(ISNA(VLOOKUP(A162,'Données projet'!$A$113:$I$133,6,0)),0%,VLOOKUP(A162,'Données projet'!$A$113:$I$133,6,0)*VLOOKUP('Données projet'!$B$12,Paramètres!$A$1:$I$88,7,0))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projet'!$B$12,Paramètres!$A$1:$I$88,3,0)*0.475*44/12</f>
        <v>0</v>
      </c>
      <c r="CL162" s="21">
        <f>EXP(-LN(2)/25)*CL161+(1-EXP(-LN(2)/25))/(LN(2)/25)*Calculateur!CG162*Calculateur!CI162*VLOOKUP('Données projet'!$B$12,Paramètres!$A$1:$I$88,3,0)*0.475*44/12</f>
        <v>0.19216565239384609</v>
      </c>
      <c r="CM162" s="21">
        <f>EXP(-LN(2)/2)*CM161+(1-EXP(-LN(2)/2))/(LN(2)/2)*CG162*CJ162*VLOOKUP('Données projet'!$B$12,Paramètres!$A$1:$I$88,3,0)*0.475*44/12</f>
        <v>3.3971878371484635E-19</v>
      </c>
      <c r="CN162" s="22">
        <f t="shared" si="172"/>
        <v>0.19216565239384609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5.6843418860808015E-14</v>
      </c>
      <c r="CU162" s="17">
        <f>CT162*VLOOKUP('Données projet'!$B$13,Paramètres!$A$1:$I$88,3,0)*VLOOKUP('Données projet'!$B$13,Paramètres!$A$1:$I$88,5,0)</f>
        <v>2.8908289095852525E-14</v>
      </c>
      <c r="CV162" s="13">
        <f t="shared" si="173"/>
        <v>5.0177780569126974E-13</v>
      </c>
      <c r="CW162" s="20">
        <f t="shared" si="174"/>
        <v>9.2427828175423786E-13</v>
      </c>
      <c r="CX162" s="59">
        <f t="shared" si="122"/>
        <v>293.33333333333422</v>
      </c>
      <c r="CY162" s="59">
        <f ca="1">AVERAGE(OFFSET($CX$3,0,0,'Données projet'!$E$13+1,1))-AVERAGE(OFFSET($H$3,0,0,'Données projet'!$E$13+1,1))</f>
        <v>133.08385802816008</v>
      </c>
      <c r="CZ162" s="59">
        <f t="shared" si="150"/>
        <v>316.59112511251385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projet'!$B$13,Paramètres!$A$1:$I$88,7,0))</f>
        <v>0</v>
      </c>
      <c r="DD162" s="16">
        <f>IF(ISNA(VLOOKUP(A162,'Données projet'!$A$139:$I$159,6,0)),0%,VLOOKUP(A162,'Données projet'!$A$139:$I$159,6,0)*VLOOKUP('Données projet'!$B$13,Paramètres!$A$1:$I$88,7,0))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projet'!$B$13,Paramètres!$A$1:$I$88,3,0)*0.475*44/12</f>
        <v>5.6112930436035464</v>
      </c>
      <c r="DG162" s="21">
        <f>EXP(-LN(2)/25)*DG161+(1-EXP(-LN(2)/25))/(LN(2)/25)*Calculateur!DB162*Calculateur!DD162*VLOOKUP('Données projet'!$B$13,Paramètres!$A$1:$I$88,3,0)*0.475*44/12</f>
        <v>0</v>
      </c>
      <c r="DH162" s="21">
        <f>EXP(-LN(2)/2)*DH161+(1-EXP(-LN(2)/2))/(LN(2)/2)*DB162*DE162*VLOOKUP('Données projet'!$B$13,Paramètres!$A$1:$I$88,3,0)*0.475*44/12</f>
        <v>2.1674649907945705E-19</v>
      </c>
      <c r="DI162" s="22">
        <f t="shared" si="175"/>
        <v>5.6112930436035464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projet'!$B$14,Paramètres!$A$1:$I$88,3,0)*VLOOKUP('Données projet'!$B$14,Paramètres!$A$1:$I$88,5,0)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projet'!$B$14,Paramètres!$A$1:$I$88,7,0))</f>
        <v>0</v>
      </c>
      <c r="DY162" s="16">
        <f>IF(ISNA(VLOOKUP(A162,'Données projet'!$A$165:$I$185,6,0)),0%,VLOOKUP(A162,'Données projet'!$A$165:$I$185,6,0)*VLOOKUP('Données projet'!$B$14,Paramètres!$A$1:$I$88,7,0))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projet'!$B$14,Paramètres!$A$1:$I$88,3,0)*0.475*44/12</f>
        <v>#N/A</v>
      </c>
      <c r="EB162" s="21" t="e">
        <f>EXP(-LN(2)/25)*EB161+(1-EXP(-LN(2)/25))/(LN(2)/25)*Calculateur!DW162*Calculateur!DY162*VLOOKUP('Données projet'!$B$14,Paramètres!$A$1:$I$88,3,0)*0.475*44/12</f>
        <v>#N/A</v>
      </c>
      <c r="EC162" s="21" t="e">
        <f>EXP(-LN(2)/2)*EC161+(1-EXP(-LN(2)/2))/(LN(2)/2)*DW162*DZ162*VLOOKUP('Données projet'!$B$14,Paramètres!$A$1:$I$88,3,0)*0.475*44/12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projet'!$B$15,Paramètres!$A$1:$I$88,3,0)*VLOOKUP('Données projet'!$B$15,Paramètres!$A$1:$I$88,5,0)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projet'!$B$15,Paramètres!$A$1:$I$88,7,0))</f>
        <v>0</v>
      </c>
      <c r="ET162" s="16">
        <f>IF(ISNA(VLOOKUP(A162,'Données projet'!$A$191:$I$211,6,0)),0%,VLOOKUP(A162,'Données projet'!$A$191:$I$211,6,0)*VLOOKUP('Données projet'!$B$15,Paramètres!$A$1:$I$88,7,0))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projet'!$B$15,Paramètres!$A$1:$I$88,3,0)*0.475*44/12</f>
        <v>#N/A</v>
      </c>
      <c r="EW162" s="21" t="e">
        <f>EXP(-LN(2)/25)*EW161+(1-EXP(-LN(2)/25))/(LN(2)/25)*Calculateur!ER162*Calculateur!ET162*VLOOKUP('Données projet'!$B$15,Paramètres!$A$1:$I$88,3,0)*0.475*44/12</f>
        <v>#N/A</v>
      </c>
      <c r="EX162" s="21" t="e">
        <f>EXP(-LN(2)/2)*EX161+(1-EXP(-LN(2)/2))/(LN(2)/2)*ER162*EU162*VLOOKUP('Données projet'!$B$15,Paramètres!$A$1:$I$88,3,0)*0.475*44/12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projet'!$B$16,Paramètres!$A$1:$I$88,3,0)*VLOOKUP('Données projet'!$B$16,Paramètres!$A$1:$I$88,5,0)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projet'!$B$16,Paramètres!$A$1:$I$88,7,0))</f>
        <v>0</v>
      </c>
      <c r="FO162" s="16">
        <f>IF(ISNA(VLOOKUP(A162,'Données projet'!$A$217:$I$237,6,0)),0%,VLOOKUP(A162,'Données projet'!$A$217:$I$237,6,0)*VLOOKUP('Données projet'!$B$16,Paramètres!$A$1:$I$88,7,0))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projet'!$B$16,Paramètres!$A$1:$I$88,3,0)*0.475*44/12</f>
        <v>#N/A</v>
      </c>
      <c r="FR162" s="21" t="e">
        <f>EXP(-LN(2)/25)*FR161+(1-EXP(-LN(2)/25))/(LN(2)/25)*Calculateur!FM162*Calculateur!FO162*VLOOKUP('Données projet'!$B$16,Paramètres!$A$1:$I$88,3,0)*0.475*44/12</f>
        <v>#N/A</v>
      </c>
      <c r="FS162" s="21" t="e">
        <f>EXP(-LN(2)/2)*FS161+(1-EXP(-LN(2)/2))/(LN(2)/2)*FM162*FP162*VLOOKUP('Données projet'!$B$16,Paramètres!$A$1:$I$88,3,0)*0.475*44/12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projet'!$B$17,Paramètres!$A$1:$I$88,3,0)*VLOOKUP('Données projet'!$B$17,Paramètres!$A$1:$I$88,5,0)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projet'!$B$17,Paramètres!$A$1:$I$88,7,0))</f>
        <v>0</v>
      </c>
      <c r="GJ162" s="16">
        <f>IF(ISNA(VLOOKUP(A162,'Données projet'!$A$243:$I$263,6,0)),0%,VLOOKUP(A162,'Données projet'!$A$243:$I$263,6,0)*VLOOKUP('Données projet'!$B$17,Paramètres!$A$1:$I$88,7,0))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projet'!$B$17,Paramètres!$A$1:$I$88,3,0)*0.475*44/12</f>
        <v>#N/A</v>
      </c>
      <c r="GM162" s="21" t="e">
        <f>EXP(-LN(2)/25)*GM161+(1-EXP(-LN(2)/25))/(LN(2)/25)*Calculateur!GH162*Calculateur!GJ162*VLOOKUP('Données projet'!$B$17,Paramètres!$A$1:$I$88,3,0)*0.475*44/12</f>
        <v>#N/A</v>
      </c>
      <c r="GN162" s="21" t="e">
        <f>EXP(-LN(2)/2)*GN161+(1-EXP(-LN(2)/2))/(LN(2)/2)*GH162*GK162*VLOOKUP('Données projet'!$B$17,Paramètres!$A$1:$I$88,3,0)*0.475*44/12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projet'!$B$18,Paramètres!$A$1:$I$88,3,0)*VLOOKUP('Données projet'!$B$18,Paramètres!$A$1:$I$88,5,0)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projet'!$B$18,Paramètres!$A$1:$I$88,7,0))</f>
        <v>0</v>
      </c>
      <c r="HE162" s="16">
        <f>IF(ISNA(VLOOKUP(A162,'Données projet'!$A$269:$I$289,6,0)),0%,VLOOKUP(A162,'Données projet'!$A$269:$I$289,6,0)*VLOOKUP('Données projet'!$B$18,Paramètres!$A$1:$I$88,7,0))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projet'!$B$18,Paramètres!$A$1:$I$88,3,0)*0.475*44/12</f>
        <v>#N/A</v>
      </c>
      <c r="HH162" s="21" t="e">
        <f>EXP(-LN(2)/25)*HH161+(1-EXP(-LN(2)/25))/(LN(2)/25)*Calculateur!HC162*Calculateur!HE162*VLOOKUP('Données projet'!$B$18,Paramètres!$A$1:$I$88,3,0)*0.475*44/12</f>
        <v>#N/A</v>
      </c>
      <c r="HI162" s="21" t="e">
        <f>EXP(-LN(2)/2)*HI161+(1-EXP(-LN(2)/2))/(LN(2)/2)*HC162*HF162*VLOOKUP('Données projet'!$B$18,Paramètres!$A$1:$I$88,3,0)*0.475*44/12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projet'!$B$9,Paramètres!$A$1:$I$88,3,0)*VLOOKUP('Données projet'!$B$9,Paramètres!$A$1:$I$88,5,0)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195.73441209602686</v>
      </c>
      <c r="T163" s="59">
        <f t="shared" si="142"/>
        <v>219.19129224309006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projet'!$B$9,Paramètres!$A$1:$I$88,7,0))</f>
        <v>0</v>
      </c>
      <c r="X163" s="16">
        <f>IF(ISNA(VLOOKUP(A163,'Données projet'!$A$35:$I$55,6,0)),0%,VLOOKUP(A163,'Données projet'!$A$35:$I$55,6,0)*VLOOKUP('Données projet'!$B$9,Paramètres!$A$1:$I$88,7,0))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projet'!$B$9,Paramètres!$A$1:$I$88,3,0)*0.475*44/12</f>
        <v>1.1620502644548787</v>
      </c>
      <c r="AA163" s="21">
        <f>EXP(-LN(2)/25)*AA162+(1-EXP(-LN(2)/25))/(LN(2)/25)*Calculateur!V163*Calculateur!X163*VLOOKUP('Données projet'!$B$9,Paramètres!$A$1:$I$88,3,0)*0.475*44/12</f>
        <v>0.38515466387597275</v>
      </c>
      <c r="AB163" s="21">
        <f>EXP(-LN(2)/2)*AB162+(1-EXP(-LN(2)/2))/(LN(2)/2)*V163*Y163*VLOOKUP('Données projet'!$B$9,Paramètres!$A$1:$I$88,3,0)*0.475*44/12</f>
        <v>1.0753214247193305E-21</v>
      </c>
      <c r="AC163" s="22">
        <f t="shared" si="163"/>
        <v>1.5472049283308515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-4.5474735088646412E-13</v>
      </c>
      <c r="AJ163" s="13">
        <f>AI163*VLOOKUP('Données projet'!$B$10,Paramètres!$A$1:$I$88,3,0)*VLOOKUP('Données projet'!$B$10,Paramètres!$A$1:$I$88,5,0)</f>
        <v>-2.7193891583010558E-13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246.59447135626942</v>
      </c>
      <c r="AO163" s="59">
        <f t="shared" si="144"/>
        <v>262.00382544285367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projet'!$B$10,Paramètres!$A$1:$I$88,7,0))</f>
        <v>0</v>
      </c>
      <c r="AS163" s="16">
        <f>IF(ISNA(VLOOKUP(A163,'Données projet'!$A$61:$I$81,6,0)),0%,VLOOKUP(A163,'Données projet'!$A$61:$I$81,6,0)*VLOOKUP('Données projet'!$B$10,Paramètres!$A$1:$I$88,7,0))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projet'!$B$10,Paramètres!$A$1:$I$88,3,0)*0.475*44/12</f>
        <v>0</v>
      </c>
      <c r="AV163" s="21">
        <f>EXP(-LN(2)/25)*AV162+(1-EXP(-LN(2)/25))/(LN(2)/25)*Calculateur!AQ163*Calculateur!AS163*VLOOKUP('Données projet'!$B$10,Paramètres!$A$1:$I$88,3,0)*0.475*44/12</f>
        <v>0.34956042571886226</v>
      </c>
      <c r="AW163" s="21">
        <f>EXP(-LN(2)/2)*AW162+(1-EXP(-LN(2)/2))/(LN(2)/2)*AQ163*AT163*VLOOKUP('Données projet'!$B$10,Paramètres!$A$1:$I$88,3,0)*0.475*44/12</f>
        <v>6.4318558817212211E-19</v>
      </c>
      <c r="AX163" s="21">
        <f t="shared" si="166"/>
        <v>0.34956042571886226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-5.6843418860808015E-13</v>
      </c>
      <c r="BE163" s="13">
        <f>BD163*VLOOKUP('Données projet'!$B$11,Paramètres!$A$1:$I$88,3,0)*VLOOKUP('Données projet'!$B$11,Paramètres!$A$1:$I$88,5,0)</f>
        <v>-3.177547114319168E-13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355.96253323046608</v>
      </c>
      <c r="BJ163" s="59">
        <f t="shared" si="146"/>
        <v>366.8380442809696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projet'!$B$11,Paramètres!$A$1:$I$88,7,0))</f>
        <v>0</v>
      </c>
      <c r="BN163" s="16">
        <f>IF(ISNA(VLOOKUP(A163,'Données projet'!$A$87:$I$107,6,0)),0%,VLOOKUP(A163,'Données projet'!$A$87:$I$107,6,0)*VLOOKUP('Données projet'!$B$11,Paramètres!$A$1:$I$88,7,0))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projet'!$B$11,Paramètres!$A$1:$I$88,3,0)*0.475*44/12</f>
        <v>0</v>
      </c>
      <c r="BQ163" s="21">
        <f>EXP(-LN(2)/25)*BQ162+(1-EXP(-LN(2)/25))/(LN(2)/25)*Calculateur!BL163*Calculateur!BN163*VLOOKUP('Données projet'!$B$11,Paramètres!$A$1:$I$88,3,0)*0.475*44/12</f>
        <v>0.61890151418861583</v>
      </c>
      <c r="BR163" s="21">
        <f>EXP(-LN(2)/2)*BR162+(1-EXP(-LN(2)/2))/(LN(2)/2)*BL163*BO163*VLOOKUP('Données projet'!$B$11,Paramètres!$A$1:$I$88,3,0)*0.475*44/12</f>
        <v>9.9446972107521613E-19</v>
      </c>
      <c r="BS163" s="22">
        <f t="shared" si="169"/>
        <v>0.61890151418861583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projet'!$B$12,Paramètres!$A$1:$I$88,3,0)*VLOOKUP('Données projet'!$B$12,Paramètres!$A$1:$I$88,5,0)</f>
        <v>3.7243808037601412E-14</v>
      </c>
      <c r="CA163" s="13">
        <f t="shared" si="170"/>
        <v>6.2767589361185393E-13</v>
      </c>
      <c r="CB163" s="20">
        <f t="shared" si="171"/>
        <v>1.1580684803728015E-12</v>
      </c>
      <c r="CC163" s="59">
        <f t="shared" si="119"/>
        <v>293.33333333333445</v>
      </c>
      <c r="CD163" s="59">
        <f ca="1">AVERAGE(OFFSET($CC$3,0,0,'Données projet'!$E$12+1,1))-AVERAGE(OFFSET($H$3,0,0,'Données projet'!$E$12+1,1))</f>
        <v>180.90147430936133</v>
      </c>
      <c r="CE163" s="59">
        <f t="shared" si="148"/>
        <v>226.87949199830018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projet'!$B$12,Paramètres!$A$1:$I$88,7,0))</f>
        <v>0</v>
      </c>
      <c r="CI163" s="16">
        <f>IF(ISNA(VLOOKUP(A163,'Données projet'!$A$113:$I$133,6,0)),0%,VLOOKUP(A163,'Données projet'!$A$113:$I$133,6,0)*VLOOKUP('Données projet'!$B$12,Paramètres!$A$1:$I$88,7,0))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projet'!$B$12,Paramètres!$A$1:$I$88,3,0)*0.475*44/12</f>
        <v>0</v>
      </c>
      <c r="CL163" s="21">
        <f>EXP(-LN(2)/25)*CL162+(1-EXP(-LN(2)/25))/(LN(2)/25)*Calculateur!CG163*Calculateur!CI163*VLOOKUP('Données projet'!$B$12,Paramètres!$A$1:$I$88,3,0)*0.475*44/12</f>
        <v>0.1869108725235839</v>
      </c>
      <c r="CM163" s="21">
        <f>EXP(-LN(2)/2)*CM162+(1-EXP(-LN(2)/2))/(LN(2)/2)*CG163*CJ163*VLOOKUP('Données projet'!$B$12,Paramètres!$A$1:$I$88,3,0)*0.475*44/12</f>
        <v>2.4021745566121391E-19</v>
      </c>
      <c r="CN163" s="22">
        <f t="shared" si="172"/>
        <v>0.1869108725235839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5.6843418860808015E-14</v>
      </c>
      <c r="CU163" s="17">
        <f>CT163*VLOOKUP('Données projet'!$B$13,Paramètres!$A$1:$I$88,3,0)*VLOOKUP('Données projet'!$B$13,Paramètres!$A$1:$I$88,5,0)</f>
        <v>2.8908289095852525E-14</v>
      </c>
      <c r="CV163" s="13">
        <f t="shared" si="173"/>
        <v>5.0177780569126974E-13</v>
      </c>
      <c r="CW163" s="20">
        <f t="shared" si="174"/>
        <v>9.2427828175423786E-13</v>
      </c>
      <c r="CX163" s="59">
        <f t="shared" si="122"/>
        <v>293.33333333333422</v>
      </c>
      <c r="CY163" s="59">
        <f ca="1">AVERAGE(OFFSET($CX$3,0,0,'Données projet'!$E$13+1,1))-AVERAGE(OFFSET($H$3,0,0,'Données projet'!$E$13+1,1))</f>
        <v>133.08385802816008</v>
      </c>
      <c r="CZ163" s="59">
        <f t="shared" si="150"/>
        <v>316.59112511251385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projet'!$B$13,Paramètres!$A$1:$I$88,7,0))</f>
        <v>0</v>
      </c>
      <c r="DD163" s="16">
        <f>IF(ISNA(VLOOKUP(A163,'Données projet'!$A$139:$I$159,6,0)),0%,VLOOKUP(A163,'Données projet'!$A$139:$I$159,6,0)*VLOOKUP('Données projet'!$B$13,Paramètres!$A$1:$I$88,7,0))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projet'!$B$13,Paramètres!$A$1:$I$88,3,0)*0.475*44/12</f>
        <v>5.5012590095692886</v>
      </c>
      <c r="DG163" s="21">
        <f>EXP(-LN(2)/25)*DG162+(1-EXP(-LN(2)/25))/(LN(2)/25)*Calculateur!DB163*Calculateur!DD163*VLOOKUP('Données projet'!$B$13,Paramètres!$A$1:$I$88,3,0)*0.475*44/12</f>
        <v>0</v>
      </c>
      <c r="DH163" s="21">
        <f>EXP(-LN(2)/2)*DH162+(1-EXP(-LN(2)/2))/(LN(2)/2)*DB163*DE163*VLOOKUP('Données projet'!$B$13,Paramètres!$A$1:$I$88,3,0)*0.475*44/12</f>
        <v>1.5326291929752787E-19</v>
      </c>
      <c r="DI163" s="22">
        <f t="shared" si="175"/>
        <v>5.5012590095692886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projet'!$B$14,Paramètres!$A$1:$I$88,3,0)*VLOOKUP('Données projet'!$B$14,Paramètres!$A$1:$I$88,5,0)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projet'!$B$14,Paramètres!$A$1:$I$88,7,0))</f>
        <v>0</v>
      </c>
      <c r="DY163" s="16">
        <f>IF(ISNA(VLOOKUP(A163,'Données projet'!$A$165:$I$185,6,0)),0%,VLOOKUP(A163,'Données projet'!$A$165:$I$185,6,0)*VLOOKUP('Données projet'!$B$14,Paramètres!$A$1:$I$88,7,0))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projet'!$B$14,Paramètres!$A$1:$I$88,3,0)*0.475*44/12</f>
        <v>#N/A</v>
      </c>
      <c r="EB163" s="21" t="e">
        <f>EXP(-LN(2)/25)*EB162+(1-EXP(-LN(2)/25))/(LN(2)/25)*Calculateur!DW163*Calculateur!DY163*VLOOKUP('Données projet'!$B$14,Paramètres!$A$1:$I$88,3,0)*0.475*44/12</f>
        <v>#N/A</v>
      </c>
      <c r="EC163" s="21" t="e">
        <f>EXP(-LN(2)/2)*EC162+(1-EXP(-LN(2)/2))/(LN(2)/2)*DW163*DZ163*VLOOKUP('Données projet'!$B$14,Paramètres!$A$1:$I$88,3,0)*0.475*44/12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projet'!$B$15,Paramètres!$A$1:$I$88,3,0)*VLOOKUP('Données projet'!$B$15,Paramètres!$A$1:$I$88,5,0)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projet'!$B$15,Paramètres!$A$1:$I$88,7,0))</f>
        <v>0</v>
      </c>
      <c r="ET163" s="16">
        <f>IF(ISNA(VLOOKUP(A163,'Données projet'!$A$191:$I$211,6,0)),0%,VLOOKUP(A163,'Données projet'!$A$191:$I$211,6,0)*VLOOKUP('Données projet'!$B$15,Paramètres!$A$1:$I$88,7,0))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projet'!$B$15,Paramètres!$A$1:$I$88,3,0)*0.475*44/12</f>
        <v>#N/A</v>
      </c>
      <c r="EW163" s="21" t="e">
        <f>EXP(-LN(2)/25)*EW162+(1-EXP(-LN(2)/25))/(LN(2)/25)*Calculateur!ER163*Calculateur!ET163*VLOOKUP('Données projet'!$B$15,Paramètres!$A$1:$I$88,3,0)*0.475*44/12</f>
        <v>#N/A</v>
      </c>
      <c r="EX163" s="21" t="e">
        <f>EXP(-LN(2)/2)*EX162+(1-EXP(-LN(2)/2))/(LN(2)/2)*ER163*EU163*VLOOKUP('Données projet'!$B$15,Paramètres!$A$1:$I$88,3,0)*0.475*44/12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projet'!$B$16,Paramètres!$A$1:$I$88,3,0)*VLOOKUP('Données projet'!$B$16,Paramètres!$A$1:$I$88,5,0)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projet'!$B$16,Paramètres!$A$1:$I$88,7,0))</f>
        <v>0</v>
      </c>
      <c r="FO163" s="16">
        <f>IF(ISNA(VLOOKUP(A163,'Données projet'!$A$217:$I$237,6,0)),0%,VLOOKUP(A163,'Données projet'!$A$217:$I$237,6,0)*VLOOKUP('Données projet'!$B$16,Paramètres!$A$1:$I$88,7,0))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projet'!$B$16,Paramètres!$A$1:$I$88,3,0)*0.475*44/12</f>
        <v>#N/A</v>
      </c>
      <c r="FR163" s="21" t="e">
        <f>EXP(-LN(2)/25)*FR162+(1-EXP(-LN(2)/25))/(LN(2)/25)*Calculateur!FM163*Calculateur!FO163*VLOOKUP('Données projet'!$B$16,Paramètres!$A$1:$I$88,3,0)*0.475*44/12</f>
        <v>#N/A</v>
      </c>
      <c r="FS163" s="21" t="e">
        <f>EXP(-LN(2)/2)*FS162+(1-EXP(-LN(2)/2))/(LN(2)/2)*FM163*FP163*VLOOKUP('Données projet'!$B$16,Paramètres!$A$1:$I$88,3,0)*0.475*44/12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projet'!$B$17,Paramètres!$A$1:$I$88,3,0)*VLOOKUP('Données projet'!$B$17,Paramètres!$A$1:$I$88,5,0)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projet'!$B$17,Paramètres!$A$1:$I$88,7,0))</f>
        <v>0</v>
      </c>
      <c r="GJ163" s="16">
        <f>IF(ISNA(VLOOKUP(A163,'Données projet'!$A$243:$I$263,6,0)),0%,VLOOKUP(A163,'Données projet'!$A$243:$I$263,6,0)*VLOOKUP('Données projet'!$B$17,Paramètres!$A$1:$I$88,7,0))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projet'!$B$17,Paramètres!$A$1:$I$88,3,0)*0.475*44/12</f>
        <v>#N/A</v>
      </c>
      <c r="GM163" s="21" t="e">
        <f>EXP(-LN(2)/25)*GM162+(1-EXP(-LN(2)/25))/(LN(2)/25)*Calculateur!GH163*Calculateur!GJ163*VLOOKUP('Données projet'!$B$17,Paramètres!$A$1:$I$88,3,0)*0.475*44/12</f>
        <v>#N/A</v>
      </c>
      <c r="GN163" s="21" t="e">
        <f>EXP(-LN(2)/2)*GN162+(1-EXP(-LN(2)/2))/(LN(2)/2)*GH163*GK163*VLOOKUP('Données projet'!$B$17,Paramètres!$A$1:$I$88,3,0)*0.475*44/12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projet'!$B$18,Paramètres!$A$1:$I$88,3,0)*VLOOKUP('Données projet'!$B$18,Paramètres!$A$1:$I$88,5,0)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projet'!$B$18,Paramètres!$A$1:$I$88,7,0))</f>
        <v>0</v>
      </c>
      <c r="HE163" s="16">
        <f>IF(ISNA(VLOOKUP(A163,'Données projet'!$A$269:$I$289,6,0)),0%,VLOOKUP(A163,'Données projet'!$A$269:$I$289,6,0)*VLOOKUP('Données projet'!$B$18,Paramètres!$A$1:$I$88,7,0))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projet'!$B$18,Paramètres!$A$1:$I$88,3,0)*0.475*44/12</f>
        <v>#N/A</v>
      </c>
      <c r="HH163" s="21" t="e">
        <f>EXP(-LN(2)/25)*HH162+(1-EXP(-LN(2)/25))/(LN(2)/25)*Calculateur!HC163*Calculateur!HE163*VLOOKUP('Données projet'!$B$18,Paramètres!$A$1:$I$88,3,0)*0.475*44/12</f>
        <v>#N/A</v>
      </c>
      <c r="HI163" s="21" t="e">
        <f>EXP(-LN(2)/2)*HI162+(1-EXP(-LN(2)/2))/(LN(2)/2)*HC163*HF163*VLOOKUP('Données projet'!$B$18,Paramètres!$A$1:$I$88,3,0)*0.475*44/12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projet'!$B$9,Paramètres!$A$1:$I$88,3,0)*VLOOKUP('Données projet'!$B$9,Paramètres!$A$1:$I$88,5,0)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195.73441209602686</v>
      </c>
      <c r="T164" s="59">
        <f t="shared" si="142"/>
        <v>219.19129224309006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projet'!$B$9,Paramètres!$A$1:$I$88,7,0))</f>
        <v>0</v>
      </c>
      <c r="X164" s="16">
        <f>IF(ISNA(VLOOKUP(A164,'Données projet'!$A$35:$I$55,6,0)),0%,VLOOKUP(A164,'Données projet'!$A$35:$I$55,6,0)*VLOOKUP('Données projet'!$B$9,Paramètres!$A$1:$I$88,7,0))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projet'!$B$9,Paramètres!$A$1:$I$88,3,0)*0.475*44/12</f>
        <v>1.1392631675495934</v>
      </c>
      <c r="AA164" s="21">
        <f>EXP(-LN(2)/25)*AA163+(1-EXP(-LN(2)/25))/(LN(2)/25)*Calculateur!V164*Calculateur!X164*VLOOKUP('Données projet'!$B$9,Paramètres!$A$1:$I$88,3,0)*0.475*44/12</f>
        <v>0.37462258933788078</v>
      </c>
      <c r="AB164" s="21">
        <f>EXP(-LN(2)/2)*AB163+(1-EXP(-LN(2)/2))/(LN(2)/2)*V164*Y164*VLOOKUP('Données projet'!$B$9,Paramètres!$A$1:$I$88,3,0)*0.475*44/12</f>
        <v>7.6036707137421819E-22</v>
      </c>
      <c r="AC164" s="22">
        <f t="shared" si="163"/>
        <v>1.5138857568874742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-4.5474735088646412E-13</v>
      </c>
      <c r="AJ164" s="13">
        <f>AI164*VLOOKUP('Données projet'!$B$10,Paramètres!$A$1:$I$88,3,0)*VLOOKUP('Données projet'!$B$10,Paramètres!$A$1:$I$88,5,0)</f>
        <v>-2.7193891583010558E-13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246.59447135626942</v>
      </c>
      <c r="AO164" s="59">
        <f t="shared" si="144"/>
        <v>262.00382544285367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projet'!$B$10,Paramètres!$A$1:$I$88,7,0))</f>
        <v>0</v>
      </c>
      <c r="AS164" s="16">
        <f>IF(ISNA(VLOOKUP(A164,'Données projet'!$A$61:$I$81,6,0)),0%,VLOOKUP(A164,'Données projet'!$A$61:$I$81,6,0)*VLOOKUP('Données projet'!$B$10,Paramètres!$A$1:$I$88,7,0))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projet'!$B$10,Paramètres!$A$1:$I$88,3,0)*0.475*44/12</f>
        <v>0</v>
      </c>
      <c r="AV164" s="21">
        <f>EXP(-LN(2)/25)*AV163+(1-EXP(-LN(2)/25))/(LN(2)/25)*Calculateur!AQ164*Calculateur!AS164*VLOOKUP('Données projet'!$B$10,Paramètres!$A$1:$I$88,3,0)*0.475*44/12</f>
        <v>0.3400016774949961</v>
      </c>
      <c r="AW164" s="21">
        <f>EXP(-LN(2)/2)*AW163+(1-EXP(-LN(2)/2))/(LN(2)/2)*AQ164*AT164*VLOOKUP('Données projet'!$B$10,Paramètres!$A$1:$I$88,3,0)*0.475*44/12</f>
        <v>4.548008909579656E-19</v>
      </c>
      <c r="AX164" s="21">
        <f t="shared" si="166"/>
        <v>0.3400016774949961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-5.6843418860808015E-13</v>
      </c>
      <c r="BE164" s="13">
        <f>BD164*VLOOKUP('Données projet'!$B$11,Paramètres!$A$1:$I$88,3,0)*VLOOKUP('Données projet'!$B$11,Paramètres!$A$1:$I$88,5,0)</f>
        <v>-3.177547114319168E-13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355.96253323046608</v>
      </c>
      <c r="BJ164" s="59">
        <f t="shared" si="146"/>
        <v>366.8380442809696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projet'!$B$11,Paramètres!$A$1:$I$88,7,0))</f>
        <v>0</v>
      </c>
      <c r="BN164" s="16">
        <f>IF(ISNA(VLOOKUP(A164,'Données projet'!$A$87:$I$107,6,0)),0%,VLOOKUP(A164,'Données projet'!$A$87:$I$107,6,0)*VLOOKUP('Données projet'!$B$11,Paramètres!$A$1:$I$88,7,0))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projet'!$B$11,Paramètres!$A$1:$I$88,3,0)*0.475*44/12</f>
        <v>0</v>
      </c>
      <c r="BQ164" s="21">
        <f>EXP(-LN(2)/25)*BQ163+(1-EXP(-LN(2)/25))/(LN(2)/25)*Calculateur!BL164*Calculateur!BN164*VLOOKUP('Données projet'!$B$11,Paramètres!$A$1:$I$88,3,0)*0.475*44/12</f>
        <v>0.60197761973651198</v>
      </c>
      <c r="BR164" s="21">
        <f>EXP(-LN(2)/2)*BR163+(1-EXP(-LN(2)/2))/(LN(2)/2)*BL164*BO164*VLOOKUP('Données projet'!$B$11,Paramètres!$A$1:$I$88,3,0)*0.475*44/12</f>
        <v>7.0319628345697982E-19</v>
      </c>
      <c r="BS164" s="22">
        <f t="shared" si="169"/>
        <v>0.60197761973651198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projet'!$B$12,Paramètres!$A$1:$I$88,3,0)*VLOOKUP('Données projet'!$B$12,Paramètres!$A$1:$I$88,5,0)</f>
        <v>3.7243808037601412E-14</v>
      </c>
      <c r="CA164" s="13">
        <f t="shared" si="170"/>
        <v>6.2767589361185393E-13</v>
      </c>
      <c r="CB164" s="20">
        <f t="shared" si="171"/>
        <v>1.1580684803728015E-12</v>
      </c>
      <c r="CC164" s="59">
        <f t="shared" si="119"/>
        <v>293.33333333333445</v>
      </c>
      <c r="CD164" s="59">
        <f ca="1">AVERAGE(OFFSET($CC$3,0,0,'Données projet'!$E$12+1,1))-AVERAGE(OFFSET($H$3,0,0,'Données projet'!$E$12+1,1))</f>
        <v>180.90147430936133</v>
      </c>
      <c r="CE164" s="59">
        <f t="shared" si="148"/>
        <v>226.87949199830018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projet'!$B$12,Paramètres!$A$1:$I$88,7,0))</f>
        <v>0</v>
      </c>
      <c r="CI164" s="16">
        <f>IF(ISNA(VLOOKUP(A164,'Données projet'!$A$113:$I$133,6,0)),0%,VLOOKUP(A164,'Données projet'!$A$113:$I$133,6,0)*VLOOKUP('Données projet'!$B$12,Paramètres!$A$1:$I$88,7,0))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projet'!$B$12,Paramètres!$A$1:$I$88,3,0)*0.475*44/12</f>
        <v>0</v>
      </c>
      <c r="CL164" s="21">
        <f>EXP(-LN(2)/25)*CL163+(1-EXP(-LN(2)/25))/(LN(2)/25)*Calculateur!CG164*Calculateur!CI164*VLOOKUP('Données projet'!$B$12,Paramètres!$A$1:$I$88,3,0)*0.475*44/12</f>
        <v>0.1817997848852109</v>
      </c>
      <c r="CM164" s="21">
        <f>EXP(-LN(2)/2)*CM163+(1-EXP(-LN(2)/2))/(LN(2)/2)*CG164*CJ164*VLOOKUP('Données projet'!$B$12,Paramètres!$A$1:$I$88,3,0)*0.475*44/12</f>
        <v>1.6985939185742317E-19</v>
      </c>
      <c r="CN164" s="22">
        <f t="shared" si="172"/>
        <v>0.1817997848852109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5.6843418860808015E-14</v>
      </c>
      <c r="CU164" s="17">
        <f>CT164*VLOOKUP('Données projet'!$B$13,Paramètres!$A$1:$I$88,3,0)*VLOOKUP('Données projet'!$B$13,Paramètres!$A$1:$I$88,5,0)</f>
        <v>2.8908289095852525E-14</v>
      </c>
      <c r="CV164" s="13">
        <f t="shared" si="173"/>
        <v>5.0177780569126974E-13</v>
      </c>
      <c r="CW164" s="20">
        <f t="shared" si="174"/>
        <v>9.2427828175423786E-13</v>
      </c>
      <c r="CX164" s="59">
        <f t="shared" si="122"/>
        <v>293.33333333333422</v>
      </c>
      <c r="CY164" s="59">
        <f ca="1">AVERAGE(OFFSET($CX$3,0,0,'Données projet'!$E$13+1,1))-AVERAGE(OFFSET($H$3,0,0,'Données projet'!$E$13+1,1))</f>
        <v>133.08385802816008</v>
      </c>
      <c r="CZ164" s="59">
        <f t="shared" si="150"/>
        <v>316.59112511251385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projet'!$B$13,Paramètres!$A$1:$I$88,7,0))</f>
        <v>0</v>
      </c>
      <c r="DD164" s="16">
        <f>IF(ISNA(VLOOKUP(A164,'Données projet'!$A$139:$I$159,6,0)),0%,VLOOKUP(A164,'Données projet'!$A$139:$I$159,6,0)*VLOOKUP('Données projet'!$B$13,Paramètres!$A$1:$I$88,7,0))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projet'!$B$13,Paramètres!$A$1:$I$88,3,0)*0.475*44/12</f>
        <v>5.3933826758283088</v>
      </c>
      <c r="DG164" s="21">
        <f>EXP(-LN(2)/25)*DG163+(1-EXP(-LN(2)/25))/(LN(2)/25)*Calculateur!DB164*Calculateur!DD164*VLOOKUP('Données projet'!$B$13,Paramètres!$A$1:$I$88,3,0)*0.475*44/12</f>
        <v>0</v>
      </c>
      <c r="DH164" s="21">
        <f>EXP(-LN(2)/2)*DH163+(1-EXP(-LN(2)/2))/(LN(2)/2)*DB164*DE164*VLOOKUP('Données projet'!$B$13,Paramètres!$A$1:$I$88,3,0)*0.475*44/12</f>
        <v>1.0837324953972854E-19</v>
      </c>
      <c r="DI164" s="22">
        <f t="shared" si="175"/>
        <v>5.3933826758283088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projet'!$B$14,Paramètres!$A$1:$I$88,3,0)*VLOOKUP('Données projet'!$B$14,Paramètres!$A$1:$I$88,5,0)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projet'!$B$14,Paramètres!$A$1:$I$88,7,0))</f>
        <v>0</v>
      </c>
      <c r="DY164" s="16">
        <f>IF(ISNA(VLOOKUP(A164,'Données projet'!$A$165:$I$185,6,0)),0%,VLOOKUP(A164,'Données projet'!$A$165:$I$185,6,0)*VLOOKUP('Données projet'!$B$14,Paramètres!$A$1:$I$88,7,0))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projet'!$B$14,Paramètres!$A$1:$I$88,3,0)*0.475*44/12</f>
        <v>#N/A</v>
      </c>
      <c r="EB164" s="21" t="e">
        <f>EXP(-LN(2)/25)*EB163+(1-EXP(-LN(2)/25))/(LN(2)/25)*Calculateur!DW164*Calculateur!DY164*VLOOKUP('Données projet'!$B$14,Paramètres!$A$1:$I$88,3,0)*0.475*44/12</f>
        <v>#N/A</v>
      </c>
      <c r="EC164" s="21" t="e">
        <f>EXP(-LN(2)/2)*EC163+(1-EXP(-LN(2)/2))/(LN(2)/2)*DW164*DZ164*VLOOKUP('Données projet'!$B$14,Paramètres!$A$1:$I$88,3,0)*0.475*44/12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projet'!$B$15,Paramètres!$A$1:$I$88,3,0)*VLOOKUP('Données projet'!$B$15,Paramètres!$A$1:$I$88,5,0)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projet'!$B$15,Paramètres!$A$1:$I$88,7,0))</f>
        <v>0</v>
      </c>
      <c r="ET164" s="16">
        <f>IF(ISNA(VLOOKUP(A164,'Données projet'!$A$191:$I$211,6,0)),0%,VLOOKUP(A164,'Données projet'!$A$191:$I$211,6,0)*VLOOKUP('Données projet'!$B$15,Paramètres!$A$1:$I$88,7,0))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projet'!$B$15,Paramètres!$A$1:$I$88,3,0)*0.475*44/12</f>
        <v>#N/A</v>
      </c>
      <c r="EW164" s="21" t="e">
        <f>EXP(-LN(2)/25)*EW163+(1-EXP(-LN(2)/25))/(LN(2)/25)*Calculateur!ER164*Calculateur!ET164*VLOOKUP('Données projet'!$B$15,Paramètres!$A$1:$I$88,3,0)*0.475*44/12</f>
        <v>#N/A</v>
      </c>
      <c r="EX164" s="21" t="e">
        <f>EXP(-LN(2)/2)*EX163+(1-EXP(-LN(2)/2))/(LN(2)/2)*ER164*EU164*VLOOKUP('Données projet'!$B$15,Paramètres!$A$1:$I$88,3,0)*0.475*44/12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projet'!$B$16,Paramètres!$A$1:$I$88,3,0)*VLOOKUP('Données projet'!$B$16,Paramètres!$A$1:$I$88,5,0)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projet'!$B$16,Paramètres!$A$1:$I$88,7,0))</f>
        <v>0</v>
      </c>
      <c r="FO164" s="16">
        <f>IF(ISNA(VLOOKUP(A164,'Données projet'!$A$217:$I$237,6,0)),0%,VLOOKUP(A164,'Données projet'!$A$217:$I$237,6,0)*VLOOKUP('Données projet'!$B$16,Paramètres!$A$1:$I$88,7,0))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projet'!$B$16,Paramètres!$A$1:$I$88,3,0)*0.475*44/12</f>
        <v>#N/A</v>
      </c>
      <c r="FR164" s="21" t="e">
        <f>EXP(-LN(2)/25)*FR163+(1-EXP(-LN(2)/25))/(LN(2)/25)*Calculateur!FM164*Calculateur!FO164*VLOOKUP('Données projet'!$B$16,Paramètres!$A$1:$I$88,3,0)*0.475*44/12</f>
        <v>#N/A</v>
      </c>
      <c r="FS164" s="21" t="e">
        <f>EXP(-LN(2)/2)*FS163+(1-EXP(-LN(2)/2))/(LN(2)/2)*FM164*FP164*VLOOKUP('Données projet'!$B$16,Paramètres!$A$1:$I$88,3,0)*0.475*44/12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projet'!$B$17,Paramètres!$A$1:$I$88,3,0)*VLOOKUP('Données projet'!$B$17,Paramètres!$A$1:$I$88,5,0)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projet'!$B$17,Paramètres!$A$1:$I$88,7,0))</f>
        <v>0</v>
      </c>
      <c r="GJ164" s="16">
        <f>IF(ISNA(VLOOKUP(A164,'Données projet'!$A$243:$I$263,6,0)),0%,VLOOKUP(A164,'Données projet'!$A$243:$I$263,6,0)*VLOOKUP('Données projet'!$B$17,Paramètres!$A$1:$I$88,7,0))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projet'!$B$17,Paramètres!$A$1:$I$88,3,0)*0.475*44/12</f>
        <v>#N/A</v>
      </c>
      <c r="GM164" s="21" t="e">
        <f>EXP(-LN(2)/25)*GM163+(1-EXP(-LN(2)/25))/(LN(2)/25)*Calculateur!GH164*Calculateur!GJ164*VLOOKUP('Données projet'!$B$17,Paramètres!$A$1:$I$88,3,0)*0.475*44/12</f>
        <v>#N/A</v>
      </c>
      <c r="GN164" s="21" t="e">
        <f>EXP(-LN(2)/2)*GN163+(1-EXP(-LN(2)/2))/(LN(2)/2)*GH164*GK164*VLOOKUP('Données projet'!$B$17,Paramètres!$A$1:$I$88,3,0)*0.475*44/12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projet'!$B$18,Paramètres!$A$1:$I$88,3,0)*VLOOKUP('Données projet'!$B$18,Paramètres!$A$1:$I$88,5,0)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projet'!$B$18,Paramètres!$A$1:$I$88,7,0))</f>
        <v>0</v>
      </c>
      <c r="HE164" s="16">
        <f>IF(ISNA(VLOOKUP(A164,'Données projet'!$A$269:$I$289,6,0)),0%,VLOOKUP(A164,'Données projet'!$A$269:$I$289,6,0)*VLOOKUP('Données projet'!$B$18,Paramètres!$A$1:$I$88,7,0))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projet'!$B$18,Paramètres!$A$1:$I$88,3,0)*0.475*44/12</f>
        <v>#N/A</v>
      </c>
      <c r="HH164" s="21" t="e">
        <f>EXP(-LN(2)/25)*HH163+(1-EXP(-LN(2)/25))/(LN(2)/25)*Calculateur!HC164*Calculateur!HE164*VLOOKUP('Données projet'!$B$18,Paramètres!$A$1:$I$88,3,0)*0.475*44/12</f>
        <v>#N/A</v>
      </c>
      <c r="HI164" s="21" t="e">
        <f>EXP(-LN(2)/2)*HI163+(1-EXP(-LN(2)/2))/(LN(2)/2)*HC164*HF164*VLOOKUP('Données projet'!$B$18,Paramètres!$A$1:$I$88,3,0)*0.475*44/12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projet'!$B$9,Paramètres!$A$1:$I$88,3,0)*VLOOKUP('Données projet'!$B$9,Paramètres!$A$1:$I$88,5,0)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195.73441209602686</v>
      </c>
      <c r="T165" s="59">
        <f t="shared" si="142"/>
        <v>219.19129224309006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projet'!$B$9,Paramètres!$A$1:$I$88,7,0))</f>
        <v>0</v>
      </c>
      <c r="X165" s="16">
        <f>IF(ISNA(VLOOKUP(A165,'Données projet'!$A$35:$I$55,6,0)),0%,VLOOKUP(A165,'Données projet'!$A$35:$I$55,6,0)*VLOOKUP('Données projet'!$B$9,Paramètres!$A$1:$I$88,7,0))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projet'!$B$9,Paramètres!$A$1:$I$88,3,0)*0.475*44/12</f>
        <v>1.1169229117158643</v>
      </c>
      <c r="AA165" s="21">
        <f>EXP(-LN(2)/25)*AA164+(1-EXP(-LN(2)/25))/(LN(2)/25)*Calculateur!V165*Calculateur!X165*VLOOKUP('Données projet'!$B$9,Paramètres!$A$1:$I$88,3,0)*0.475*44/12</f>
        <v>0.36437851493189066</v>
      </c>
      <c r="AB165" s="21">
        <f>EXP(-LN(2)/2)*AB164+(1-EXP(-LN(2)/2))/(LN(2)/2)*V165*Y165*VLOOKUP('Données projet'!$B$9,Paramètres!$A$1:$I$88,3,0)*0.475*44/12</f>
        <v>5.3766071235966526E-22</v>
      </c>
      <c r="AC165" s="22">
        <f t="shared" si="163"/>
        <v>1.4813014266477551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-4.5474735088646412E-13</v>
      </c>
      <c r="AJ165" s="13">
        <f>AI165*VLOOKUP('Données projet'!$B$10,Paramètres!$A$1:$I$88,3,0)*VLOOKUP('Données projet'!$B$10,Paramètres!$A$1:$I$88,5,0)</f>
        <v>-2.7193891583010558E-13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246.59447135626942</v>
      </c>
      <c r="AO165" s="59">
        <f t="shared" si="144"/>
        <v>262.00382544285367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projet'!$B$10,Paramètres!$A$1:$I$88,7,0))</f>
        <v>0</v>
      </c>
      <c r="AS165" s="16">
        <f>IF(ISNA(VLOOKUP(A165,'Données projet'!$A$61:$I$81,6,0)),0%,VLOOKUP(A165,'Données projet'!$A$61:$I$81,6,0)*VLOOKUP('Données projet'!$B$10,Paramètres!$A$1:$I$88,7,0))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projet'!$B$10,Paramètres!$A$1:$I$88,3,0)*0.475*44/12</f>
        <v>0</v>
      </c>
      <c r="AV165" s="21">
        <f>EXP(-LN(2)/25)*AV164+(1-EXP(-LN(2)/25))/(LN(2)/25)*Calculateur!AQ165*Calculateur!AS165*VLOOKUP('Données projet'!$B$10,Paramètres!$A$1:$I$88,3,0)*0.475*44/12</f>
        <v>0.33070431374398429</v>
      </c>
      <c r="AW165" s="21">
        <f>EXP(-LN(2)/2)*AW164+(1-EXP(-LN(2)/2))/(LN(2)/2)*AQ165*AT165*VLOOKUP('Données projet'!$B$10,Paramètres!$A$1:$I$88,3,0)*0.475*44/12</f>
        <v>3.2159279408606105E-19</v>
      </c>
      <c r="AX165" s="21">
        <f t="shared" si="166"/>
        <v>0.33070431374398429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-5.6843418860808015E-13</v>
      </c>
      <c r="BE165" s="13">
        <f>BD165*VLOOKUP('Données projet'!$B$11,Paramètres!$A$1:$I$88,3,0)*VLOOKUP('Données projet'!$B$11,Paramètres!$A$1:$I$88,5,0)</f>
        <v>-3.177547114319168E-13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355.96253323046608</v>
      </c>
      <c r="BJ165" s="59">
        <f t="shared" si="146"/>
        <v>366.8380442809696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projet'!$B$11,Paramètres!$A$1:$I$88,7,0))</f>
        <v>0</v>
      </c>
      <c r="BN165" s="16">
        <f>IF(ISNA(VLOOKUP(A165,'Données projet'!$A$87:$I$107,6,0)),0%,VLOOKUP(A165,'Données projet'!$A$87:$I$107,6,0)*VLOOKUP('Données projet'!$B$11,Paramètres!$A$1:$I$88,7,0))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projet'!$B$11,Paramètres!$A$1:$I$88,3,0)*0.475*44/12</f>
        <v>0</v>
      </c>
      <c r="BQ165" s="21">
        <f>EXP(-LN(2)/25)*BQ164+(1-EXP(-LN(2)/25))/(LN(2)/25)*Calculateur!BL165*Calculateur!BN165*VLOOKUP('Données projet'!$B$11,Paramètres!$A$1:$I$88,3,0)*0.475*44/12</f>
        <v>0.58551651006818983</v>
      </c>
      <c r="BR165" s="21">
        <f>EXP(-LN(2)/2)*BR164+(1-EXP(-LN(2)/2))/(LN(2)/2)*BL165*BO165*VLOOKUP('Données projet'!$B$11,Paramètres!$A$1:$I$88,3,0)*0.475*44/12</f>
        <v>4.9723486053760807E-19</v>
      </c>
      <c r="BS165" s="22">
        <f t="shared" si="169"/>
        <v>0.58551651006818983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projet'!$B$12,Paramètres!$A$1:$I$88,3,0)*VLOOKUP('Données projet'!$B$12,Paramètres!$A$1:$I$88,5,0)</f>
        <v>3.7243808037601412E-14</v>
      </c>
      <c r="CA165" s="13">
        <f t="shared" si="170"/>
        <v>6.2767589361185393E-13</v>
      </c>
      <c r="CB165" s="20">
        <f t="shared" si="171"/>
        <v>1.1580684803728015E-12</v>
      </c>
      <c r="CC165" s="59">
        <f t="shared" si="119"/>
        <v>293.33333333333445</v>
      </c>
      <c r="CD165" s="59">
        <f ca="1">AVERAGE(OFFSET($CC$3,0,0,'Données projet'!$E$12+1,1))-AVERAGE(OFFSET($H$3,0,0,'Données projet'!$E$12+1,1))</f>
        <v>180.90147430936133</v>
      </c>
      <c r="CE165" s="59">
        <f t="shared" si="148"/>
        <v>226.87949199830018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projet'!$B$12,Paramètres!$A$1:$I$88,7,0))</f>
        <v>0</v>
      </c>
      <c r="CI165" s="16">
        <f>IF(ISNA(VLOOKUP(A165,'Données projet'!$A$113:$I$133,6,0)),0%,VLOOKUP(A165,'Données projet'!$A$113:$I$133,6,0)*VLOOKUP('Données projet'!$B$12,Paramètres!$A$1:$I$88,7,0))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projet'!$B$12,Paramètres!$A$1:$I$88,3,0)*0.475*44/12</f>
        <v>0</v>
      </c>
      <c r="CL165" s="21">
        <f>EXP(-LN(2)/25)*CL164+(1-EXP(-LN(2)/25))/(LN(2)/25)*Calculateur!CG165*Calculateur!CI165*VLOOKUP('Données projet'!$B$12,Paramètres!$A$1:$I$88,3,0)*0.475*44/12</f>
        <v>0.17682846020708962</v>
      </c>
      <c r="CM165" s="21">
        <f>EXP(-LN(2)/2)*CM164+(1-EXP(-LN(2)/2))/(LN(2)/2)*CG165*CJ165*VLOOKUP('Données projet'!$B$12,Paramètres!$A$1:$I$88,3,0)*0.475*44/12</f>
        <v>1.2010872783060696E-19</v>
      </c>
      <c r="CN165" s="22">
        <f t="shared" si="172"/>
        <v>0.17682846020708962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5.6843418860808015E-14</v>
      </c>
      <c r="CU165" s="17">
        <f>CT165*VLOOKUP('Données projet'!$B$13,Paramètres!$A$1:$I$88,3,0)*VLOOKUP('Données projet'!$B$13,Paramètres!$A$1:$I$88,5,0)</f>
        <v>2.8908289095852525E-14</v>
      </c>
      <c r="CV165" s="13">
        <f t="shared" si="173"/>
        <v>5.0177780569126974E-13</v>
      </c>
      <c r="CW165" s="20">
        <f t="shared" si="174"/>
        <v>9.2427828175423786E-13</v>
      </c>
      <c r="CX165" s="59">
        <f t="shared" si="122"/>
        <v>293.33333333333422</v>
      </c>
      <c r="CY165" s="59">
        <f ca="1">AVERAGE(OFFSET($CX$3,0,0,'Données projet'!$E$13+1,1))-AVERAGE(OFFSET($H$3,0,0,'Données projet'!$E$13+1,1))</f>
        <v>133.08385802816008</v>
      </c>
      <c r="CZ165" s="59">
        <f t="shared" si="150"/>
        <v>316.59112511251385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projet'!$B$13,Paramètres!$A$1:$I$88,7,0))</f>
        <v>0</v>
      </c>
      <c r="DD165" s="16">
        <f>IF(ISNA(VLOOKUP(A165,'Données projet'!$A$139:$I$159,6,0)),0%,VLOOKUP(A165,'Données projet'!$A$139:$I$159,6,0)*VLOOKUP('Données projet'!$B$13,Paramètres!$A$1:$I$88,7,0))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projet'!$B$13,Paramètres!$A$1:$I$88,3,0)*0.475*44/12</f>
        <v>5.2876217311939229</v>
      </c>
      <c r="DG165" s="21">
        <f>EXP(-LN(2)/25)*DG164+(1-EXP(-LN(2)/25))/(LN(2)/25)*Calculateur!DB165*Calculateur!DD165*VLOOKUP('Données projet'!$B$13,Paramètres!$A$1:$I$88,3,0)*0.475*44/12</f>
        <v>0</v>
      </c>
      <c r="DH165" s="21">
        <f>EXP(-LN(2)/2)*DH164+(1-EXP(-LN(2)/2))/(LN(2)/2)*DB165*DE165*VLOOKUP('Données projet'!$B$13,Paramètres!$A$1:$I$88,3,0)*0.475*44/12</f>
        <v>7.6631459648763945E-20</v>
      </c>
      <c r="DI165" s="22">
        <f t="shared" si="175"/>
        <v>5.2876217311939229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projet'!$B$14,Paramètres!$A$1:$I$88,3,0)*VLOOKUP('Données projet'!$B$14,Paramètres!$A$1:$I$88,5,0)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projet'!$B$14,Paramètres!$A$1:$I$88,7,0))</f>
        <v>0</v>
      </c>
      <c r="DY165" s="16">
        <f>IF(ISNA(VLOOKUP(A165,'Données projet'!$A$165:$I$185,6,0)),0%,VLOOKUP(A165,'Données projet'!$A$165:$I$185,6,0)*VLOOKUP('Données projet'!$B$14,Paramètres!$A$1:$I$88,7,0))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projet'!$B$14,Paramètres!$A$1:$I$88,3,0)*0.475*44/12</f>
        <v>#N/A</v>
      </c>
      <c r="EB165" s="21" t="e">
        <f>EXP(-LN(2)/25)*EB164+(1-EXP(-LN(2)/25))/(LN(2)/25)*Calculateur!DW165*Calculateur!DY165*VLOOKUP('Données projet'!$B$14,Paramètres!$A$1:$I$88,3,0)*0.475*44/12</f>
        <v>#N/A</v>
      </c>
      <c r="EC165" s="21" t="e">
        <f>EXP(-LN(2)/2)*EC164+(1-EXP(-LN(2)/2))/(LN(2)/2)*DW165*DZ165*VLOOKUP('Données projet'!$B$14,Paramètres!$A$1:$I$88,3,0)*0.475*44/12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projet'!$B$15,Paramètres!$A$1:$I$88,3,0)*VLOOKUP('Données projet'!$B$15,Paramètres!$A$1:$I$88,5,0)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projet'!$B$15,Paramètres!$A$1:$I$88,7,0))</f>
        <v>0</v>
      </c>
      <c r="ET165" s="16">
        <f>IF(ISNA(VLOOKUP(A165,'Données projet'!$A$191:$I$211,6,0)),0%,VLOOKUP(A165,'Données projet'!$A$191:$I$211,6,0)*VLOOKUP('Données projet'!$B$15,Paramètres!$A$1:$I$88,7,0))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projet'!$B$15,Paramètres!$A$1:$I$88,3,0)*0.475*44/12</f>
        <v>#N/A</v>
      </c>
      <c r="EW165" s="21" t="e">
        <f>EXP(-LN(2)/25)*EW164+(1-EXP(-LN(2)/25))/(LN(2)/25)*Calculateur!ER165*Calculateur!ET165*VLOOKUP('Données projet'!$B$15,Paramètres!$A$1:$I$88,3,0)*0.475*44/12</f>
        <v>#N/A</v>
      </c>
      <c r="EX165" s="21" t="e">
        <f>EXP(-LN(2)/2)*EX164+(1-EXP(-LN(2)/2))/(LN(2)/2)*ER165*EU165*VLOOKUP('Données projet'!$B$15,Paramètres!$A$1:$I$88,3,0)*0.475*44/12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projet'!$B$16,Paramètres!$A$1:$I$88,3,0)*VLOOKUP('Données projet'!$B$16,Paramètres!$A$1:$I$88,5,0)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projet'!$B$16,Paramètres!$A$1:$I$88,7,0))</f>
        <v>0</v>
      </c>
      <c r="FO165" s="16">
        <f>IF(ISNA(VLOOKUP(A165,'Données projet'!$A$217:$I$237,6,0)),0%,VLOOKUP(A165,'Données projet'!$A$217:$I$237,6,0)*VLOOKUP('Données projet'!$B$16,Paramètres!$A$1:$I$88,7,0))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projet'!$B$16,Paramètres!$A$1:$I$88,3,0)*0.475*44/12</f>
        <v>#N/A</v>
      </c>
      <c r="FR165" s="21" t="e">
        <f>EXP(-LN(2)/25)*FR164+(1-EXP(-LN(2)/25))/(LN(2)/25)*Calculateur!FM165*Calculateur!FO165*VLOOKUP('Données projet'!$B$16,Paramètres!$A$1:$I$88,3,0)*0.475*44/12</f>
        <v>#N/A</v>
      </c>
      <c r="FS165" s="21" t="e">
        <f>EXP(-LN(2)/2)*FS164+(1-EXP(-LN(2)/2))/(LN(2)/2)*FM165*FP165*VLOOKUP('Données projet'!$B$16,Paramètres!$A$1:$I$88,3,0)*0.475*44/12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projet'!$B$17,Paramètres!$A$1:$I$88,3,0)*VLOOKUP('Données projet'!$B$17,Paramètres!$A$1:$I$88,5,0)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projet'!$B$17,Paramètres!$A$1:$I$88,7,0))</f>
        <v>0</v>
      </c>
      <c r="GJ165" s="16">
        <f>IF(ISNA(VLOOKUP(A165,'Données projet'!$A$243:$I$263,6,0)),0%,VLOOKUP(A165,'Données projet'!$A$243:$I$263,6,0)*VLOOKUP('Données projet'!$B$17,Paramètres!$A$1:$I$88,7,0))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projet'!$B$17,Paramètres!$A$1:$I$88,3,0)*0.475*44/12</f>
        <v>#N/A</v>
      </c>
      <c r="GM165" s="21" t="e">
        <f>EXP(-LN(2)/25)*GM164+(1-EXP(-LN(2)/25))/(LN(2)/25)*Calculateur!GH165*Calculateur!GJ165*VLOOKUP('Données projet'!$B$17,Paramètres!$A$1:$I$88,3,0)*0.475*44/12</f>
        <v>#N/A</v>
      </c>
      <c r="GN165" s="21" t="e">
        <f>EXP(-LN(2)/2)*GN164+(1-EXP(-LN(2)/2))/(LN(2)/2)*GH165*GK165*VLOOKUP('Données projet'!$B$17,Paramètres!$A$1:$I$88,3,0)*0.475*44/12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projet'!$B$18,Paramètres!$A$1:$I$88,3,0)*VLOOKUP('Données projet'!$B$18,Paramètres!$A$1:$I$88,5,0)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projet'!$B$18,Paramètres!$A$1:$I$88,7,0))</f>
        <v>0</v>
      </c>
      <c r="HE165" s="16">
        <f>IF(ISNA(VLOOKUP(A165,'Données projet'!$A$269:$I$289,6,0)),0%,VLOOKUP(A165,'Données projet'!$A$269:$I$289,6,0)*VLOOKUP('Données projet'!$B$18,Paramètres!$A$1:$I$88,7,0))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projet'!$B$18,Paramètres!$A$1:$I$88,3,0)*0.475*44/12</f>
        <v>#N/A</v>
      </c>
      <c r="HH165" s="21" t="e">
        <f>EXP(-LN(2)/25)*HH164+(1-EXP(-LN(2)/25))/(LN(2)/25)*Calculateur!HC165*Calculateur!HE165*VLOOKUP('Données projet'!$B$18,Paramètres!$A$1:$I$88,3,0)*0.475*44/12</f>
        <v>#N/A</v>
      </c>
      <c r="HI165" s="21" t="e">
        <f>EXP(-LN(2)/2)*HI164+(1-EXP(-LN(2)/2))/(LN(2)/2)*HC165*HF165*VLOOKUP('Données projet'!$B$18,Paramètres!$A$1:$I$88,3,0)*0.475*44/12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projet'!$B$9,Paramètres!$A$1:$I$88,3,0)*VLOOKUP('Données projet'!$B$9,Paramètres!$A$1:$I$88,5,0)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195.73441209602686</v>
      </c>
      <c r="T166" s="59">
        <f t="shared" si="142"/>
        <v>219.19129224309006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projet'!$B$9,Paramètres!$A$1:$I$88,7,0))</f>
        <v>0</v>
      </c>
      <c r="X166" s="16">
        <f>IF(ISNA(VLOOKUP(A166,'Données projet'!$A$35:$I$55,6,0)),0%,VLOOKUP(A166,'Données projet'!$A$35:$I$55,6,0)*VLOOKUP('Données projet'!$B$9,Paramètres!$A$1:$I$88,7,0))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projet'!$B$9,Paramètres!$A$1:$I$88,3,0)*0.475*44/12</f>
        <v>1.095020734672824</v>
      </c>
      <c r="AA166" s="21">
        <f>EXP(-LN(2)/25)*AA165+(1-EXP(-LN(2)/25))/(LN(2)/25)*Calculateur!V166*Calculateur!X166*VLOOKUP('Données projet'!$B$9,Paramètres!$A$1:$I$88,3,0)*0.475*44/12</f>
        <v>0.35441456527924481</v>
      </c>
      <c r="AB166" s="21">
        <f>EXP(-LN(2)/2)*AB165+(1-EXP(-LN(2)/2))/(LN(2)/2)*V166*Y166*VLOOKUP('Données projet'!$B$9,Paramètres!$A$1:$I$88,3,0)*0.475*44/12</f>
        <v>3.801835356871091E-22</v>
      </c>
      <c r="AC166" s="22">
        <f t="shared" si="163"/>
        <v>1.4494352999520688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-4.5474735088646412E-13</v>
      </c>
      <c r="AJ166" s="13">
        <f>AI166*VLOOKUP('Données projet'!$B$10,Paramètres!$A$1:$I$88,3,0)*VLOOKUP('Données projet'!$B$10,Paramètres!$A$1:$I$88,5,0)</f>
        <v>-2.7193891583010558E-13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246.59447135626942</v>
      </c>
      <c r="AO166" s="59">
        <f t="shared" si="144"/>
        <v>262.00382544285367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projet'!$B$10,Paramètres!$A$1:$I$88,7,0))</f>
        <v>0</v>
      </c>
      <c r="AS166" s="16">
        <f>IF(ISNA(VLOOKUP(A166,'Données projet'!$A$61:$I$81,6,0)),0%,VLOOKUP(A166,'Données projet'!$A$61:$I$81,6,0)*VLOOKUP('Données projet'!$B$10,Paramètres!$A$1:$I$88,7,0))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projet'!$B$10,Paramètres!$A$1:$I$88,3,0)*0.475*44/12</f>
        <v>0</v>
      </c>
      <c r="AV166" s="21">
        <f>EXP(-LN(2)/25)*AV165+(1-EXP(-LN(2)/25))/(LN(2)/25)*Calculateur!AQ166*Calculateur!AS166*VLOOKUP('Données projet'!$B$10,Paramètres!$A$1:$I$88,3,0)*0.475*44/12</f>
        <v>0.32166118689367101</v>
      </c>
      <c r="AW166" s="21">
        <f>EXP(-LN(2)/2)*AW165+(1-EXP(-LN(2)/2))/(LN(2)/2)*AQ166*AT166*VLOOKUP('Données projet'!$B$10,Paramètres!$A$1:$I$88,3,0)*0.475*44/12</f>
        <v>2.274004454789828E-19</v>
      </c>
      <c r="AX166" s="21">
        <f t="shared" si="166"/>
        <v>0.32166118689367101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-5.6843418860808015E-13</v>
      </c>
      <c r="BE166" s="13">
        <f>BD166*VLOOKUP('Données projet'!$B$11,Paramètres!$A$1:$I$88,3,0)*VLOOKUP('Données projet'!$B$11,Paramètres!$A$1:$I$88,5,0)</f>
        <v>-3.177547114319168E-13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355.96253323046608</v>
      </c>
      <c r="BJ166" s="59">
        <f t="shared" si="146"/>
        <v>366.8380442809696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projet'!$B$11,Paramètres!$A$1:$I$88,7,0))</f>
        <v>0</v>
      </c>
      <c r="BN166" s="16">
        <f>IF(ISNA(VLOOKUP(A166,'Données projet'!$A$87:$I$107,6,0)),0%,VLOOKUP(A166,'Données projet'!$A$87:$I$107,6,0)*VLOOKUP('Données projet'!$B$11,Paramètres!$A$1:$I$88,7,0))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projet'!$B$11,Paramètres!$A$1:$I$88,3,0)*0.475*44/12</f>
        <v>0</v>
      </c>
      <c r="BQ166" s="21">
        <f>EXP(-LN(2)/25)*BQ165+(1-EXP(-LN(2)/25))/(LN(2)/25)*Calculateur!BL166*Calculateur!BN166*VLOOKUP('Données projet'!$B$11,Paramètres!$A$1:$I$88,3,0)*0.475*44/12</f>
        <v>0.5695055303094001</v>
      </c>
      <c r="BR166" s="21">
        <f>EXP(-LN(2)/2)*BR165+(1-EXP(-LN(2)/2))/(LN(2)/2)*BL166*BO166*VLOOKUP('Données projet'!$B$11,Paramètres!$A$1:$I$88,3,0)*0.475*44/12</f>
        <v>3.5159814172848991E-19</v>
      </c>
      <c r="BS166" s="22">
        <f t="shared" si="169"/>
        <v>0.5695055303094001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projet'!$B$12,Paramètres!$A$1:$I$88,3,0)*VLOOKUP('Données projet'!$B$12,Paramètres!$A$1:$I$88,5,0)</f>
        <v>3.7243808037601412E-14</v>
      </c>
      <c r="CA166" s="13">
        <f t="shared" si="170"/>
        <v>6.2767589361185393E-13</v>
      </c>
      <c r="CB166" s="20">
        <f t="shared" si="171"/>
        <v>1.1580684803728015E-12</v>
      </c>
      <c r="CC166" s="59">
        <f t="shared" si="119"/>
        <v>293.33333333333445</v>
      </c>
      <c r="CD166" s="59">
        <f ca="1">AVERAGE(OFFSET($CC$3,0,0,'Données projet'!$E$12+1,1))-AVERAGE(OFFSET($H$3,0,0,'Données projet'!$E$12+1,1))</f>
        <v>180.90147430936133</v>
      </c>
      <c r="CE166" s="59">
        <f t="shared" si="148"/>
        <v>226.87949199830018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projet'!$B$12,Paramètres!$A$1:$I$88,7,0))</f>
        <v>0</v>
      </c>
      <c r="CI166" s="16">
        <f>IF(ISNA(VLOOKUP(A166,'Données projet'!$A$113:$I$133,6,0)),0%,VLOOKUP(A166,'Données projet'!$A$113:$I$133,6,0)*VLOOKUP('Données projet'!$B$12,Paramètres!$A$1:$I$88,7,0))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projet'!$B$12,Paramètres!$A$1:$I$88,3,0)*0.475*44/12</f>
        <v>0</v>
      </c>
      <c r="CL166" s="21">
        <f>EXP(-LN(2)/25)*CL165+(1-EXP(-LN(2)/25))/(LN(2)/25)*Calculateur!CG166*Calculateur!CI166*VLOOKUP('Données projet'!$B$12,Paramètres!$A$1:$I$88,3,0)*0.475*44/12</f>
        <v>0.17199307666372218</v>
      </c>
      <c r="CM166" s="21">
        <f>EXP(-LN(2)/2)*CM165+(1-EXP(-LN(2)/2))/(LN(2)/2)*CG166*CJ166*VLOOKUP('Données projet'!$B$12,Paramètres!$A$1:$I$88,3,0)*0.475*44/12</f>
        <v>8.4929695928711587E-20</v>
      </c>
      <c r="CN166" s="22">
        <f t="shared" si="172"/>
        <v>0.17199307666372218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5.6843418860808015E-14</v>
      </c>
      <c r="CU166" s="17">
        <f>CT166*VLOOKUP('Données projet'!$B$13,Paramètres!$A$1:$I$88,3,0)*VLOOKUP('Données projet'!$B$13,Paramètres!$A$1:$I$88,5,0)</f>
        <v>2.8908289095852525E-14</v>
      </c>
      <c r="CV166" s="13">
        <f t="shared" si="173"/>
        <v>5.0177780569126974E-13</v>
      </c>
      <c r="CW166" s="20">
        <f t="shared" si="174"/>
        <v>9.2427828175423786E-13</v>
      </c>
      <c r="CX166" s="59">
        <f t="shared" si="122"/>
        <v>293.33333333333422</v>
      </c>
      <c r="CY166" s="59">
        <f ca="1">AVERAGE(OFFSET($CX$3,0,0,'Données projet'!$E$13+1,1))-AVERAGE(OFFSET($H$3,0,0,'Données projet'!$E$13+1,1))</f>
        <v>133.08385802816008</v>
      </c>
      <c r="CZ166" s="59">
        <f t="shared" si="150"/>
        <v>316.59112511251385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projet'!$B$13,Paramètres!$A$1:$I$88,7,0))</f>
        <v>0</v>
      </c>
      <c r="DD166" s="16">
        <f>IF(ISNA(VLOOKUP(A166,'Données projet'!$A$139:$I$159,6,0)),0%,VLOOKUP(A166,'Données projet'!$A$139:$I$159,6,0)*VLOOKUP('Données projet'!$B$13,Paramètres!$A$1:$I$88,7,0))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projet'!$B$13,Paramètres!$A$1:$I$88,3,0)*0.475*44/12</f>
        <v>5.1839346941760107</v>
      </c>
      <c r="DG166" s="21">
        <f>EXP(-LN(2)/25)*DG165+(1-EXP(-LN(2)/25))/(LN(2)/25)*Calculateur!DB166*Calculateur!DD166*VLOOKUP('Données projet'!$B$13,Paramètres!$A$1:$I$88,3,0)*0.475*44/12</f>
        <v>0</v>
      </c>
      <c r="DH166" s="21">
        <f>EXP(-LN(2)/2)*DH165+(1-EXP(-LN(2)/2))/(LN(2)/2)*DB166*DE166*VLOOKUP('Données projet'!$B$13,Paramètres!$A$1:$I$88,3,0)*0.475*44/12</f>
        <v>5.4186624769864275E-20</v>
      </c>
      <c r="DI166" s="22">
        <f t="shared" si="175"/>
        <v>5.1839346941760107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projet'!$B$14,Paramètres!$A$1:$I$88,3,0)*VLOOKUP('Données projet'!$B$14,Paramètres!$A$1:$I$88,5,0)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projet'!$B$14,Paramètres!$A$1:$I$88,7,0))</f>
        <v>0</v>
      </c>
      <c r="DY166" s="16">
        <f>IF(ISNA(VLOOKUP(A166,'Données projet'!$A$165:$I$185,6,0)),0%,VLOOKUP(A166,'Données projet'!$A$165:$I$185,6,0)*VLOOKUP('Données projet'!$B$14,Paramètres!$A$1:$I$88,7,0))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projet'!$B$14,Paramètres!$A$1:$I$88,3,0)*0.475*44/12</f>
        <v>#N/A</v>
      </c>
      <c r="EB166" s="21" t="e">
        <f>EXP(-LN(2)/25)*EB165+(1-EXP(-LN(2)/25))/(LN(2)/25)*Calculateur!DW166*Calculateur!DY166*VLOOKUP('Données projet'!$B$14,Paramètres!$A$1:$I$88,3,0)*0.475*44/12</f>
        <v>#N/A</v>
      </c>
      <c r="EC166" s="21" t="e">
        <f>EXP(-LN(2)/2)*EC165+(1-EXP(-LN(2)/2))/(LN(2)/2)*DW166*DZ166*VLOOKUP('Données projet'!$B$14,Paramètres!$A$1:$I$88,3,0)*0.475*44/12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projet'!$B$15,Paramètres!$A$1:$I$88,3,0)*VLOOKUP('Données projet'!$B$15,Paramètres!$A$1:$I$88,5,0)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projet'!$B$15,Paramètres!$A$1:$I$88,7,0))</f>
        <v>0</v>
      </c>
      <c r="ET166" s="16">
        <f>IF(ISNA(VLOOKUP(A166,'Données projet'!$A$191:$I$211,6,0)),0%,VLOOKUP(A166,'Données projet'!$A$191:$I$211,6,0)*VLOOKUP('Données projet'!$B$15,Paramètres!$A$1:$I$88,7,0))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projet'!$B$15,Paramètres!$A$1:$I$88,3,0)*0.475*44/12</f>
        <v>#N/A</v>
      </c>
      <c r="EW166" s="21" t="e">
        <f>EXP(-LN(2)/25)*EW165+(1-EXP(-LN(2)/25))/(LN(2)/25)*Calculateur!ER166*Calculateur!ET166*VLOOKUP('Données projet'!$B$15,Paramètres!$A$1:$I$88,3,0)*0.475*44/12</f>
        <v>#N/A</v>
      </c>
      <c r="EX166" s="21" t="e">
        <f>EXP(-LN(2)/2)*EX165+(1-EXP(-LN(2)/2))/(LN(2)/2)*ER166*EU166*VLOOKUP('Données projet'!$B$15,Paramètres!$A$1:$I$88,3,0)*0.475*44/12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projet'!$B$16,Paramètres!$A$1:$I$88,3,0)*VLOOKUP('Données projet'!$B$16,Paramètres!$A$1:$I$88,5,0)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projet'!$B$16,Paramètres!$A$1:$I$88,7,0))</f>
        <v>0</v>
      </c>
      <c r="FO166" s="16">
        <f>IF(ISNA(VLOOKUP(A166,'Données projet'!$A$217:$I$237,6,0)),0%,VLOOKUP(A166,'Données projet'!$A$217:$I$237,6,0)*VLOOKUP('Données projet'!$B$16,Paramètres!$A$1:$I$88,7,0))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projet'!$B$16,Paramètres!$A$1:$I$88,3,0)*0.475*44/12</f>
        <v>#N/A</v>
      </c>
      <c r="FR166" s="21" t="e">
        <f>EXP(-LN(2)/25)*FR165+(1-EXP(-LN(2)/25))/(LN(2)/25)*Calculateur!FM166*Calculateur!FO166*VLOOKUP('Données projet'!$B$16,Paramètres!$A$1:$I$88,3,0)*0.475*44/12</f>
        <v>#N/A</v>
      </c>
      <c r="FS166" s="21" t="e">
        <f>EXP(-LN(2)/2)*FS165+(1-EXP(-LN(2)/2))/(LN(2)/2)*FM166*FP166*VLOOKUP('Données projet'!$B$16,Paramètres!$A$1:$I$88,3,0)*0.475*44/12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projet'!$B$17,Paramètres!$A$1:$I$88,3,0)*VLOOKUP('Données projet'!$B$17,Paramètres!$A$1:$I$88,5,0)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projet'!$B$17,Paramètres!$A$1:$I$88,7,0))</f>
        <v>0</v>
      </c>
      <c r="GJ166" s="16">
        <f>IF(ISNA(VLOOKUP(A166,'Données projet'!$A$243:$I$263,6,0)),0%,VLOOKUP(A166,'Données projet'!$A$243:$I$263,6,0)*VLOOKUP('Données projet'!$B$17,Paramètres!$A$1:$I$88,7,0))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projet'!$B$17,Paramètres!$A$1:$I$88,3,0)*0.475*44/12</f>
        <v>#N/A</v>
      </c>
      <c r="GM166" s="21" t="e">
        <f>EXP(-LN(2)/25)*GM165+(1-EXP(-LN(2)/25))/(LN(2)/25)*Calculateur!GH166*Calculateur!GJ166*VLOOKUP('Données projet'!$B$17,Paramètres!$A$1:$I$88,3,0)*0.475*44/12</f>
        <v>#N/A</v>
      </c>
      <c r="GN166" s="21" t="e">
        <f>EXP(-LN(2)/2)*GN165+(1-EXP(-LN(2)/2))/(LN(2)/2)*GH166*GK166*VLOOKUP('Données projet'!$B$17,Paramètres!$A$1:$I$88,3,0)*0.475*44/12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projet'!$B$18,Paramètres!$A$1:$I$88,3,0)*VLOOKUP('Données projet'!$B$18,Paramètres!$A$1:$I$88,5,0)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projet'!$B$18,Paramètres!$A$1:$I$88,7,0))</f>
        <v>0</v>
      </c>
      <c r="HE166" s="16">
        <f>IF(ISNA(VLOOKUP(A166,'Données projet'!$A$269:$I$289,6,0)),0%,VLOOKUP(A166,'Données projet'!$A$269:$I$289,6,0)*VLOOKUP('Données projet'!$B$18,Paramètres!$A$1:$I$88,7,0))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projet'!$B$18,Paramètres!$A$1:$I$88,3,0)*0.475*44/12</f>
        <v>#N/A</v>
      </c>
      <c r="HH166" s="21" t="e">
        <f>EXP(-LN(2)/25)*HH165+(1-EXP(-LN(2)/25))/(LN(2)/25)*Calculateur!HC166*Calculateur!HE166*VLOOKUP('Données projet'!$B$18,Paramètres!$A$1:$I$88,3,0)*0.475*44/12</f>
        <v>#N/A</v>
      </c>
      <c r="HI166" s="21" t="e">
        <f>EXP(-LN(2)/2)*HI165+(1-EXP(-LN(2)/2))/(LN(2)/2)*HC166*HF166*VLOOKUP('Données projet'!$B$18,Paramètres!$A$1:$I$88,3,0)*0.475*44/12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projet'!$B$9,Paramètres!$A$1:$I$88,3,0)*VLOOKUP('Données projet'!$B$9,Paramètres!$A$1:$I$88,5,0)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195.73441209602686</v>
      </c>
      <c r="T167" s="59">
        <f t="shared" si="142"/>
        <v>219.19129224309006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projet'!$B$9,Paramètres!$A$1:$I$88,7,0))</f>
        <v>0</v>
      </c>
      <c r="X167" s="16">
        <f>IF(ISNA(VLOOKUP(A167,'Données projet'!$A$35:$I$55,6,0)),0%,VLOOKUP(A167,'Données projet'!$A$35:$I$55,6,0)*VLOOKUP('Données projet'!$B$9,Paramètres!$A$1:$I$88,7,0))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projet'!$B$9,Paramètres!$A$1:$I$88,3,0)*0.475*44/12</f>
        <v>1.0735480459625888</v>
      </c>
      <c r="AA167" s="21">
        <f>EXP(-LN(2)/25)*AA166+(1-EXP(-LN(2)/25))/(LN(2)/25)*Calculateur!V167*Calculateur!X167*VLOOKUP('Données projet'!$B$9,Paramètres!$A$1:$I$88,3,0)*0.475*44/12</f>
        <v>0.34472308035383192</v>
      </c>
      <c r="AB167" s="21">
        <f>EXP(-LN(2)/2)*AB166+(1-EXP(-LN(2)/2))/(LN(2)/2)*V167*Y167*VLOOKUP('Données projet'!$B$9,Paramètres!$A$1:$I$88,3,0)*0.475*44/12</f>
        <v>2.6883035617983263E-22</v>
      </c>
      <c r="AC167" s="22">
        <f t="shared" si="163"/>
        <v>1.4182711263164207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-4.5474735088646412E-13</v>
      </c>
      <c r="AJ167" s="13">
        <f>AI167*VLOOKUP('Données projet'!$B$10,Paramètres!$A$1:$I$88,3,0)*VLOOKUP('Données projet'!$B$10,Paramètres!$A$1:$I$88,5,0)</f>
        <v>-2.7193891583010558E-13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246.59447135626942</v>
      </c>
      <c r="AO167" s="59">
        <f t="shared" si="144"/>
        <v>262.00382544285367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projet'!$B$10,Paramètres!$A$1:$I$88,7,0))</f>
        <v>0</v>
      </c>
      <c r="AS167" s="16">
        <f>IF(ISNA(VLOOKUP(A167,'Données projet'!$A$61:$I$81,6,0)),0%,VLOOKUP(A167,'Données projet'!$A$61:$I$81,6,0)*VLOOKUP('Données projet'!$B$10,Paramètres!$A$1:$I$88,7,0))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projet'!$B$10,Paramètres!$A$1:$I$88,3,0)*0.475*44/12</f>
        <v>0</v>
      </c>
      <c r="AV167" s="21">
        <f>EXP(-LN(2)/25)*AV166+(1-EXP(-LN(2)/25))/(LN(2)/25)*Calculateur!AQ167*Calculateur!AS167*VLOOKUP('Données projet'!$B$10,Paramètres!$A$1:$I$88,3,0)*0.475*44/12</f>
        <v>0.31286534482263695</v>
      </c>
      <c r="AW167" s="21">
        <f>EXP(-LN(2)/2)*AW166+(1-EXP(-LN(2)/2))/(LN(2)/2)*AQ167*AT167*VLOOKUP('Données projet'!$B$10,Paramètres!$A$1:$I$88,3,0)*0.475*44/12</f>
        <v>1.6079639704303053E-19</v>
      </c>
      <c r="AX167" s="21">
        <f t="shared" si="166"/>
        <v>0.31286534482263695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-5.6843418860808015E-13</v>
      </c>
      <c r="BE167" s="13">
        <f>BD167*VLOOKUP('Données projet'!$B$11,Paramètres!$A$1:$I$88,3,0)*VLOOKUP('Données projet'!$B$11,Paramètres!$A$1:$I$88,5,0)</f>
        <v>-3.177547114319168E-13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355.96253323046608</v>
      </c>
      <c r="BJ167" s="59">
        <f t="shared" si="146"/>
        <v>366.8380442809696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projet'!$B$11,Paramètres!$A$1:$I$88,7,0))</f>
        <v>0</v>
      </c>
      <c r="BN167" s="16">
        <f>IF(ISNA(VLOOKUP(A167,'Données projet'!$A$87:$I$107,6,0)),0%,VLOOKUP(A167,'Données projet'!$A$87:$I$107,6,0)*VLOOKUP('Données projet'!$B$11,Paramètres!$A$1:$I$88,7,0))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projet'!$B$11,Paramètres!$A$1:$I$88,3,0)*0.475*44/12</f>
        <v>0</v>
      </c>
      <c r="BQ167" s="21">
        <f>EXP(-LN(2)/25)*BQ166+(1-EXP(-LN(2)/25))/(LN(2)/25)*Calculateur!BL167*Calculateur!BN167*VLOOKUP('Données projet'!$B$11,Paramètres!$A$1:$I$88,3,0)*0.475*44/12</f>
        <v>0.55393237163409537</v>
      </c>
      <c r="BR167" s="21">
        <f>EXP(-LN(2)/2)*BR166+(1-EXP(-LN(2)/2))/(LN(2)/2)*BL167*BO167*VLOOKUP('Données projet'!$B$11,Paramètres!$A$1:$I$88,3,0)*0.475*44/12</f>
        <v>2.4861743026880403E-19</v>
      </c>
      <c r="BS167" s="22">
        <f t="shared" si="169"/>
        <v>0.55393237163409537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projet'!$B$12,Paramètres!$A$1:$I$88,3,0)*VLOOKUP('Données projet'!$B$12,Paramètres!$A$1:$I$88,5,0)</f>
        <v>3.7243808037601412E-14</v>
      </c>
      <c r="CA167" s="13">
        <f t="shared" si="170"/>
        <v>6.2767589361185393E-13</v>
      </c>
      <c r="CB167" s="20">
        <f t="shared" si="171"/>
        <v>1.1580684803728015E-12</v>
      </c>
      <c r="CC167" s="59">
        <f t="shared" si="119"/>
        <v>293.33333333333445</v>
      </c>
      <c r="CD167" s="59">
        <f ca="1">AVERAGE(OFFSET($CC$3,0,0,'Données projet'!$E$12+1,1))-AVERAGE(OFFSET($H$3,0,0,'Données projet'!$E$12+1,1))</f>
        <v>180.90147430936133</v>
      </c>
      <c r="CE167" s="59">
        <f t="shared" si="148"/>
        <v>226.87949199830018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projet'!$B$12,Paramètres!$A$1:$I$88,7,0))</f>
        <v>0</v>
      </c>
      <c r="CI167" s="16">
        <f>IF(ISNA(VLOOKUP(A167,'Données projet'!$A$113:$I$133,6,0)),0%,VLOOKUP(A167,'Données projet'!$A$113:$I$133,6,0)*VLOOKUP('Données projet'!$B$12,Paramètres!$A$1:$I$88,7,0))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projet'!$B$12,Paramètres!$A$1:$I$88,3,0)*0.475*44/12</f>
        <v>0</v>
      </c>
      <c r="CL167" s="21">
        <f>EXP(-LN(2)/25)*CL166+(1-EXP(-LN(2)/25))/(LN(2)/25)*Calculateur!CG167*Calculateur!CI167*VLOOKUP('Données projet'!$B$12,Paramètres!$A$1:$I$88,3,0)*0.475*44/12</f>
        <v>0.1672899169376299</v>
      </c>
      <c r="CM167" s="21">
        <f>EXP(-LN(2)/2)*CM166+(1-EXP(-LN(2)/2))/(LN(2)/2)*CG167*CJ167*VLOOKUP('Données projet'!$B$12,Paramètres!$A$1:$I$88,3,0)*0.475*44/12</f>
        <v>6.0054363915303478E-20</v>
      </c>
      <c r="CN167" s="22">
        <f t="shared" si="172"/>
        <v>0.1672899169376299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5.6843418860808015E-14</v>
      </c>
      <c r="CU167" s="17">
        <f>CT167*VLOOKUP('Données projet'!$B$13,Paramètres!$A$1:$I$88,3,0)*VLOOKUP('Données projet'!$B$13,Paramètres!$A$1:$I$88,5,0)</f>
        <v>2.8908289095852525E-14</v>
      </c>
      <c r="CV167" s="13">
        <f t="shared" si="173"/>
        <v>5.0177780569126974E-13</v>
      </c>
      <c r="CW167" s="20">
        <f t="shared" si="174"/>
        <v>9.2427828175423786E-13</v>
      </c>
      <c r="CX167" s="59">
        <f t="shared" si="122"/>
        <v>293.33333333333422</v>
      </c>
      <c r="CY167" s="59">
        <f ca="1">AVERAGE(OFFSET($CX$3,0,0,'Données projet'!$E$13+1,1))-AVERAGE(OFFSET($H$3,0,0,'Données projet'!$E$13+1,1))</f>
        <v>133.08385802816008</v>
      </c>
      <c r="CZ167" s="59">
        <f t="shared" si="150"/>
        <v>316.59112511251385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projet'!$B$13,Paramètres!$A$1:$I$88,7,0))</f>
        <v>0</v>
      </c>
      <c r="DD167" s="16">
        <f>IF(ISNA(VLOOKUP(A167,'Données projet'!$A$139:$I$159,6,0)),0%,VLOOKUP(A167,'Données projet'!$A$139:$I$159,6,0)*VLOOKUP('Données projet'!$B$13,Paramètres!$A$1:$I$88,7,0))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projet'!$B$13,Paramètres!$A$1:$I$88,3,0)*0.475*44/12</f>
        <v>5.0822808967111719</v>
      </c>
      <c r="DG167" s="21">
        <f>EXP(-LN(2)/25)*DG166+(1-EXP(-LN(2)/25))/(LN(2)/25)*Calculateur!DB167*Calculateur!DD167*VLOOKUP('Données projet'!$B$13,Paramètres!$A$1:$I$88,3,0)*0.475*44/12</f>
        <v>0</v>
      </c>
      <c r="DH167" s="21">
        <f>EXP(-LN(2)/2)*DH166+(1-EXP(-LN(2)/2))/(LN(2)/2)*DB167*DE167*VLOOKUP('Données projet'!$B$13,Paramètres!$A$1:$I$88,3,0)*0.475*44/12</f>
        <v>3.8315729824381979E-20</v>
      </c>
      <c r="DI167" s="22">
        <f t="shared" si="175"/>
        <v>5.0822808967111719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projet'!$B$14,Paramètres!$A$1:$I$88,3,0)*VLOOKUP('Données projet'!$B$14,Paramètres!$A$1:$I$88,5,0)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projet'!$B$14,Paramètres!$A$1:$I$88,7,0))</f>
        <v>0</v>
      </c>
      <c r="DY167" s="16">
        <f>IF(ISNA(VLOOKUP(A167,'Données projet'!$A$165:$I$185,6,0)),0%,VLOOKUP(A167,'Données projet'!$A$165:$I$185,6,0)*VLOOKUP('Données projet'!$B$14,Paramètres!$A$1:$I$88,7,0))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projet'!$B$14,Paramètres!$A$1:$I$88,3,0)*0.475*44/12</f>
        <v>#N/A</v>
      </c>
      <c r="EB167" s="21" t="e">
        <f>EXP(-LN(2)/25)*EB166+(1-EXP(-LN(2)/25))/(LN(2)/25)*Calculateur!DW167*Calculateur!DY167*VLOOKUP('Données projet'!$B$14,Paramètres!$A$1:$I$88,3,0)*0.475*44/12</f>
        <v>#N/A</v>
      </c>
      <c r="EC167" s="21" t="e">
        <f>EXP(-LN(2)/2)*EC166+(1-EXP(-LN(2)/2))/(LN(2)/2)*DW167*DZ167*VLOOKUP('Données projet'!$B$14,Paramètres!$A$1:$I$88,3,0)*0.475*44/12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projet'!$B$15,Paramètres!$A$1:$I$88,3,0)*VLOOKUP('Données projet'!$B$15,Paramètres!$A$1:$I$88,5,0)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projet'!$B$15,Paramètres!$A$1:$I$88,7,0))</f>
        <v>0</v>
      </c>
      <c r="ET167" s="16">
        <f>IF(ISNA(VLOOKUP(A167,'Données projet'!$A$191:$I$211,6,0)),0%,VLOOKUP(A167,'Données projet'!$A$191:$I$211,6,0)*VLOOKUP('Données projet'!$B$15,Paramètres!$A$1:$I$88,7,0))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projet'!$B$15,Paramètres!$A$1:$I$88,3,0)*0.475*44/12</f>
        <v>#N/A</v>
      </c>
      <c r="EW167" s="21" t="e">
        <f>EXP(-LN(2)/25)*EW166+(1-EXP(-LN(2)/25))/(LN(2)/25)*Calculateur!ER167*Calculateur!ET167*VLOOKUP('Données projet'!$B$15,Paramètres!$A$1:$I$88,3,0)*0.475*44/12</f>
        <v>#N/A</v>
      </c>
      <c r="EX167" s="21" t="e">
        <f>EXP(-LN(2)/2)*EX166+(1-EXP(-LN(2)/2))/(LN(2)/2)*ER167*EU167*VLOOKUP('Données projet'!$B$15,Paramètres!$A$1:$I$88,3,0)*0.475*44/12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projet'!$B$16,Paramètres!$A$1:$I$88,3,0)*VLOOKUP('Données projet'!$B$16,Paramètres!$A$1:$I$88,5,0)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projet'!$B$16,Paramètres!$A$1:$I$88,7,0))</f>
        <v>0</v>
      </c>
      <c r="FO167" s="16">
        <f>IF(ISNA(VLOOKUP(A167,'Données projet'!$A$217:$I$237,6,0)),0%,VLOOKUP(A167,'Données projet'!$A$217:$I$237,6,0)*VLOOKUP('Données projet'!$B$16,Paramètres!$A$1:$I$88,7,0))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projet'!$B$16,Paramètres!$A$1:$I$88,3,0)*0.475*44/12</f>
        <v>#N/A</v>
      </c>
      <c r="FR167" s="21" t="e">
        <f>EXP(-LN(2)/25)*FR166+(1-EXP(-LN(2)/25))/(LN(2)/25)*Calculateur!FM167*Calculateur!FO167*VLOOKUP('Données projet'!$B$16,Paramètres!$A$1:$I$88,3,0)*0.475*44/12</f>
        <v>#N/A</v>
      </c>
      <c r="FS167" s="21" t="e">
        <f>EXP(-LN(2)/2)*FS166+(1-EXP(-LN(2)/2))/(LN(2)/2)*FM167*FP167*VLOOKUP('Données projet'!$B$16,Paramètres!$A$1:$I$88,3,0)*0.475*44/12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projet'!$B$17,Paramètres!$A$1:$I$88,3,0)*VLOOKUP('Données projet'!$B$17,Paramètres!$A$1:$I$88,5,0)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projet'!$B$17,Paramètres!$A$1:$I$88,7,0))</f>
        <v>0</v>
      </c>
      <c r="GJ167" s="16">
        <f>IF(ISNA(VLOOKUP(A167,'Données projet'!$A$243:$I$263,6,0)),0%,VLOOKUP(A167,'Données projet'!$A$243:$I$263,6,0)*VLOOKUP('Données projet'!$B$17,Paramètres!$A$1:$I$88,7,0))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projet'!$B$17,Paramètres!$A$1:$I$88,3,0)*0.475*44/12</f>
        <v>#N/A</v>
      </c>
      <c r="GM167" s="21" t="e">
        <f>EXP(-LN(2)/25)*GM166+(1-EXP(-LN(2)/25))/(LN(2)/25)*Calculateur!GH167*Calculateur!GJ167*VLOOKUP('Données projet'!$B$17,Paramètres!$A$1:$I$88,3,0)*0.475*44/12</f>
        <v>#N/A</v>
      </c>
      <c r="GN167" s="21" t="e">
        <f>EXP(-LN(2)/2)*GN166+(1-EXP(-LN(2)/2))/(LN(2)/2)*GH167*GK167*VLOOKUP('Données projet'!$B$17,Paramètres!$A$1:$I$88,3,0)*0.475*44/12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projet'!$B$18,Paramètres!$A$1:$I$88,3,0)*VLOOKUP('Données projet'!$B$18,Paramètres!$A$1:$I$88,5,0)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projet'!$B$18,Paramètres!$A$1:$I$88,7,0))</f>
        <v>0</v>
      </c>
      <c r="HE167" s="16">
        <f>IF(ISNA(VLOOKUP(A167,'Données projet'!$A$269:$I$289,6,0)),0%,VLOOKUP(A167,'Données projet'!$A$269:$I$289,6,0)*VLOOKUP('Données projet'!$B$18,Paramètres!$A$1:$I$88,7,0))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projet'!$B$18,Paramètres!$A$1:$I$88,3,0)*0.475*44/12</f>
        <v>#N/A</v>
      </c>
      <c r="HH167" s="21" t="e">
        <f>EXP(-LN(2)/25)*HH166+(1-EXP(-LN(2)/25))/(LN(2)/25)*Calculateur!HC167*Calculateur!HE167*VLOOKUP('Données projet'!$B$18,Paramètres!$A$1:$I$88,3,0)*0.475*44/12</f>
        <v>#N/A</v>
      </c>
      <c r="HI167" s="21" t="e">
        <f>EXP(-LN(2)/2)*HI166+(1-EXP(-LN(2)/2))/(LN(2)/2)*HC167*HF167*VLOOKUP('Données projet'!$B$18,Paramètres!$A$1:$I$88,3,0)*0.475*44/12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projet'!$B$9,Paramètres!$A$1:$I$88,3,0)*VLOOKUP('Données projet'!$B$9,Paramètres!$A$1:$I$88,5,0)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195.73441209602686</v>
      </c>
      <c r="T168" s="59">
        <f t="shared" si="142"/>
        <v>219.19129224309006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projet'!$B$9,Paramètres!$A$1:$I$88,7,0))</f>
        <v>0</v>
      </c>
      <c r="X168" s="16">
        <f>IF(ISNA(VLOOKUP(A168,'Données projet'!$A$35:$I$55,6,0)),0%,VLOOKUP(A168,'Données projet'!$A$35:$I$55,6,0)*VLOOKUP('Données projet'!$B$9,Paramètres!$A$1:$I$88,7,0))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projet'!$B$9,Paramètres!$A$1:$I$88,3,0)*0.475*44/12</f>
        <v>1.0524964235809144</v>
      </c>
      <c r="AA168" s="21">
        <f>EXP(-LN(2)/25)*AA167+(1-EXP(-LN(2)/25))/(LN(2)/25)*Calculateur!V168*Calculateur!X168*VLOOKUP('Données projet'!$B$9,Paramètres!$A$1:$I$88,3,0)*0.475*44/12</f>
        <v>0.33529660959335744</v>
      </c>
      <c r="AB168" s="21">
        <f>EXP(-LN(2)/2)*AB167+(1-EXP(-LN(2)/2))/(LN(2)/2)*V168*Y168*VLOOKUP('Données projet'!$B$9,Paramètres!$A$1:$I$88,3,0)*0.475*44/12</f>
        <v>1.9009176784355455E-22</v>
      </c>
      <c r="AC168" s="22">
        <f t="shared" si="163"/>
        <v>1.3877930331742718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-4.5474735088646412E-13</v>
      </c>
      <c r="AJ168" s="13">
        <f>AI168*VLOOKUP('Données projet'!$B$10,Paramètres!$A$1:$I$88,3,0)*VLOOKUP('Données projet'!$B$10,Paramètres!$A$1:$I$88,5,0)</f>
        <v>-2.7193891583010558E-13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246.59447135626942</v>
      </c>
      <c r="AO168" s="59">
        <f t="shared" si="144"/>
        <v>262.00382544285367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projet'!$B$10,Paramètres!$A$1:$I$88,7,0))</f>
        <v>0</v>
      </c>
      <c r="AS168" s="16">
        <f>IF(ISNA(VLOOKUP(A168,'Données projet'!$A$61:$I$81,6,0)),0%,VLOOKUP(A168,'Données projet'!$A$61:$I$81,6,0)*VLOOKUP('Données projet'!$B$10,Paramètres!$A$1:$I$88,7,0))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projet'!$B$10,Paramètres!$A$1:$I$88,3,0)*0.475*44/12</f>
        <v>0</v>
      </c>
      <c r="AV168" s="21">
        <f>EXP(-LN(2)/25)*AV167+(1-EXP(-LN(2)/25))/(LN(2)/25)*Calculateur!AQ168*Calculateur!AS168*VLOOKUP('Données projet'!$B$10,Paramètres!$A$1:$I$88,3,0)*0.475*44/12</f>
        <v>0.3043100255155885</v>
      </c>
      <c r="AW168" s="21">
        <f>EXP(-LN(2)/2)*AW167+(1-EXP(-LN(2)/2))/(LN(2)/2)*AQ168*AT168*VLOOKUP('Données projet'!$B$10,Paramètres!$A$1:$I$88,3,0)*0.475*44/12</f>
        <v>1.137002227394914E-19</v>
      </c>
      <c r="AX168" s="21">
        <f t="shared" si="166"/>
        <v>0.3043100255155885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-5.6843418860808015E-13</v>
      </c>
      <c r="BE168" s="13">
        <f>BD168*VLOOKUP('Données projet'!$B$11,Paramètres!$A$1:$I$88,3,0)*VLOOKUP('Données projet'!$B$11,Paramètres!$A$1:$I$88,5,0)</f>
        <v>-3.177547114319168E-13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355.96253323046608</v>
      </c>
      <c r="BJ168" s="59">
        <f t="shared" si="146"/>
        <v>366.8380442809696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projet'!$B$11,Paramètres!$A$1:$I$88,7,0))</f>
        <v>0</v>
      </c>
      <c r="BN168" s="16">
        <f>IF(ISNA(VLOOKUP(A168,'Données projet'!$A$87:$I$107,6,0)),0%,VLOOKUP(A168,'Données projet'!$A$87:$I$107,6,0)*VLOOKUP('Données projet'!$B$11,Paramètres!$A$1:$I$88,7,0))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projet'!$B$11,Paramètres!$A$1:$I$88,3,0)*0.475*44/12</f>
        <v>0</v>
      </c>
      <c r="BQ168" s="21">
        <f>EXP(-LN(2)/25)*BQ167+(1-EXP(-LN(2)/25))/(LN(2)/25)*Calculateur!BL168*Calculateur!BN168*VLOOKUP('Données projet'!$B$11,Paramètres!$A$1:$I$88,3,0)*0.475*44/12</f>
        <v>0.53878506180172359</v>
      </c>
      <c r="BR168" s="21">
        <f>EXP(-LN(2)/2)*BR167+(1-EXP(-LN(2)/2))/(LN(2)/2)*BL168*BO168*VLOOKUP('Données projet'!$B$11,Paramètres!$A$1:$I$88,3,0)*0.475*44/12</f>
        <v>1.7579907086424496E-19</v>
      </c>
      <c r="BS168" s="22">
        <f t="shared" si="169"/>
        <v>0.53878506180172359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projet'!$B$12,Paramètres!$A$1:$I$88,3,0)*VLOOKUP('Données projet'!$B$12,Paramètres!$A$1:$I$88,5,0)</f>
        <v>3.7243808037601412E-14</v>
      </c>
      <c r="CA168" s="13">
        <f t="shared" si="170"/>
        <v>6.2767589361185393E-13</v>
      </c>
      <c r="CB168" s="20">
        <f t="shared" si="171"/>
        <v>1.1580684803728015E-12</v>
      </c>
      <c r="CC168" s="59">
        <f t="shared" si="119"/>
        <v>293.33333333333445</v>
      </c>
      <c r="CD168" s="59">
        <f ca="1">AVERAGE(OFFSET($CC$3,0,0,'Données projet'!$E$12+1,1))-AVERAGE(OFFSET($H$3,0,0,'Données projet'!$E$12+1,1))</f>
        <v>180.90147430936133</v>
      </c>
      <c r="CE168" s="59">
        <f t="shared" si="148"/>
        <v>226.87949199830018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projet'!$B$12,Paramètres!$A$1:$I$88,7,0))</f>
        <v>0</v>
      </c>
      <c r="CI168" s="16">
        <f>IF(ISNA(VLOOKUP(A168,'Données projet'!$A$113:$I$133,6,0)),0%,VLOOKUP(A168,'Données projet'!$A$113:$I$133,6,0)*VLOOKUP('Données projet'!$B$12,Paramètres!$A$1:$I$88,7,0))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projet'!$B$12,Paramètres!$A$1:$I$88,3,0)*0.475*44/12</f>
        <v>0</v>
      </c>
      <c r="CL168" s="21">
        <f>EXP(-LN(2)/25)*CL167+(1-EXP(-LN(2)/25))/(LN(2)/25)*Calculateur!CG168*Calculateur!CI168*VLOOKUP('Données projet'!$B$12,Paramètres!$A$1:$I$88,3,0)*0.475*44/12</f>
        <v>0.16271536536157602</v>
      </c>
      <c r="CM168" s="21">
        <f>EXP(-LN(2)/2)*CM167+(1-EXP(-LN(2)/2))/(LN(2)/2)*CG168*CJ168*VLOOKUP('Données projet'!$B$12,Paramètres!$A$1:$I$88,3,0)*0.475*44/12</f>
        <v>4.2464847964355793E-20</v>
      </c>
      <c r="CN168" s="22">
        <f t="shared" si="172"/>
        <v>0.16271536536157602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5.6843418860808015E-14</v>
      </c>
      <c r="CU168" s="17">
        <f>CT168*VLOOKUP('Données projet'!$B$13,Paramètres!$A$1:$I$88,3,0)*VLOOKUP('Données projet'!$B$13,Paramètres!$A$1:$I$88,5,0)</f>
        <v>2.8908289095852525E-14</v>
      </c>
      <c r="CV168" s="13">
        <f t="shared" si="173"/>
        <v>5.0177780569126974E-13</v>
      </c>
      <c r="CW168" s="20">
        <f t="shared" si="174"/>
        <v>9.2427828175423786E-13</v>
      </c>
      <c r="CX168" s="59">
        <f t="shared" si="122"/>
        <v>293.33333333333422</v>
      </c>
      <c r="CY168" s="59">
        <f ca="1">AVERAGE(OFFSET($CX$3,0,0,'Données projet'!$E$13+1,1))-AVERAGE(OFFSET($H$3,0,0,'Données projet'!$E$13+1,1))</f>
        <v>133.08385802816008</v>
      </c>
      <c r="CZ168" s="59">
        <f t="shared" si="150"/>
        <v>316.59112511251385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projet'!$B$13,Paramètres!$A$1:$I$88,7,0))</f>
        <v>0</v>
      </c>
      <c r="DD168" s="16">
        <f>IF(ISNA(VLOOKUP(A168,'Données projet'!$A$139:$I$159,6,0)),0%,VLOOKUP(A168,'Données projet'!$A$139:$I$159,6,0)*VLOOKUP('Données projet'!$B$13,Paramètres!$A$1:$I$88,7,0))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projet'!$B$13,Paramètres!$A$1:$I$88,3,0)*0.475*44/12</f>
        <v>4.9826204682119242</v>
      </c>
      <c r="DG168" s="21">
        <f>EXP(-LN(2)/25)*DG167+(1-EXP(-LN(2)/25))/(LN(2)/25)*Calculateur!DB168*Calculateur!DD168*VLOOKUP('Données projet'!$B$13,Paramètres!$A$1:$I$88,3,0)*0.475*44/12</f>
        <v>0</v>
      </c>
      <c r="DH168" s="21">
        <f>EXP(-LN(2)/2)*DH167+(1-EXP(-LN(2)/2))/(LN(2)/2)*DB168*DE168*VLOOKUP('Données projet'!$B$13,Paramètres!$A$1:$I$88,3,0)*0.475*44/12</f>
        <v>2.7093312384932143E-20</v>
      </c>
      <c r="DI168" s="22">
        <f t="shared" si="175"/>
        <v>4.9826204682119242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projet'!$B$14,Paramètres!$A$1:$I$88,3,0)*VLOOKUP('Données projet'!$B$14,Paramètres!$A$1:$I$88,5,0)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projet'!$B$14,Paramètres!$A$1:$I$88,7,0))</f>
        <v>0</v>
      </c>
      <c r="DY168" s="16">
        <f>IF(ISNA(VLOOKUP(A168,'Données projet'!$A$165:$I$185,6,0)),0%,VLOOKUP(A168,'Données projet'!$A$165:$I$185,6,0)*VLOOKUP('Données projet'!$B$14,Paramètres!$A$1:$I$88,7,0))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projet'!$B$14,Paramètres!$A$1:$I$88,3,0)*0.475*44/12</f>
        <v>#N/A</v>
      </c>
      <c r="EB168" s="21" t="e">
        <f>EXP(-LN(2)/25)*EB167+(1-EXP(-LN(2)/25))/(LN(2)/25)*Calculateur!DW168*Calculateur!DY168*VLOOKUP('Données projet'!$B$14,Paramètres!$A$1:$I$88,3,0)*0.475*44/12</f>
        <v>#N/A</v>
      </c>
      <c r="EC168" s="21" t="e">
        <f>EXP(-LN(2)/2)*EC167+(1-EXP(-LN(2)/2))/(LN(2)/2)*DW168*DZ168*VLOOKUP('Données projet'!$B$14,Paramètres!$A$1:$I$88,3,0)*0.475*44/12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projet'!$B$15,Paramètres!$A$1:$I$88,3,0)*VLOOKUP('Données projet'!$B$15,Paramètres!$A$1:$I$88,5,0)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projet'!$B$15,Paramètres!$A$1:$I$88,7,0))</f>
        <v>0</v>
      </c>
      <c r="ET168" s="16">
        <f>IF(ISNA(VLOOKUP(A168,'Données projet'!$A$191:$I$211,6,0)),0%,VLOOKUP(A168,'Données projet'!$A$191:$I$211,6,0)*VLOOKUP('Données projet'!$B$15,Paramètres!$A$1:$I$88,7,0))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projet'!$B$15,Paramètres!$A$1:$I$88,3,0)*0.475*44/12</f>
        <v>#N/A</v>
      </c>
      <c r="EW168" s="21" t="e">
        <f>EXP(-LN(2)/25)*EW167+(1-EXP(-LN(2)/25))/(LN(2)/25)*Calculateur!ER168*Calculateur!ET168*VLOOKUP('Données projet'!$B$15,Paramètres!$A$1:$I$88,3,0)*0.475*44/12</f>
        <v>#N/A</v>
      </c>
      <c r="EX168" s="21" t="e">
        <f>EXP(-LN(2)/2)*EX167+(1-EXP(-LN(2)/2))/(LN(2)/2)*ER168*EU168*VLOOKUP('Données projet'!$B$15,Paramètres!$A$1:$I$88,3,0)*0.475*44/12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projet'!$B$16,Paramètres!$A$1:$I$88,3,0)*VLOOKUP('Données projet'!$B$16,Paramètres!$A$1:$I$88,5,0)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projet'!$B$16,Paramètres!$A$1:$I$88,7,0))</f>
        <v>0</v>
      </c>
      <c r="FO168" s="16">
        <f>IF(ISNA(VLOOKUP(A168,'Données projet'!$A$217:$I$237,6,0)),0%,VLOOKUP(A168,'Données projet'!$A$217:$I$237,6,0)*VLOOKUP('Données projet'!$B$16,Paramètres!$A$1:$I$88,7,0))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projet'!$B$16,Paramètres!$A$1:$I$88,3,0)*0.475*44/12</f>
        <v>#N/A</v>
      </c>
      <c r="FR168" s="21" t="e">
        <f>EXP(-LN(2)/25)*FR167+(1-EXP(-LN(2)/25))/(LN(2)/25)*Calculateur!FM168*Calculateur!FO168*VLOOKUP('Données projet'!$B$16,Paramètres!$A$1:$I$88,3,0)*0.475*44/12</f>
        <v>#N/A</v>
      </c>
      <c r="FS168" s="21" t="e">
        <f>EXP(-LN(2)/2)*FS167+(1-EXP(-LN(2)/2))/(LN(2)/2)*FM168*FP168*VLOOKUP('Données projet'!$B$16,Paramètres!$A$1:$I$88,3,0)*0.475*44/12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projet'!$B$17,Paramètres!$A$1:$I$88,3,0)*VLOOKUP('Données projet'!$B$17,Paramètres!$A$1:$I$88,5,0)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projet'!$B$17,Paramètres!$A$1:$I$88,7,0))</f>
        <v>0</v>
      </c>
      <c r="GJ168" s="16">
        <f>IF(ISNA(VLOOKUP(A168,'Données projet'!$A$243:$I$263,6,0)),0%,VLOOKUP(A168,'Données projet'!$A$243:$I$263,6,0)*VLOOKUP('Données projet'!$B$17,Paramètres!$A$1:$I$88,7,0))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projet'!$B$17,Paramètres!$A$1:$I$88,3,0)*0.475*44/12</f>
        <v>#N/A</v>
      </c>
      <c r="GM168" s="21" t="e">
        <f>EXP(-LN(2)/25)*GM167+(1-EXP(-LN(2)/25))/(LN(2)/25)*Calculateur!GH168*Calculateur!GJ168*VLOOKUP('Données projet'!$B$17,Paramètres!$A$1:$I$88,3,0)*0.475*44/12</f>
        <v>#N/A</v>
      </c>
      <c r="GN168" s="21" t="e">
        <f>EXP(-LN(2)/2)*GN167+(1-EXP(-LN(2)/2))/(LN(2)/2)*GH168*GK168*VLOOKUP('Données projet'!$B$17,Paramètres!$A$1:$I$88,3,0)*0.475*44/12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projet'!$B$18,Paramètres!$A$1:$I$88,3,0)*VLOOKUP('Données projet'!$B$18,Paramètres!$A$1:$I$88,5,0)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projet'!$B$18,Paramètres!$A$1:$I$88,7,0))</f>
        <v>0</v>
      </c>
      <c r="HE168" s="16">
        <f>IF(ISNA(VLOOKUP(A168,'Données projet'!$A$269:$I$289,6,0)),0%,VLOOKUP(A168,'Données projet'!$A$269:$I$289,6,0)*VLOOKUP('Données projet'!$B$18,Paramètres!$A$1:$I$88,7,0))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projet'!$B$18,Paramètres!$A$1:$I$88,3,0)*0.475*44/12</f>
        <v>#N/A</v>
      </c>
      <c r="HH168" s="21" t="e">
        <f>EXP(-LN(2)/25)*HH167+(1-EXP(-LN(2)/25))/(LN(2)/25)*Calculateur!HC168*Calculateur!HE168*VLOOKUP('Données projet'!$B$18,Paramètres!$A$1:$I$88,3,0)*0.475*44/12</f>
        <v>#N/A</v>
      </c>
      <c r="HI168" s="21" t="e">
        <f>EXP(-LN(2)/2)*HI167+(1-EXP(-LN(2)/2))/(LN(2)/2)*HC168*HF168*VLOOKUP('Données projet'!$B$18,Paramètres!$A$1:$I$88,3,0)*0.475*44/12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projet'!$B$9,Paramètres!$A$1:$I$88,3,0)*VLOOKUP('Données projet'!$B$9,Paramètres!$A$1:$I$88,5,0)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195.73441209602686</v>
      </c>
      <c r="T169" s="59">
        <f t="shared" si="142"/>
        <v>219.19129224309006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projet'!$B$9,Paramètres!$A$1:$I$88,7,0))</f>
        <v>0</v>
      </c>
      <c r="X169" s="16">
        <f>IF(ISNA(VLOOKUP(A169,'Données projet'!$A$35:$I$55,6,0)),0%,VLOOKUP(A169,'Données projet'!$A$35:$I$55,6,0)*VLOOKUP('Données projet'!$B$9,Paramètres!$A$1:$I$88,7,0))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projet'!$B$9,Paramètres!$A$1:$I$88,3,0)*0.475*44/12</f>
        <v>1.0318576106739228</v>
      </c>
      <c r="AA169" s="21">
        <f>EXP(-LN(2)/25)*AA168+(1-EXP(-LN(2)/25))/(LN(2)/25)*Calculateur!V169*Calculateur!X169*VLOOKUP('Données projet'!$B$9,Paramètres!$A$1:$I$88,3,0)*0.475*44/12</f>
        <v>0.32612790617154469</v>
      </c>
      <c r="AB169" s="21">
        <f>EXP(-LN(2)/2)*AB168+(1-EXP(-LN(2)/2))/(LN(2)/2)*V169*Y169*VLOOKUP('Données projet'!$B$9,Paramètres!$A$1:$I$88,3,0)*0.475*44/12</f>
        <v>1.3441517808991632E-22</v>
      </c>
      <c r="AC169" s="22">
        <f t="shared" si="163"/>
        <v>1.3579855168454675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-4.5474735088646412E-13</v>
      </c>
      <c r="AJ169" s="13">
        <f>AI169*VLOOKUP('Données projet'!$B$10,Paramètres!$A$1:$I$88,3,0)*VLOOKUP('Données projet'!$B$10,Paramètres!$A$1:$I$88,5,0)</f>
        <v>-2.7193891583010558E-13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246.59447135626942</v>
      </c>
      <c r="AO169" s="59">
        <f t="shared" si="144"/>
        <v>262.00382544285367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projet'!$B$10,Paramètres!$A$1:$I$88,7,0))</f>
        <v>0</v>
      </c>
      <c r="AS169" s="16">
        <f>IF(ISNA(VLOOKUP(A169,'Données projet'!$A$61:$I$81,6,0)),0%,VLOOKUP(A169,'Données projet'!$A$61:$I$81,6,0)*VLOOKUP('Données projet'!$B$10,Paramètres!$A$1:$I$88,7,0))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projet'!$B$10,Paramètres!$A$1:$I$88,3,0)*0.475*44/12</f>
        <v>0</v>
      </c>
      <c r="AV169" s="21">
        <f>EXP(-LN(2)/25)*AV168+(1-EXP(-LN(2)/25))/(LN(2)/25)*Calculateur!AQ169*Calculateur!AS169*VLOOKUP('Données projet'!$B$10,Paramètres!$A$1:$I$88,3,0)*0.475*44/12</f>
        <v>0.29598865186489598</v>
      </c>
      <c r="AW169" s="21">
        <f>EXP(-LN(2)/2)*AW168+(1-EXP(-LN(2)/2))/(LN(2)/2)*AQ169*AT169*VLOOKUP('Données projet'!$B$10,Paramètres!$A$1:$I$88,3,0)*0.475*44/12</f>
        <v>8.0398198521515263E-20</v>
      </c>
      <c r="AX169" s="21">
        <f t="shared" si="166"/>
        <v>0.29598865186489598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-5.6843418860808015E-13</v>
      </c>
      <c r="BE169" s="13">
        <f>BD169*VLOOKUP('Données projet'!$B$11,Paramètres!$A$1:$I$88,3,0)*VLOOKUP('Données projet'!$B$11,Paramètres!$A$1:$I$88,5,0)</f>
        <v>-3.177547114319168E-13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355.96253323046608</v>
      </c>
      <c r="BJ169" s="59">
        <f t="shared" si="146"/>
        <v>366.8380442809696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projet'!$B$11,Paramètres!$A$1:$I$88,7,0))</f>
        <v>0</v>
      </c>
      <c r="BN169" s="16">
        <f>IF(ISNA(VLOOKUP(A169,'Données projet'!$A$87:$I$107,6,0)),0%,VLOOKUP(A169,'Données projet'!$A$87:$I$107,6,0)*VLOOKUP('Données projet'!$B$11,Paramètres!$A$1:$I$88,7,0))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projet'!$B$11,Paramètres!$A$1:$I$88,3,0)*0.475*44/12</f>
        <v>0</v>
      </c>
      <c r="BQ169" s="21">
        <f>EXP(-LN(2)/25)*BQ168+(1-EXP(-LN(2)/25))/(LN(2)/25)*Calculateur!BL169*Calculateur!BN169*VLOOKUP('Données projet'!$B$11,Paramètres!$A$1:$I$88,3,0)*0.475*44/12</f>
        <v>0.52405195595328047</v>
      </c>
      <c r="BR169" s="21">
        <f>EXP(-LN(2)/2)*BR168+(1-EXP(-LN(2)/2))/(LN(2)/2)*BL169*BO169*VLOOKUP('Données projet'!$B$11,Paramètres!$A$1:$I$88,3,0)*0.475*44/12</f>
        <v>1.2430871513440202E-19</v>
      </c>
      <c r="BS169" s="22">
        <f t="shared" si="169"/>
        <v>0.52405195595328047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projet'!$B$12,Paramètres!$A$1:$I$88,3,0)*VLOOKUP('Données projet'!$B$12,Paramètres!$A$1:$I$88,5,0)</f>
        <v>3.7243808037601412E-14</v>
      </c>
      <c r="CA169" s="13">
        <f t="shared" si="170"/>
        <v>6.2767589361185393E-13</v>
      </c>
      <c r="CB169" s="20">
        <f t="shared" si="171"/>
        <v>1.1580684803728015E-12</v>
      </c>
      <c r="CC169" s="59">
        <f t="shared" si="119"/>
        <v>293.33333333333445</v>
      </c>
      <c r="CD169" s="59">
        <f ca="1">AVERAGE(OFFSET($CC$3,0,0,'Données projet'!$E$12+1,1))-AVERAGE(OFFSET($H$3,0,0,'Données projet'!$E$12+1,1))</f>
        <v>180.90147430936133</v>
      </c>
      <c r="CE169" s="59">
        <f t="shared" si="148"/>
        <v>226.87949199830018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projet'!$B$12,Paramètres!$A$1:$I$88,7,0))</f>
        <v>0</v>
      </c>
      <c r="CI169" s="16">
        <f>IF(ISNA(VLOOKUP(A169,'Données projet'!$A$113:$I$133,6,0)),0%,VLOOKUP(A169,'Données projet'!$A$113:$I$133,6,0)*VLOOKUP('Données projet'!$B$12,Paramètres!$A$1:$I$88,7,0))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projet'!$B$12,Paramètres!$A$1:$I$88,3,0)*0.475*44/12</f>
        <v>0</v>
      </c>
      <c r="CL169" s="21">
        <f>EXP(-LN(2)/25)*CL168+(1-EXP(-LN(2)/25))/(LN(2)/25)*Calculateur!CG169*Calculateur!CI169*VLOOKUP('Données projet'!$B$12,Paramètres!$A$1:$I$88,3,0)*0.475*44/12</f>
        <v>0.15826590513893454</v>
      </c>
      <c r="CM169" s="21">
        <f>EXP(-LN(2)/2)*CM168+(1-EXP(-LN(2)/2))/(LN(2)/2)*CG169*CJ169*VLOOKUP('Données projet'!$B$12,Paramètres!$A$1:$I$88,3,0)*0.475*44/12</f>
        <v>3.0027181957651739E-20</v>
      </c>
      <c r="CN169" s="22">
        <f t="shared" si="172"/>
        <v>0.15826590513893454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5.6843418860808015E-14</v>
      </c>
      <c r="CU169" s="17">
        <f>CT169*VLOOKUP('Données projet'!$B$13,Paramètres!$A$1:$I$88,3,0)*VLOOKUP('Données projet'!$B$13,Paramètres!$A$1:$I$88,5,0)</f>
        <v>2.8908289095852525E-14</v>
      </c>
      <c r="CV169" s="13">
        <f t="shared" si="173"/>
        <v>5.0177780569126974E-13</v>
      </c>
      <c r="CW169" s="20">
        <f t="shared" si="174"/>
        <v>9.2427828175423786E-13</v>
      </c>
      <c r="CX169" s="59">
        <f t="shared" si="122"/>
        <v>293.33333333333422</v>
      </c>
      <c r="CY169" s="59">
        <f ca="1">AVERAGE(OFFSET($CX$3,0,0,'Données projet'!$E$13+1,1))-AVERAGE(OFFSET($H$3,0,0,'Données projet'!$E$13+1,1))</f>
        <v>133.08385802816008</v>
      </c>
      <c r="CZ169" s="59">
        <f t="shared" si="150"/>
        <v>316.59112511251385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projet'!$B$13,Paramètres!$A$1:$I$88,7,0))</f>
        <v>0</v>
      </c>
      <c r="DD169" s="16">
        <f>IF(ISNA(VLOOKUP(A169,'Données projet'!$A$139:$I$159,6,0)),0%,VLOOKUP(A169,'Données projet'!$A$139:$I$159,6,0)*VLOOKUP('Données projet'!$B$13,Paramètres!$A$1:$I$88,7,0))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projet'!$B$13,Paramètres!$A$1:$I$88,3,0)*0.475*44/12</f>
        <v>4.8849143199286882</v>
      </c>
      <c r="DG169" s="21">
        <f>EXP(-LN(2)/25)*DG168+(1-EXP(-LN(2)/25))/(LN(2)/25)*Calculateur!DB169*Calculateur!DD169*VLOOKUP('Données projet'!$B$13,Paramètres!$A$1:$I$88,3,0)*0.475*44/12</f>
        <v>0</v>
      </c>
      <c r="DH169" s="21">
        <f>EXP(-LN(2)/2)*DH168+(1-EXP(-LN(2)/2))/(LN(2)/2)*DB169*DE169*VLOOKUP('Données projet'!$B$13,Paramètres!$A$1:$I$88,3,0)*0.475*44/12</f>
        <v>1.9157864912190992E-20</v>
      </c>
      <c r="DI169" s="22">
        <f t="shared" si="175"/>
        <v>4.8849143199286882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projet'!$B$14,Paramètres!$A$1:$I$88,3,0)*VLOOKUP('Données projet'!$B$14,Paramètres!$A$1:$I$88,5,0)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projet'!$B$14,Paramètres!$A$1:$I$88,7,0))</f>
        <v>0</v>
      </c>
      <c r="DY169" s="16">
        <f>IF(ISNA(VLOOKUP(A169,'Données projet'!$A$165:$I$185,6,0)),0%,VLOOKUP(A169,'Données projet'!$A$165:$I$185,6,0)*VLOOKUP('Données projet'!$B$14,Paramètres!$A$1:$I$88,7,0))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projet'!$B$14,Paramètres!$A$1:$I$88,3,0)*0.475*44/12</f>
        <v>#N/A</v>
      </c>
      <c r="EB169" s="21" t="e">
        <f>EXP(-LN(2)/25)*EB168+(1-EXP(-LN(2)/25))/(LN(2)/25)*Calculateur!DW169*Calculateur!DY169*VLOOKUP('Données projet'!$B$14,Paramètres!$A$1:$I$88,3,0)*0.475*44/12</f>
        <v>#N/A</v>
      </c>
      <c r="EC169" s="21" t="e">
        <f>EXP(-LN(2)/2)*EC168+(1-EXP(-LN(2)/2))/(LN(2)/2)*DW169*DZ169*VLOOKUP('Données projet'!$B$14,Paramètres!$A$1:$I$88,3,0)*0.475*44/12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projet'!$B$15,Paramètres!$A$1:$I$88,3,0)*VLOOKUP('Données projet'!$B$15,Paramètres!$A$1:$I$88,5,0)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projet'!$B$15,Paramètres!$A$1:$I$88,7,0))</f>
        <v>0</v>
      </c>
      <c r="ET169" s="16">
        <f>IF(ISNA(VLOOKUP(A169,'Données projet'!$A$191:$I$211,6,0)),0%,VLOOKUP(A169,'Données projet'!$A$191:$I$211,6,0)*VLOOKUP('Données projet'!$B$15,Paramètres!$A$1:$I$88,7,0))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projet'!$B$15,Paramètres!$A$1:$I$88,3,0)*0.475*44/12</f>
        <v>#N/A</v>
      </c>
      <c r="EW169" s="21" t="e">
        <f>EXP(-LN(2)/25)*EW168+(1-EXP(-LN(2)/25))/(LN(2)/25)*Calculateur!ER169*Calculateur!ET169*VLOOKUP('Données projet'!$B$15,Paramètres!$A$1:$I$88,3,0)*0.475*44/12</f>
        <v>#N/A</v>
      </c>
      <c r="EX169" s="21" t="e">
        <f>EXP(-LN(2)/2)*EX168+(1-EXP(-LN(2)/2))/(LN(2)/2)*ER169*EU169*VLOOKUP('Données projet'!$B$15,Paramètres!$A$1:$I$88,3,0)*0.475*44/12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projet'!$B$16,Paramètres!$A$1:$I$88,3,0)*VLOOKUP('Données projet'!$B$16,Paramètres!$A$1:$I$88,5,0)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projet'!$B$16,Paramètres!$A$1:$I$88,7,0))</f>
        <v>0</v>
      </c>
      <c r="FO169" s="16">
        <f>IF(ISNA(VLOOKUP(A169,'Données projet'!$A$217:$I$237,6,0)),0%,VLOOKUP(A169,'Données projet'!$A$217:$I$237,6,0)*VLOOKUP('Données projet'!$B$16,Paramètres!$A$1:$I$88,7,0))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projet'!$B$16,Paramètres!$A$1:$I$88,3,0)*0.475*44/12</f>
        <v>#N/A</v>
      </c>
      <c r="FR169" s="21" t="e">
        <f>EXP(-LN(2)/25)*FR168+(1-EXP(-LN(2)/25))/(LN(2)/25)*Calculateur!FM169*Calculateur!FO169*VLOOKUP('Données projet'!$B$16,Paramètres!$A$1:$I$88,3,0)*0.475*44/12</f>
        <v>#N/A</v>
      </c>
      <c r="FS169" s="21" t="e">
        <f>EXP(-LN(2)/2)*FS168+(1-EXP(-LN(2)/2))/(LN(2)/2)*FM169*FP169*VLOOKUP('Données projet'!$B$16,Paramètres!$A$1:$I$88,3,0)*0.475*44/12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projet'!$B$17,Paramètres!$A$1:$I$88,3,0)*VLOOKUP('Données projet'!$B$17,Paramètres!$A$1:$I$88,5,0)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projet'!$B$17,Paramètres!$A$1:$I$88,7,0))</f>
        <v>0</v>
      </c>
      <c r="GJ169" s="16">
        <f>IF(ISNA(VLOOKUP(A169,'Données projet'!$A$243:$I$263,6,0)),0%,VLOOKUP(A169,'Données projet'!$A$243:$I$263,6,0)*VLOOKUP('Données projet'!$B$17,Paramètres!$A$1:$I$88,7,0))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projet'!$B$17,Paramètres!$A$1:$I$88,3,0)*0.475*44/12</f>
        <v>#N/A</v>
      </c>
      <c r="GM169" s="21" t="e">
        <f>EXP(-LN(2)/25)*GM168+(1-EXP(-LN(2)/25))/(LN(2)/25)*Calculateur!GH169*Calculateur!GJ169*VLOOKUP('Données projet'!$B$17,Paramètres!$A$1:$I$88,3,0)*0.475*44/12</f>
        <v>#N/A</v>
      </c>
      <c r="GN169" s="21" t="e">
        <f>EXP(-LN(2)/2)*GN168+(1-EXP(-LN(2)/2))/(LN(2)/2)*GH169*GK169*VLOOKUP('Données projet'!$B$17,Paramètres!$A$1:$I$88,3,0)*0.475*44/12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projet'!$B$18,Paramètres!$A$1:$I$88,3,0)*VLOOKUP('Données projet'!$B$18,Paramètres!$A$1:$I$88,5,0)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projet'!$B$18,Paramètres!$A$1:$I$88,7,0))</f>
        <v>0</v>
      </c>
      <c r="HE169" s="16">
        <f>IF(ISNA(VLOOKUP(A169,'Données projet'!$A$269:$I$289,6,0)),0%,VLOOKUP(A169,'Données projet'!$A$269:$I$289,6,0)*VLOOKUP('Données projet'!$B$18,Paramètres!$A$1:$I$88,7,0))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projet'!$B$18,Paramètres!$A$1:$I$88,3,0)*0.475*44/12</f>
        <v>#N/A</v>
      </c>
      <c r="HH169" s="21" t="e">
        <f>EXP(-LN(2)/25)*HH168+(1-EXP(-LN(2)/25))/(LN(2)/25)*Calculateur!HC169*Calculateur!HE169*VLOOKUP('Données projet'!$B$18,Paramètres!$A$1:$I$88,3,0)*0.475*44/12</f>
        <v>#N/A</v>
      </c>
      <c r="HI169" s="21" t="e">
        <f>EXP(-LN(2)/2)*HI168+(1-EXP(-LN(2)/2))/(LN(2)/2)*HC169*HF169*VLOOKUP('Données projet'!$B$18,Paramètres!$A$1:$I$88,3,0)*0.475*44/12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projet'!$B$9,Paramètres!$A$1:$I$88,3,0)*VLOOKUP('Données projet'!$B$9,Paramètres!$A$1:$I$88,5,0)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195.73441209602686</v>
      </c>
      <c r="T170" s="59">
        <f t="shared" si="142"/>
        <v>219.19129224309006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projet'!$B$9,Paramètres!$A$1:$I$88,7,0))</f>
        <v>0</v>
      </c>
      <c r="X170" s="16">
        <f>IF(ISNA(VLOOKUP(A170,'Données projet'!$A$35:$I$55,6,0)),0%,VLOOKUP(A170,'Données projet'!$A$35:$I$55,6,0)*VLOOKUP('Données projet'!$B$9,Paramètres!$A$1:$I$88,7,0))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projet'!$B$9,Paramètres!$A$1:$I$88,3,0)*0.475*44/12</f>
        <v>1.0116235122996045</v>
      </c>
      <c r="AA170" s="21">
        <f>EXP(-LN(2)/25)*AA169+(1-EXP(-LN(2)/25))/(LN(2)/25)*Calculateur!V170*Calculateur!X170*VLOOKUP('Données projet'!$B$9,Paramètres!$A$1:$I$88,3,0)*0.475*44/12</f>
        <v>0.31720992142696258</v>
      </c>
      <c r="AB170" s="21">
        <f>EXP(-LN(2)/2)*AB169+(1-EXP(-LN(2)/2))/(LN(2)/2)*V170*Y170*VLOOKUP('Données projet'!$B$9,Paramètres!$A$1:$I$88,3,0)*0.475*44/12</f>
        <v>9.5045883921777274E-23</v>
      </c>
      <c r="AC170" s="22">
        <f t="shared" si="163"/>
        <v>1.328833433726567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-4.5474735088646412E-13</v>
      </c>
      <c r="AJ170" s="13">
        <f>AI170*VLOOKUP('Données projet'!$B$10,Paramètres!$A$1:$I$88,3,0)*VLOOKUP('Données projet'!$B$10,Paramètres!$A$1:$I$88,5,0)</f>
        <v>-2.7193891583010558E-13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246.59447135626942</v>
      </c>
      <c r="AO170" s="59">
        <f t="shared" si="144"/>
        <v>262.00382544285367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projet'!$B$10,Paramètres!$A$1:$I$88,7,0))</f>
        <v>0</v>
      </c>
      <c r="AS170" s="16">
        <f>IF(ISNA(VLOOKUP(A170,'Données projet'!$A$61:$I$81,6,0)),0%,VLOOKUP(A170,'Données projet'!$A$61:$I$81,6,0)*VLOOKUP('Données projet'!$B$10,Paramètres!$A$1:$I$88,7,0))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projet'!$B$10,Paramètres!$A$1:$I$88,3,0)*0.475*44/12</f>
        <v>0</v>
      </c>
      <c r="AV170" s="21">
        <f>EXP(-LN(2)/25)*AV169+(1-EXP(-LN(2)/25))/(LN(2)/25)*Calculateur!AQ170*Calculateur!AS170*VLOOKUP('Données projet'!$B$10,Paramètres!$A$1:$I$88,3,0)*0.475*44/12</f>
        <v>0.28789482661428367</v>
      </c>
      <c r="AW170" s="21">
        <f>EXP(-LN(2)/2)*AW169+(1-EXP(-LN(2)/2))/(LN(2)/2)*AQ170*AT170*VLOOKUP('Données projet'!$B$10,Paramètres!$A$1:$I$88,3,0)*0.475*44/12</f>
        <v>5.6850111369745701E-20</v>
      </c>
      <c r="AX170" s="21">
        <f t="shared" si="166"/>
        <v>0.28789482661428367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-5.6843418860808015E-13</v>
      </c>
      <c r="BE170" s="13">
        <f>BD170*VLOOKUP('Données projet'!$B$11,Paramètres!$A$1:$I$88,3,0)*VLOOKUP('Données projet'!$B$11,Paramètres!$A$1:$I$88,5,0)</f>
        <v>-3.177547114319168E-13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355.96253323046608</v>
      </c>
      <c r="BJ170" s="59">
        <f t="shared" si="146"/>
        <v>366.8380442809696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projet'!$B$11,Paramètres!$A$1:$I$88,7,0))</f>
        <v>0</v>
      </c>
      <c r="BN170" s="16">
        <f>IF(ISNA(VLOOKUP(A170,'Données projet'!$A$87:$I$107,6,0)),0%,VLOOKUP(A170,'Données projet'!$A$87:$I$107,6,0)*VLOOKUP('Données projet'!$B$11,Paramètres!$A$1:$I$88,7,0))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projet'!$B$11,Paramètres!$A$1:$I$88,3,0)*0.475*44/12</f>
        <v>0</v>
      </c>
      <c r="BQ170" s="21">
        <f>EXP(-LN(2)/25)*BQ169+(1-EXP(-LN(2)/25))/(LN(2)/25)*Calculateur!BL170*Calculateur!BN170*VLOOKUP('Données projet'!$B$11,Paramètres!$A$1:$I$88,3,0)*0.475*44/12</f>
        <v>0.50972172765904333</v>
      </c>
      <c r="BR170" s="21">
        <f>EXP(-LN(2)/2)*BR169+(1-EXP(-LN(2)/2))/(LN(2)/2)*BL170*BO170*VLOOKUP('Données projet'!$B$11,Paramètres!$A$1:$I$88,3,0)*0.475*44/12</f>
        <v>8.7899535432122478E-20</v>
      </c>
      <c r="BS170" s="22">
        <f t="shared" si="169"/>
        <v>0.50972172765904333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projet'!$B$12,Paramètres!$A$1:$I$88,3,0)*VLOOKUP('Données projet'!$B$12,Paramètres!$A$1:$I$88,5,0)</f>
        <v>3.7243808037601412E-14</v>
      </c>
      <c r="CA170" s="13">
        <f t="shared" si="170"/>
        <v>6.2767589361185393E-13</v>
      </c>
      <c r="CB170" s="20">
        <f t="shared" si="171"/>
        <v>1.1580684803728015E-12</v>
      </c>
      <c r="CC170" s="59">
        <f t="shared" si="119"/>
        <v>293.33333333333445</v>
      </c>
      <c r="CD170" s="59">
        <f ca="1">AVERAGE(OFFSET($CC$3,0,0,'Données projet'!$E$12+1,1))-AVERAGE(OFFSET($H$3,0,0,'Données projet'!$E$12+1,1))</f>
        <v>180.90147430936133</v>
      </c>
      <c r="CE170" s="59">
        <f t="shared" si="148"/>
        <v>226.87949199830018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projet'!$B$12,Paramètres!$A$1:$I$88,7,0))</f>
        <v>0</v>
      </c>
      <c r="CI170" s="16">
        <f>IF(ISNA(VLOOKUP(A170,'Données projet'!$A$113:$I$133,6,0)),0%,VLOOKUP(A170,'Données projet'!$A$113:$I$133,6,0)*VLOOKUP('Données projet'!$B$12,Paramètres!$A$1:$I$88,7,0))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projet'!$B$12,Paramètres!$A$1:$I$88,3,0)*0.475*44/12</f>
        <v>0</v>
      </c>
      <c r="CL170" s="21">
        <f>EXP(-LN(2)/25)*CL169+(1-EXP(-LN(2)/25))/(LN(2)/25)*Calculateur!CG170*Calculateur!CI170*VLOOKUP('Données projet'!$B$12,Paramètres!$A$1:$I$88,3,0)*0.475*44/12</f>
        <v>0.15393811564006815</v>
      </c>
      <c r="CM170" s="21">
        <f>EXP(-LN(2)/2)*CM169+(1-EXP(-LN(2)/2))/(LN(2)/2)*CG170*CJ170*VLOOKUP('Données projet'!$B$12,Paramètres!$A$1:$I$88,3,0)*0.475*44/12</f>
        <v>2.1232423982177897E-20</v>
      </c>
      <c r="CN170" s="22">
        <f t="shared" si="172"/>
        <v>0.15393811564006815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5.6843418860808015E-14</v>
      </c>
      <c r="CU170" s="17">
        <f>CT170*VLOOKUP('Données projet'!$B$13,Paramètres!$A$1:$I$88,3,0)*VLOOKUP('Données projet'!$B$13,Paramètres!$A$1:$I$88,5,0)</f>
        <v>2.8908289095852525E-14</v>
      </c>
      <c r="CV170" s="13">
        <f t="shared" si="173"/>
        <v>5.0177780569126974E-13</v>
      </c>
      <c r="CW170" s="20">
        <f t="shared" si="174"/>
        <v>9.2427828175423786E-13</v>
      </c>
      <c r="CX170" s="59">
        <f t="shared" si="122"/>
        <v>293.33333333333422</v>
      </c>
      <c r="CY170" s="59">
        <f ca="1">AVERAGE(OFFSET($CX$3,0,0,'Données projet'!$E$13+1,1))-AVERAGE(OFFSET($H$3,0,0,'Données projet'!$E$13+1,1))</f>
        <v>133.08385802816008</v>
      </c>
      <c r="CZ170" s="59">
        <f t="shared" si="150"/>
        <v>316.59112511251385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projet'!$B$13,Paramètres!$A$1:$I$88,7,0))</f>
        <v>0</v>
      </c>
      <c r="DD170" s="16">
        <f>IF(ISNA(VLOOKUP(A170,'Données projet'!$A$139:$I$159,6,0)),0%,VLOOKUP(A170,'Données projet'!$A$139:$I$159,6,0)*VLOOKUP('Données projet'!$B$13,Paramètres!$A$1:$I$88,7,0))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projet'!$B$13,Paramètres!$A$1:$I$88,3,0)*0.475*44/12</f>
        <v>4.7891241296184202</v>
      </c>
      <c r="DG170" s="21">
        <f>EXP(-LN(2)/25)*DG169+(1-EXP(-LN(2)/25))/(LN(2)/25)*Calculateur!DB170*Calculateur!DD170*VLOOKUP('Données projet'!$B$13,Paramètres!$A$1:$I$88,3,0)*0.475*44/12</f>
        <v>0</v>
      </c>
      <c r="DH170" s="21">
        <f>EXP(-LN(2)/2)*DH169+(1-EXP(-LN(2)/2))/(LN(2)/2)*DB170*DE170*VLOOKUP('Données projet'!$B$13,Paramètres!$A$1:$I$88,3,0)*0.475*44/12</f>
        <v>1.3546656192466073E-20</v>
      </c>
      <c r="DI170" s="22">
        <f t="shared" si="175"/>
        <v>4.7891241296184202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projet'!$B$14,Paramètres!$A$1:$I$88,3,0)*VLOOKUP('Données projet'!$B$14,Paramètres!$A$1:$I$88,5,0)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projet'!$B$14,Paramètres!$A$1:$I$88,7,0))</f>
        <v>0</v>
      </c>
      <c r="DY170" s="16">
        <f>IF(ISNA(VLOOKUP(A170,'Données projet'!$A$165:$I$185,6,0)),0%,VLOOKUP(A170,'Données projet'!$A$165:$I$185,6,0)*VLOOKUP('Données projet'!$B$14,Paramètres!$A$1:$I$88,7,0))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projet'!$B$14,Paramètres!$A$1:$I$88,3,0)*0.475*44/12</f>
        <v>#N/A</v>
      </c>
      <c r="EB170" s="21" t="e">
        <f>EXP(-LN(2)/25)*EB169+(1-EXP(-LN(2)/25))/(LN(2)/25)*Calculateur!DW170*Calculateur!DY170*VLOOKUP('Données projet'!$B$14,Paramètres!$A$1:$I$88,3,0)*0.475*44/12</f>
        <v>#N/A</v>
      </c>
      <c r="EC170" s="21" t="e">
        <f>EXP(-LN(2)/2)*EC169+(1-EXP(-LN(2)/2))/(LN(2)/2)*DW170*DZ170*VLOOKUP('Données projet'!$B$14,Paramètres!$A$1:$I$88,3,0)*0.475*44/12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projet'!$B$15,Paramètres!$A$1:$I$88,3,0)*VLOOKUP('Données projet'!$B$15,Paramètres!$A$1:$I$88,5,0)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projet'!$B$15,Paramètres!$A$1:$I$88,7,0))</f>
        <v>0</v>
      </c>
      <c r="ET170" s="16">
        <f>IF(ISNA(VLOOKUP(A170,'Données projet'!$A$191:$I$211,6,0)),0%,VLOOKUP(A170,'Données projet'!$A$191:$I$211,6,0)*VLOOKUP('Données projet'!$B$15,Paramètres!$A$1:$I$88,7,0))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projet'!$B$15,Paramètres!$A$1:$I$88,3,0)*0.475*44/12</f>
        <v>#N/A</v>
      </c>
      <c r="EW170" s="21" t="e">
        <f>EXP(-LN(2)/25)*EW169+(1-EXP(-LN(2)/25))/(LN(2)/25)*Calculateur!ER170*Calculateur!ET170*VLOOKUP('Données projet'!$B$15,Paramètres!$A$1:$I$88,3,0)*0.475*44/12</f>
        <v>#N/A</v>
      </c>
      <c r="EX170" s="21" t="e">
        <f>EXP(-LN(2)/2)*EX169+(1-EXP(-LN(2)/2))/(LN(2)/2)*ER170*EU170*VLOOKUP('Données projet'!$B$15,Paramètres!$A$1:$I$88,3,0)*0.475*44/12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projet'!$B$16,Paramètres!$A$1:$I$88,3,0)*VLOOKUP('Données projet'!$B$16,Paramètres!$A$1:$I$88,5,0)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projet'!$B$16,Paramètres!$A$1:$I$88,7,0))</f>
        <v>0</v>
      </c>
      <c r="FO170" s="16">
        <f>IF(ISNA(VLOOKUP(A170,'Données projet'!$A$217:$I$237,6,0)),0%,VLOOKUP(A170,'Données projet'!$A$217:$I$237,6,0)*VLOOKUP('Données projet'!$B$16,Paramètres!$A$1:$I$88,7,0))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projet'!$B$16,Paramètres!$A$1:$I$88,3,0)*0.475*44/12</f>
        <v>#N/A</v>
      </c>
      <c r="FR170" s="21" t="e">
        <f>EXP(-LN(2)/25)*FR169+(1-EXP(-LN(2)/25))/(LN(2)/25)*Calculateur!FM170*Calculateur!FO170*VLOOKUP('Données projet'!$B$16,Paramètres!$A$1:$I$88,3,0)*0.475*44/12</f>
        <v>#N/A</v>
      </c>
      <c r="FS170" s="21" t="e">
        <f>EXP(-LN(2)/2)*FS169+(1-EXP(-LN(2)/2))/(LN(2)/2)*FM170*FP170*VLOOKUP('Données projet'!$B$16,Paramètres!$A$1:$I$88,3,0)*0.475*44/12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projet'!$B$17,Paramètres!$A$1:$I$88,3,0)*VLOOKUP('Données projet'!$B$17,Paramètres!$A$1:$I$88,5,0)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projet'!$B$17,Paramètres!$A$1:$I$88,7,0))</f>
        <v>0</v>
      </c>
      <c r="GJ170" s="16">
        <f>IF(ISNA(VLOOKUP(A170,'Données projet'!$A$243:$I$263,6,0)),0%,VLOOKUP(A170,'Données projet'!$A$243:$I$263,6,0)*VLOOKUP('Données projet'!$B$17,Paramètres!$A$1:$I$88,7,0))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projet'!$B$17,Paramètres!$A$1:$I$88,3,0)*0.475*44/12</f>
        <v>#N/A</v>
      </c>
      <c r="GM170" s="21" t="e">
        <f>EXP(-LN(2)/25)*GM169+(1-EXP(-LN(2)/25))/(LN(2)/25)*Calculateur!GH170*Calculateur!GJ170*VLOOKUP('Données projet'!$B$17,Paramètres!$A$1:$I$88,3,0)*0.475*44/12</f>
        <v>#N/A</v>
      </c>
      <c r="GN170" s="21" t="e">
        <f>EXP(-LN(2)/2)*GN169+(1-EXP(-LN(2)/2))/(LN(2)/2)*GH170*GK170*VLOOKUP('Données projet'!$B$17,Paramètres!$A$1:$I$88,3,0)*0.475*44/12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projet'!$B$18,Paramètres!$A$1:$I$88,3,0)*VLOOKUP('Données projet'!$B$18,Paramètres!$A$1:$I$88,5,0)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projet'!$B$18,Paramètres!$A$1:$I$88,7,0))</f>
        <v>0</v>
      </c>
      <c r="HE170" s="16">
        <f>IF(ISNA(VLOOKUP(A170,'Données projet'!$A$269:$I$289,6,0)),0%,VLOOKUP(A170,'Données projet'!$A$269:$I$289,6,0)*VLOOKUP('Données projet'!$B$18,Paramètres!$A$1:$I$88,7,0))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projet'!$B$18,Paramètres!$A$1:$I$88,3,0)*0.475*44/12</f>
        <v>#N/A</v>
      </c>
      <c r="HH170" s="21" t="e">
        <f>EXP(-LN(2)/25)*HH169+(1-EXP(-LN(2)/25))/(LN(2)/25)*Calculateur!HC170*Calculateur!HE170*VLOOKUP('Données projet'!$B$18,Paramètres!$A$1:$I$88,3,0)*0.475*44/12</f>
        <v>#N/A</v>
      </c>
      <c r="HI170" s="21" t="e">
        <f>EXP(-LN(2)/2)*HI169+(1-EXP(-LN(2)/2))/(LN(2)/2)*HC170*HF170*VLOOKUP('Données projet'!$B$18,Paramètres!$A$1:$I$88,3,0)*0.475*44/12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projet'!$B$9,Paramètres!$A$1:$I$88,3,0)*VLOOKUP('Données projet'!$B$9,Paramètres!$A$1:$I$88,5,0)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195.73441209602686</v>
      </c>
      <c r="T171" s="59">
        <f t="shared" si="142"/>
        <v>219.19129224309006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projet'!$B$9,Paramètres!$A$1:$I$88,7,0))</f>
        <v>0</v>
      </c>
      <c r="X171" s="16">
        <f>IF(ISNA(VLOOKUP(A171,'Données projet'!$A$35:$I$55,6,0)),0%,VLOOKUP(A171,'Données projet'!$A$35:$I$55,6,0)*VLOOKUP('Données projet'!$B$9,Paramètres!$A$1:$I$88,7,0))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projet'!$B$9,Paramètres!$A$1:$I$88,3,0)*0.475*44/12</f>
        <v>0.99178619225282516</v>
      </c>
      <c r="AA171" s="21">
        <f>EXP(-LN(2)/25)*AA170+(1-EXP(-LN(2)/25))/(LN(2)/25)*Calculateur!V171*Calculateur!X171*VLOOKUP('Données projet'!$B$9,Paramètres!$A$1:$I$88,3,0)*0.475*44/12</f>
        <v>0.30853579944419751</v>
      </c>
      <c r="AB171" s="21">
        <f>EXP(-LN(2)/2)*AB170+(1-EXP(-LN(2)/2))/(LN(2)/2)*V171*Y171*VLOOKUP('Données projet'!$B$9,Paramètres!$A$1:$I$88,3,0)*0.475*44/12</f>
        <v>6.7207589044958158E-23</v>
      </c>
      <c r="AC171" s="22">
        <f t="shared" si="163"/>
        <v>1.3003219916970226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-4.5474735088646412E-13</v>
      </c>
      <c r="AJ171" s="13">
        <f>AI171*VLOOKUP('Données projet'!$B$10,Paramètres!$A$1:$I$88,3,0)*VLOOKUP('Données projet'!$B$10,Paramètres!$A$1:$I$88,5,0)</f>
        <v>-2.7193891583010558E-13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246.59447135626942</v>
      </c>
      <c r="AO171" s="59">
        <f t="shared" si="144"/>
        <v>262.00382544285367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projet'!$B$10,Paramètres!$A$1:$I$88,7,0))</f>
        <v>0</v>
      </c>
      <c r="AS171" s="16">
        <f>IF(ISNA(VLOOKUP(A171,'Données projet'!$A$61:$I$81,6,0)),0%,VLOOKUP(A171,'Données projet'!$A$61:$I$81,6,0)*VLOOKUP('Données projet'!$B$10,Paramètres!$A$1:$I$88,7,0))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projet'!$B$10,Paramètres!$A$1:$I$88,3,0)*0.475*44/12</f>
        <v>0</v>
      </c>
      <c r="AV171" s="21">
        <f>EXP(-LN(2)/25)*AV170+(1-EXP(-LN(2)/25))/(LN(2)/25)*Calculateur!AQ171*Calculateur!AS171*VLOOKUP('Données projet'!$B$10,Paramètres!$A$1:$I$88,3,0)*0.475*44/12</f>
        <v>0.28002232744078515</v>
      </c>
      <c r="AW171" s="21">
        <f>EXP(-LN(2)/2)*AW170+(1-EXP(-LN(2)/2))/(LN(2)/2)*AQ171*AT171*VLOOKUP('Données projet'!$B$10,Paramètres!$A$1:$I$88,3,0)*0.475*44/12</f>
        <v>4.0199099260757632E-20</v>
      </c>
      <c r="AX171" s="21">
        <f t="shared" si="166"/>
        <v>0.28002232744078515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-5.6843418860808015E-13</v>
      </c>
      <c r="BE171" s="13">
        <f>BD171*VLOOKUP('Données projet'!$B$11,Paramètres!$A$1:$I$88,3,0)*VLOOKUP('Données projet'!$B$11,Paramètres!$A$1:$I$88,5,0)</f>
        <v>-3.177547114319168E-13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355.96253323046608</v>
      </c>
      <c r="BJ171" s="59">
        <f t="shared" si="146"/>
        <v>366.8380442809696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projet'!$B$11,Paramètres!$A$1:$I$88,7,0))</f>
        <v>0</v>
      </c>
      <c r="BN171" s="16">
        <f>IF(ISNA(VLOOKUP(A171,'Données projet'!$A$87:$I$107,6,0)),0%,VLOOKUP(A171,'Données projet'!$A$87:$I$107,6,0)*VLOOKUP('Données projet'!$B$11,Paramètres!$A$1:$I$88,7,0))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projet'!$B$11,Paramètres!$A$1:$I$88,3,0)*0.475*44/12</f>
        <v>0</v>
      </c>
      <c r="BQ171" s="21">
        <f>EXP(-LN(2)/25)*BQ170+(1-EXP(-LN(2)/25))/(LN(2)/25)*Calculateur!BL171*Calculateur!BN171*VLOOKUP('Données projet'!$B$11,Paramètres!$A$1:$I$88,3,0)*0.475*44/12</f>
        <v>0.49578336021110614</v>
      </c>
      <c r="BR171" s="21">
        <f>EXP(-LN(2)/2)*BR170+(1-EXP(-LN(2)/2))/(LN(2)/2)*BL171*BO171*VLOOKUP('Données projet'!$B$11,Paramètres!$A$1:$I$88,3,0)*0.475*44/12</f>
        <v>6.2154357567201008E-20</v>
      </c>
      <c r="BS171" s="22">
        <f t="shared" si="169"/>
        <v>0.49578336021110614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projet'!$B$12,Paramètres!$A$1:$I$88,3,0)*VLOOKUP('Données projet'!$B$12,Paramètres!$A$1:$I$88,5,0)</f>
        <v>3.7243808037601412E-14</v>
      </c>
      <c r="CA171" s="13">
        <f t="shared" si="170"/>
        <v>6.2767589361185393E-13</v>
      </c>
      <c r="CB171" s="20">
        <f t="shared" si="171"/>
        <v>1.1580684803728015E-12</v>
      </c>
      <c r="CC171" s="59">
        <f t="shared" si="119"/>
        <v>293.33333333333445</v>
      </c>
      <c r="CD171" s="59">
        <f ca="1">AVERAGE(OFFSET($CC$3,0,0,'Données projet'!$E$12+1,1))-AVERAGE(OFFSET($H$3,0,0,'Données projet'!$E$12+1,1))</f>
        <v>180.90147430936133</v>
      </c>
      <c r="CE171" s="59">
        <f t="shared" si="148"/>
        <v>226.87949199830018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projet'!$B$12,Paramètres!$A$1:$I$88,7,0))</f>
        <v>0</v>
      </c>
      <c r="CI171" s="16">
        <f>IF(ISNA(VLOOKUP(A171,'Données projet'!$A$113:$I$133,6,0)),0%,VLOOKUP(A171,'Données projet'!$A$113:$I$133,6,0)*VLOOKUP('Données projet'!$B$12,Paramètres!$A$1:$I$88,7,0))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projet'!$B$12,Paramètres!$A$1:$I$88,3,0)*0.475*44/12</f>
        <v>0</v>
      </c>
      <c r="CL171" s="21">
        <f>EXP(-LN(2)/25)*CL170+(1-EXP(-LN(2)/25))/(LN(2)/25)*Calculateur!CG171*Calculateur!CI171*VLOOKUP('Données projet'!$B$12,Paramètres!$A$1:$I$88,3,0)*0.475*44/12</f>
        <v>0.14972866977263682</v>
      </c>
      <c r="CM171" s="21">
        <f>EXP(-LN(2)/2)*CM170+(1-EXP(-LN(2)/2))/(LN(2)/2)*CG171*CJ171*VLOOKUP('Données projet'!$B$12,Paramètres!$A$1:$I$88,3,0)*0.475*44/12</f>
        <v>1.501359097882587E-20</v>
      </c>
      <c r="CN171" s="22">
        <f t="shared" si="172"/>
        <v>0.14972866977263682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5.6843418860808015E-14</v>
      </c>
      <c r="CU171" s="17">
        <f>CT171*VLOOKUP('Données projet'!$B$13,Paramètres!$A$1:$I$88,3,0)*VLOOKUP('Données projet'!$B$13,Paramètres!$A$1:$I$88,5,0)</f>
        <v>2.8908289095852525E-14</v>
      </c>
      <c r="CV171" s="13">
        <f t="shared" si="173"/>
        <v>5.0177780569126974E-13</v>
      </c>
      <c r="CW171" s="20">
        <f t="shared" si="174"/>
        <v>9.2427828175423786E-13</v>
      </c>
      <c r="CX171" s="59">
        <f t="shared" si="122"/>
        <v>293.33333333333422</v>
      </c>
      <c r="CY171" s="59">
        <f ca="1">AVERAGE(OFFSET($CX$3,0,0,'Données projet'!$E$13+1,1))-AVERAGE(OFFSET($H$3,0,0,'Données projet'!$E$13+1,1))</f>
        <v>133.08385802816008</v>
      </c>
      <c r="CZ171" s="59">
        <f t="shared" si="150"/>
        <v>316.59112511251385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projet'!$B$13,Paramètres!$A$1:$I$88,7,0))</f>
        <v>0</v>
      </c>
      <c r="DD171" s="16">
        <f>IF(ISNA(VLOOKUP(A171,'Données projet'!$A$139:$I$159,6,0)),0%,VLOOKUP(A171,'Données projet'!$A$139:$I$159,6,0)*VLOOKUP('Données projet'!$B$13,Paramètres!$A$1:$I$88,7,0))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projet'!$B$13,Paramètres!$A$1:$I$88,3,0)*0.475*44/12</f>
        <v>4.6952123265138894</v>
      </c>
      <c r="DG171" s="21">
        <f>EXP(-LN(2)/25)*DG170+(1-EXP(-LN(2)/25))/(LN(2)/25)*Calculateur!DB171*Calculateur!DD171*VLOOKUP('Données projet'!$B$13,Paramètres!$A$1:$I$88,3,0)*0.475*44/12</f>
        <v>0</v>
      </c>
      <c r="DH171" s="21">
        <f>EXP(-LN(2)/2)*DH170+(1-EXP(-LN(2)/2))/(LN(2)/2)*DB171*DE171*VLOOKUP('Données projet'!$B$13,Paramètres!$A$1:$I$88,3,0)*0.475*44/12</f>
        <v>9.5789324560954976E-21</v>
      </c>
      <c r="DI171" s="22">
        <f t="shared" si="175"/>
        <v>4.6952123265138894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projet'!$B$14,Paramètres!$A$1:$I$88,3,0)*VLOOKUP('Données projet'!$B$14,Paramètres!$A$1:$I$88,5,0)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projet'!$B$14,Paramètres!$A$1:$I$88,7,0))</f>
        <v>0</v>
      </c>
      <c r="DY171" s="16">
        <f>IF(ISNA(VLOOKUP(A171,'Données projet'!$A$165:$I$185,6,0)),0%,VLOOKUP(A171,'Données projet'!$A$165:$I$185,6,0)*VLOOKUP('Données projet'!$B$14,Paramètres!$A$1:$I$88,7,0))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projet'!$B$14,Paramètres!$A$1:$I$88,3,0)*0.475*44/12</f>
        <v>#N/A</v>
      </c>
      <c r="EB171" s="21" t="e">
        <f>EXP(-LN(2)/25)*EB170+(1-EXP(-LN(2)/25))/(LN(2)/25)*Calculateur!DW171*Calculateur!DY171*VLOOKUP('Données projet'!$B$14,Paramètres!$A$1:$I$88,3,0)*0.475*44/12</f>
        <v>#N/A</v>
      </c>
      <c r="EC171" s="21" t="e">
        <f>EXP(-LN(2)/2)*EC170+(1-EXP(-LN(2)/2))/(LN(2)/2)*DW171*DZ171*VLOOKUP('Données projet'!$B$14,Paramètres!$A$1:$I$88,3,0)*0.475*44/12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projet'!$B$15,Paramètres!$A$1:$I$88,3,0)*VLOOKUP('Données projet'!$B$15,Paramètres!$A$1:$I$88,5,0)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projet'!$B$15,Paramètres!$A$1:$I$88,7,0))</f>
        <v>0</v>
      </c>
      <c r="ET171" s="16">
        <f>IF(ISNA(VLOOKUP(A171,'Données projet'!$A$191:$I$211,6,0)),0%,VLOOKUP(A171,'Données projet'!$A$191:$I$211,6,0)*VLOOKUP('Données projet'!$B$15,Paramètres!$A$1:$I$88,7,0))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projet'!$B$15,Paramètres!$A$1:$I$88,3,0)*0.475*44/12</f>
        <v>#N/A</v>
      </c>
      <c r="EW171" s="21" t="e">
        <f>EXP(-LN(2)/25)*EW170+(1-EXP(-LN(2)/25))/(LN(2)/25)*Calculateur!ER171*Calculateur!ET171*VLOOKUP('Données projet'!$B$15,Paramètres!$A$1:$I$88,3,0)*0.475*44/12</f>
        <v>#N/A</v>
      </c>
      <c r="EX171" s="21" t="e">
        <f>EXP(-LN(2)/2)*EX170+(1-EXP(-LN(2)/2))/(LN(2)/2)*ER171*EU171*VLOOKUP('Données projet'!$B$15,Paramètres!$A$1:$I$88,3,0)*0.475*44/12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projet'!$B$16,Paramètres!$A$1:$I$88,3,0)*VLOOKUP('Données projet'!$B$16,Paramètres!$A$1:$I$88,5,0)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projet'!$B$16,Paramètres!$A$1:$I$88,7,0))</f>
        <v>0</v>
      </c>
      <c r="FO171" s="16">
        <f>IF(ISNA(VLOOKUP(A171,'Données projet'!$A$217:$I$237,6,0)),0%,VLOOKUP(A171,'Données projet'!$A$217:$I$237,6,0)*VLOOKUP('Données projet'!$B$16,Paramètres!$A$1:$I$88,7,0))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projet'!$B$16,Paramètres!$A$1:$I$88,3,0)*0.475*44/12</f>
        <v>#N/A</v>
      </c>
      <c r="FR171" s="21" t="e">
        <f>EXP(-LN(2)/25)*FR170+(1-EXP(-LN(2)/25))/(LN(2)/25)*Calculateur!FM171*Calculateur!FO171*VLOOKUP('Données projet'!$B$16,Paramètres!$A$1:$I$88,3,0)*0.475*44/12</f>
        <v>#N/A</v>
      </c>
      <c r="FS171" s="21" t="e">
        <f>EXP(-LN(2)/2)*FS170+(1-EXP(-LN(2)/2))/(LN(2)/2)*FM171*FP171*VLOOKUP('Données projet'!$B$16,Paramètres!$A$1:$I$88,3,0)*0.475*44/12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projet'!$B$17,Paramètres!$A$1:$I$88,3,0)*VLOOKUP('Données projet'!$B$17,Paramètres!$A$1:$I$88,5,0)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projet'!$B$17,Paramètres!$A$1:$I$88,7,0))</f>
        <v>0</v>
      </c>
      <c r="GJ171" s="16">
        <f>IF(ISNA(VLOOKUP(A171,'Données projet'!$A$243:$I$263,6,0)),0%,VLOOKUP(A171,'Données projet'!$A$243:$I$263,6,0)*VLOOKUP('Données projet'!$B$17,Paramètres!$A$1:$I$88,7,0))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projet'!$B$17,Paramètres!$A$1:$I$88,3,0)*0.475*44/12</f>
        <v>#N/A</v>
      </c>
      <c r="GM171" s="21" t="e">
        <f>EXP(-LN(2)/25)*GM170+(1-EXP(-LN(2)/25))/(LN(2)/25)*Calculateur!GH171*Calculateur!GJ171*VLOOKUP('Données projet'!$B$17,Paramètres!$A$1:$I$88,3,0)*0.475*44/12</f>
        <v>#N/A</v>
      </c>
      <c r="GN171" s="21" t="e">
        <f>EXP(-LN(2)/2)*GN170+(1-EXP(-LN(2)/2))/(LN(2)/2)*GH171*GK171*VLOOKUP('Données projet'!$B$17,Paramètres!$A$1:$I$88,3,0)*0.475*44/12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projet'!$B$18,Paramètres!$A$1:$I$88,3,0)*VLOOKUP('Données projet'!$B$18,Paramètres!$A$1:$I$88,5,0)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projet'!$B$18,Paramètres!$A$1:$I$88,7,0))</f>
        <v>0</v>
      </c>
      <c r="HE171" s="16">
        <f>IF(ISNA(VLOOKUP(A171,'Données projet'!$A$269:$I$289,6,0)),0%,VLOOKUP(A171,'Données projet'!$A$269:$I$289,6,0)*VLOOKUP('Données projet'!$B$18,Paramètres!$A$1:$I$88,7,0))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projet'!$B$18,Paramètres!$A$1:$I$88,3,0)*0.475*44/12</f>
        <v>#N/A</v>
      </c>
      <c r="HH171" s="21" t="e">
        <f>EXP(-LN(2)/25)*HH170+(1-EXP(-LN(2)/25))/(LN(2)/25)*Calculateur!HC171*Calculateur!HE171*VLOOKUP('Données projet'!$B$18,Paramètres!$A$1:$I$88,3,0)*0.475*44/12</f>
        <v>#N/A</v>
      </c>
      <c r="HI171" s="21" t="e">
        <f>EXP(-LN(2)/2)*HI170+(1-EXP(-LN(2)/2))/(LN(2)/2)*HC171*HF171*VLOOKUP('Données projet'!$B$18,Paramètres!$A$1:$I$88,3,0)*0.475*44/12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projet'!$B$9,Paramètres!$A$1:$I$88,3,0)*VLOOKUP('Données projet'!$B$9,Paramètres!$A$1:$I$88,5,0)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195.73441209602686</v>
      </c>
      <c r="T172" s="59">
        <f t="shared" si="142"/>
        <v>219.19129224309006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projet'!$B$9,Paramètres!$A$1:$I$88,7,0))</f>
        <v>0</v>
      </c>
      <c r="X172" s="16">
        <f>IF(ISNA(VLOOKUP(A172,'Données projet'!$A$35:$I$55,6,0)),0%,VLOOKUP(A172,'Données projet'!$A$35:$I$55,6,0)*VLOOKUP('Données projet'!$B$9,Paramètres!$A$1:$I$88,7,0))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projet'!$B$9,Paramètres!$A$1:$I$88,3,0)*0.475*44/12</f>
        <v>0.97233786995259264</v>
      </c>
      <c r="AA172" s="21">
        <f>EXP(-LN(2)/25)*AA171+(1-EXP(-LN(2)/25))/(LN(2)/25)*Calculateur!V172*Calculateur!X172*VLOOKUP('Données projet'!$B$9,Paramètres!$A$1:$I$88,3,0)*0.475*44/12</f>
        <v>0.30009887178320338</v>
      </c>
      <c r="AB172" s="21">
        <f>EXP(-LN(2)/2)*AB171+(1-EXP(-LN(2)/2))/(LN(2)/2)*V172*Y172*VLOOKUP('Données projet'!$B$9,Paramètres!$A$1:$I$88,3,0)*0.475*44/12</f>
        <v>4.7522941960888637E-23</v>
      </c>
      <c r="AC172" s="22">
        <f t="shared" si="163"/>
        <v>1.272436741735796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-4.5474735088646412E-13</v>
      </c>
      <c r="AJ172" s="13">
        <f>AI172*VLOOKUP('Données projet'!$B$10,Paramètres!$A$1:$I$88,3,0)*VLOOKUP('Données projet'!$B$10,Paramètres!$A$1:$I$88,5,0)</f>
        <v>-2.7193891583010558E-13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246.59447135626942</v>
      </c>
      <c r="AO172" s="59">
        <f t="shared" si="144"/>
        <v>262.00382544285367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projet'!$B$10,Paramètres!$A$1:$I$88,7,0))</f>
        <v>0</v>
      </c>
      <c r="AS172" s="16">
        <f>IF(ISNA(VLOOKUP(A172,'Données projet'!$A$61:$I$81,6,0)),0%,VLOOKUP(A172,'Données projet'!$A$61:$I$81,6,0)*VLOOKUP('Données projet'!$B$10,Paramètres!$A$1:$I$88,7,0))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projet'!$B$10,Paramètres!$A$1:$I$88,3,0)*0.475*44/12</f>
        <v>0</v>
      </c>
      <c r="AV172" s="21">
        <f>EXP(-LN(2)/25)*AV171+(1-EXP(-LN(2)/25))/(LN(2)/25)*Calculateur!AQ172*Calculateur!AS172*VLOOKUP('Données projet'!$B$10,Paramètres!$A$1:$I$88,3,0)*0.475*44/12</f>
        <v>0.27236510217118265</v>
      </c>
      <c r="AW172" s="21">
        <f>EXP(-LN(2)/2)*AW171+(1-EXP(-LN(2)/2))/(LN(2)/2)*AQ172*AT172*VLOOKUP('Données projet'!$B$10,Paramètres!$A$1:$I$88,3,0)*0.475*44/12</f>
        <v>2.842505568487285E-20</v>
      </c>
      <c r="AX172" s="21">
        <f t="shared" si="166"/>
        <v>0.27236510217118265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-5.6843418860808015E-13</v>
      </c>
      <c r="BE172" s="13">
        <f>BD172*VLOOKUP('Données projet'!$B$11,Paramètres!$A$1:$I$88,3,0)*VLOOKUP('Données projet'!$B$11,Paramètres!$A$1:$I$88,5,0)</f>
        <v>-3.177547114319168E-13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355.96253323046608</v>
      </c>
      <c r="BJ172" s="59">
        <f t="shared" si="146"/>
        <v>366.8380442809696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projet'!$B$11,Paramètres!$A$1:$I$88,7,0))</f>
        <v>0</v>
      </c>
      <c r="BN172" s="16">
        <f>IF(ISNA(VLOOKUP(A172,'Données projet'!$A$87:$I$107,6,0)),0%,VLOOKUP(A172,'Données projet'!$A$87:$I$107,6,0)*VLOOKUP('Données projet'!$B$11,Paramètres!$A$1:$I$88,7,0))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projet'!$B$11,Paramètres!$A$1:$I$88,3,0)*0.475*44/12</f>
        <v>0</v>
      </c>
      <c r="BQ172" s="21">
        <f>EXP(-LN(2)/25)*BQ171+(1-EXP(-LN(2)/25))/(LN(2)/25)*Calculateur!BL172*Calculateur!BN172*VLOOKUP('Données projet'!$B$11,Paramètres!$A$1:$I$88,3,0)*0.475*44/12</f>
        <v>0.48222613815401966</v>
      </c>
      <c r="BR172" s="21">
        <f>EXP(-LN(2)/2)*BR171+(1-EXP(-LN(2)/2))/(LN(2)/2)*BL172*BO172*VLOOKUP('Données projet'!$B$11,Paramètres!$A$1:$I$88,3,0)*0.475*44/12</f>
        <v>4.3949767716061239E-20</v>
      </c>
      <c r="BS172" s="22">
        <f t="shared" si="169"/>
        <v>0.48222613815401966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projet'!$B$12,Paramètres!$A$1:$I$88,3,0)*VLOOKUP('Données projet'!$B$12,Paramètres!$A$1:$I$88,5,0)</f>
        <v>3.7243808037601412E-14</v>
      </c>
      <c r="CA172" s="13">
        <f t="shared" si="170"/>
        <v>6.2767589361185393E-13</v>
      </c>
      <c r="CB172" s="20">
        <f t="shared" si="171"/>
        <v>1.1580684803728015E-12</v>
      </c>
      <c r="CC172" s="59">
        <f t="shared" si="119"/>
        <v>293.33333333333445</v>
      </c>
      <c r="CD172" s="59">
        <f ca="1">AVERAGE(OFFSET($CC$3,0,0,'Données projet'!$E$12+1,1))-AVERAGE(OFFSET($H$3,0,0,'Données projet'!$E$12+1,1))</f>
        <v>180.90147430936133</v>
      </c>
      <c r="CE172" s="59">
        <f t="shared" si="148"/>
        <v>226.87949199830018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projet'!$B$12,Paramètres!$A$1:$I$88,7,0))</f>
        <v>0</v>
      </c>
      <c r="CI172" s="16">
        <f>IF(ISNA(VLOOKUP(A172,'Données projet'!$A$113:$I$133,6,0)),0%,VLOOKUP(A172,'Données projet'!$A$113:$I$133,6,0)*VLOOKUP('Données projet'!$B$12,Paramètres!$A$1:$I$88,7,0))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projet'!$B$12,Paramètres!$A$1:$I$88,3,0)*0.475*44/12</f>
        <v>0</v>
      </c>
      <c r="CL172" s="21">
        <f>EXP(-LN(2)/25)*CL171+(1-EXP(-LN(2)/25))/(LN(2)/25)*Calculateur!CG172*Calculateur!CI172*VLOOKUP('Données projet'!$B$12,Paramètres!$A$1:$I$88,3,0)*0.475*44/12</f>
        <v>0.14563433142381554</v>
      </c>
      <c r="CM172" s="21">
        <f>EXP(-LN(2)/2)*CM171+(1-EXP(-LN(2)/2))/(LN(2)/2)*CG172*CJ172*VLOOKUP('Données projet'!$B$12,Paramètres!$A$1:$I$88,3,0)*0.475*44/12</f>
        <v>1.0616211991088948E-20</v>
      </c>
      <c r="CN172" s="22">
        <f t="shared" si="172"/>
        <v>0.14563433142381554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5.6843418860808015E-14</v>
      </c>
      <c r="CU172" s="17">
        <f>CT172*VLOOKUP('Données projet'!$B$13,Paramètres!$A$1:$I$88,3,0)*VLOOKUP('Données projet'!$B$13,Paramètres!$A$1:$I$88,5,0)</f>
        <v>2.8908289095852525E-14</v>
      </c>
      <c r="CV172" s="13">
        <f t="shared" si="173"/>
        <v>5.0177780569126974E-13</v>
      </c>
      <c r="CW172" s="20">
        <f t="shared" si="174"/>
        <v>9.2427828175423786E-13</v>
      </c>
      <c r="CX172" s="59">
        <f t="shared" si="122"/>
        <v>293.33333333333422</v>
      </c>
      <c r="CY172" s="59">
        <f ca="1">AVERAGE(OFFSET($CX$3,0,0,'Données projet'!$E$13+1,1))-AVERAGE(OFFSET($H$3,0,0,'Données projet'!$E$13+1,1))</f>
        <v>133.08385802816008</v>
      </c>
      <c r="CZ172" s="59">
        <f t="shared" si="150"/>
        <v>316.59112511251385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projet'!$B$13,Paramètres!$A$1:$I$88,7,0))</f>
        <v>0</v>
      </c>
      <c r="DD172" s="16">
        <f>IF(ISNA(VLOOKUP(A172,'Données projet'!$A$139:$I$159,6,0)),0%,VLOOKUP(A172,'Données projet'!$A$139:$I$159,6,0)*VLOOKUP('Données projet'!$B$13,Paramètres!$A$1:$I$88,7,0))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projet'!$B$13,Paramètres!$A$1:$I$88,3,0)*0.475*44/12</f>
        <v>4.6031420765876945</v>
      </c>
      <c r="DG172" s="21">
        <f>EXP(-LN(2)/25)*DG171+(1-EXP(-LN(2)/25))/(LN(2)/25)*Calculateur!DB172*Calculateur!DD172*VLOOKUP('Données projet'!$B$13,Paramètres!$A$1:$I$88,3,0)*0.475*44/12</f>
        <v>0</v>
      </c>
      <c r="DH172" s="21">
        <f>EXP(-LN(2)/2)*DH171+(1-EXP(-LN(2)/2))/(LN(2)/2)*DB172*DE172*VLOOKUP('Données projet'!$B$13,Paramètres!$A$1:$I$88,3,0)*0.475*44/12</f>
        <v>6.7733280962330381E-21</v>
      </c>
      <c r="DI172" s="22">
        <f t="shared" si="175"/>
        <v>4.6031420765876945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projet'!$B$14,Paramètres!$A$1:$I$88,3,0)*VLOOKUP('Données projet'!$B$14,Paramètres!$A$1:$I$88,5,0)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projet'!$B$14,Paramètres!$A$1:$I$88,7,0))</f>
        <v>0</v>
      </c>
      <c r="DY172" s="16">
        <f>IF(ISNA(VLOOKUP(A172,'Données projet'!$A$165:$I$185,6,0)),0%,VLOOKUP(A172,'Données projet'!$A$165:$I$185,6,0)*VLOOKUP('Données projet'!$B$14,Paramètres!$A$1:$I$88,7,0))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projet'!$B$14,Paramètres!$A$1:$I$88,3,0)*0.475*44/12</f>
        <v>#N/A</v>
      </c>
      <c r="EB172" s="21" t="e">
        <f>EXP(-LN(2)/25)*EB171+(1-EXP(-LN(2)/25))/(LN(2)/25)*Calculateur!DW172*Calculateur!DY172*VLOOKUP('Données projet'!$B$14,Paramètres!$A$1:$I$88,3,0)*0.475*44/12</f>
        <v>#N/A</v>
      </c>
      <c r="EC172" s="21" t="e">
        <f>EXP(-LN(2)/2)*EC171+(1-EXP(-LN(2)/2))/(LN(2)/2)*DW172*DZ172*VLOOKUP('Données projet'!$B$14,Paramètres!$A$1:$I$88,3,0)*0.475*44/12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projet'!$B$15,Paramètres!$A$1:$I$88,3,0)*VLOOKUP('Données projet'!$B$15,Paramètres!$A$1:$I$88,5,0)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projet'!$B$15,Paramètres!$A$1:$I$88,7,0))</f>
        <v>0</v>
      </c>
      <c r="ET172" s="16">
        <f>IF(ISNA(VLOOKUP(A172,'Données projet'!$A$191:$I$211,6,0)),0%,VLOOKUP(A172,'Données projet'!$A$191:$I$211,6,0)*VLOOKUP('Données projet'!$B$15,Paramètres!$A$1:$I$88,7,0))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projet'!$B$15,Paramètres!$A$1:$I$88,3,0)*0.475*44/12</f>
        <v>#N/A</v>
      </c>
      <c r="EW172" s="21" t="e">
        <f>EXP(-LN(2)/25)*EW171+(1-EXP(-LN(2)/25))/(LN(2)/25)*Calculateur!ER172*Calculateur!ET172*VLOOKUP('Données projet'!$B$15,Paramètres!$A$1:$I$88,3,0)*0.475*44/12</f>
        <v>#N/A</v>
      </c>
      <c r="EX172" s="21" t="e">
        <f>EXP(-LN(2)/2)*EX171+(1-EXP(-LN(2)/2))/(LN(2)/2)*ER172*EU172*VLOOKUP('Données projet'!$B$15,Paramètres!$A$1:$I$88,3,0)*0.475*44/12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projet'!$B$16,Paramètres!$A$1:$I$88,3,0)*VLOOKUP('Données projet'!$B$16,Paramètres!$A$1:$I$88,5,0)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projet'!$B$16,Paramètres!$A$1:$I$88,7,0))</f>
        <v>0</v>
      </c>
      <c r="FO172" s="16">
        <f>IF(ISNA(VLOOKUP(A172,'Données projet'!$A$217:$I$237,6,0)),0%,VLOOKUP(A172,'Données projet'!$A$217:$I$237,6,0)*VLOOKUP('Données projet'!$B$16,Paramètres!$A$1:$I$88,7,0))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projet'!$B$16,Paramètres!$A$1:$I$88,3,0)*0.475*44/12</f>
        <v>#N/A</v>
      </c>
      <c r="FR172" s="21" t="e">
        <f>EXP(-LN(2)/25)*FR171+(1-EXP(-LN(2)/25))/(LN(2)/25)*Calculateur!FM172*Calculateur!FO172*VLOOKUP('Données projet'!$B$16,Paramètres!$A$1:$I$88,3,0)*0.475*44/12</f>
        <v>#N/A</v>
      </c>
      <c r="FS172" s="21" t="e">
        <f>EXP(-LN(2)/2)*FS171+(1-EXP(-LN(2)/2))/(LN(2)/2)*FM172*FP172*VLOOKUP('Données projet'!$B$16,Paramètres!$A$1:$I$88,3,0)*0.475*44/12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projet'!$B$17,Paramètres!$A$1:$I$88,3,0)*VLOOKUP('Données projet'!$B$17,Paramètres!$A$1:$I$88,5,0)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projet'!$B$17,Paramètres!$A$1:$I$88,7,0))</f>
        <v>0</v>
      </c>
      <c r="GJ172" s="16">
        <f>IF(ISNA(VLOOKUP(A172,'Données projet'!$A$243:$I$263,6,0)),0%,VLOOKUP(A172,'Données projet'!$A$243:$I$263,6,0)*VLOOKUP('Données projet'!$B$17,Paramètres!$A$1:$I$88,7,0))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projet'!$B$17,Paramètres!$A$1:$I$88,3,0)*0.475*44/12</f>
        <v>#N/A</v>
      </c>
      <c r="GM172" s="21" t="e">
        <f>EXP(-LN(2)/25)*GM171+(1-EXP(-LN(2)/25))/(LN(2)/25)*Calculateur!GH172*Calculateur!GJ172*VLOOKUP('Données projet'!$B$17,Paramètres!$A$1:$I$88,3,0)*0.475*44/12</f>
        <v>#N/A</v>
      </c>
      <c r="GN172" s="21" t="e">
        <f>EXP(-LN(2)/2)*GN171+(1-EXP(-LN(2)/2))/(LN(2)/2)*GH172*GK172*VLOOKUP('Données projet'!$B$17,Paramètres!$A$1:$I$88,3,0)*0.475*44/12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projet'!$B$18,Paramètres!$A$1:$I$88,3,0)*VLOOKUP('Données projet'!$B$18,Paramètres!$A$1:$I$88,5,0)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projet'!$B$18,Paramètres!$A$1:$I$88,7,0))</f>
        <v>0</v>
      </c>
      <c r="HE172" s="16">
        <f>IF(ISNA(VLOOKUP(A172,'Données projet'!$A$269:$I$289,6,0)),0%,VLOOKUP(A172,'Données projet'!$A$269:$I$289,6,0)*VLOOKUP('Données projet'!$B$18,Paramètres!$A$1:$I$88,7,0))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projet'!$B$18,Paramètres!$A$1:$I$88,3,0)*0.475*44/12</f>
        <v>#N/A</v>
      </c>
      <c r="HH172" s="21" t="e">
        <f>EXP(-LN(2)/25)*HH171+(1-EXP(-LN(2)/25))/(LN(2)/25)*Calculateur!HC172*Calculateur!HE172*VLOOKUP('Données projet'!$B$18,Paramètres!$A$1:$I$88,3,0)*0.475*44/12</f>
        <v>#N/A</v>
      </c>
      <c r="HI172" s="21" t="e">
        <f>EXP(-LN(2)/2)*HI171+(1-EXP(-LN(2)/2))/(LN(2)/2)*HC172*HF172*VLOOKUP('Données projet'!$B$18,Paramètres!$A$1:$I$88,3,0)*0.475*44/12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projet'!$B$9,Paramètres!$A$1:$I$88,3,0)*VLOOKUP('Données projet'!$B$9,Paramètres!$A$1:$I$88,5,0)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195.73441209602686</v>
      </c>
      <c r="T173" s="59">
        <f t="shared" si="142"/>
        <v>219.19129224309006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projet'!$B$9,Paramètres!$A$1:$I$88,7,0))</f>
        <v>0</v>
      </c>
      <c r="X173" s="16">
        <f>IF(ISNA(VLOOKUP(A173,'Données projet'!$A$35:$I$55,6,0)),0%,VLOOKUP(A173,'Données projet'!$A$35:$I$55,6,0)*VLOOKUP('Données projet'!$B$9,Paramètres!$A$1:$I$88,7,0))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projet'!$B$9,Paramètres!$A$1:$I$88,3,0)*0.475*44/12</f>
        <v>0.9532709173903624</v>
      </c>
      <c r="AA173" s="21">
        <f>EXP(-LN(2)/25)*AA172+(1-EXP(-LN(2)/25))/(LN(2)/25)*Calculateur!V173*Calculateur!X173*VLOOKUP('Données projet'!$B$9,Paramètres!$A$1:$I$88,3,0)*0.475*44/12</f>
        <v>0.29189265235277789</v>
      </c>
      <c r="AB173" s="21">
        <f>EXP(-LN(2)/2)*AB172+(1-EXP(-LN(2)/2))/(LN(2)/2)*V173*Y173*VLOOKUP('Données projet'!$B$9,Paramètres!$A$1:$I$88,3,0)*0.475*44/12</f>
        <v>3.3603794522479079E-23</v>
      </c>
      <c r="AC173" s="22">
        <f t="shared" si="163"/>
        <v>1.2451635697431402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-4.5474735088646412E-13</v>
      </c>
      <c r="AJ173" s="13">
        <f>AI173*VLOOKUP('Données projet'!$B$10,Paramètres!$A$1:$I$88,3,0)*VLOOKUP('Données projet'!$B$10,Paramètres!$A$1:$I$88,5,0)</f>
        <v>-2.7193891583010558E-13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246.59447135626942</v>
      </c>
      <c r="AO173" s="59">
        <f t="shared" si="144"/>
        <v>262.00382544285367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projet'!$B$10,Paramètres!$A$1:$I$88,7,0))</f>
        <v>0</v>
      </c>
      <c r="AS173" s="16">
        <f>IF(ISNA(VLOOKUP(A173,'Données projet'!$A$61:$I$81,6,0)),0%,VLOOKUP(A173,'Données projet'!$A$61:$I$81,6,0)*VLOOKUP('Données projet'!$B$10,Paramètres!$A$1:$I$88,7,0))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projet'!$B$10,Paramètres!$A$1:$I$88,3,0)*0.475*44/12</f>
        <v>0</v>
      </c>
      <c r="AV173" s="21">
        <f>EXP(-LN(2)/25)*AV172+(1-EXP(-LN(2)/25))/(LN(2)/25)*Calculateur!AQ173*Calculateur!AS173*VLOOKUP('Données projet'!$B$10,Paramètres!$A$1:$I$88,3,0)*0.475*44/12</f>
        <v>0.26491726412925343</v>
      </c>
      <c r="AW173" s="21">
        <f>EXP(-LN(2)/2)*AW172+(1-EXP(-LN(2)/2))/(LN(2)/2)*AQ173*AT173*VLOOKUP('Données projet'!$B$10,Paramètres!$A$1:$I$88,3,0)*0.475*44/12</f>
        <v>2.0099549630378816E-20</v>
      </c>
      <c r="AX173" s="21">
        <f t="shared" si="166"/>
        <v>0.26491726412925343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-5.6843418860808015E-13</v>
      </c>
      <c r="BE173" s="13">
        <f>BD173*VLOOKUP('Données projet'!$B$11,Paramètres!$A$1:$I$88,3,0)*VLOOKUP('Données projet'!$B$11,Paramètres!$A$1:$I$88,5,0)</f>
        <v>-3.177547114319168E-13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355.96253323046608</v>
      </c>
      <c r="BJ173" s="59">
        <f t="shared" si="146"/>
        <v>366.8380442809696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projet'!$B$11,Paramètres!$A$1:$I$88,7,0))</f>
        <v>0</v>
      </c>
      <c r="BN173" s="16">
        <f>IF(ISNA(VLOOKUP(A173,'Données projet'!$A$87:$I$107,6,0)),0%,VLOOKUP(A173,'Données projet'!$A$87:$I$107,6,0)*VLOOKUP('Données projet'!$B$11,Paramètres!$A$1:$I$88,7,0))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projet'!$B$11,Paramètres!$A$1:$I$88,3,0)*0.475*44/12</f>
        <v>0</v>
      </c>
      <c r="BQ173" s="21">
        <f>EXP(-LN(2)/25)*BQ172+(1-EXP(-LN(2)/25))/(LN(2)/25)*Calculateur!BL173*Calculateur!BN173*VLOOKUP('Données projet'!$B$11,Paramètres!$A$1:$I$88,3,0)*0.475*44/12</f>
        <v>0.4690396390470275</v>
      </c>
      <c r="BR173" s="21">
        <f>EXP(-LN(2)/2)*BR172+(1-EXP(-LN(2)/2))/(LN(2)/2)*BL173*BO173*VLOOKUP('Données projet'!$B$11,Paramètres!$A$1:$I$88,3,0)*0.475*44/12</f>
        <v>3.1077178783600504E-20</v>
      </c>
      <c r="BS173" s="22">
        <f t="shared" si="169"/>
        <v>0.4690396390470275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projet'!$B$12,Paramètres!$A$1:$I$88,3,0)*VLOOKUP('Données projet'!$B$12,Paramètres!$A$1:$I$88,5,0)</f>
        <v>3.7243808037601412E-14</v>
      </c>
      <c r="CA173" s="13">
        <f t="shared" si="170"/>
        <v>6.2767589361185393E-13</v>
      </c>
      <c r="CB173" s="20">
        <f t="shared" si="171"/>
        <v>1.1580684803728015E-12</v>
      </c>
      <c r="CC173" s="59">
        <f t="shared" si="119"/>
        <v>293.33333333333445</v>
      </c>
      <c r="CD173" s="59">
        <f ca="1">AVERAGE(OFFSET($CC$3,0,0,'Données projet'!$E$12+1,1))-AVERAGE(OFFSET($H$3,0,0,'Données projet'!$E$12+1,1))</f>
        <v>180.90147430936133</v>
      </c>
      <c r="CE173" s="59">
        <f t="shared" si="148"/>
        <v>226.87949199830018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projet'!$B$12,Paramètres!$A$1:$I$88,7,0))</f>
        <v>0</v>
      </c>
      <c r="CI173" s="16">
        <f>IF(ISNA(VLOOKUP(A173,'Données projet'!$A$113:$I$133,6,0)),0%,VLOOKUP(A173,'Données projet'!$A$113:$I$133,6,0)*VLOOKUP('Données projet'!$B$12,Paramètres!$A$1:$I$88,7,0))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projet'!$B$12,Paramètres!$A$1:$I$88,3,0)*0.475*44/12</f>
        <v>0</v>
      </c>
      <c r="CL173" s="21">
        <f>EXP(-LN(2)/25)*CL172+(1-EXP(-LN(2)/25))/(LN(2)/25)*Calculateur!CG173*Calculateur!CI173*VLOOKUP('Données projet'!$B$12,Paramètres!$A$1:$I$88,3,0)*0.475*44/12</f>
        <v>0.14165195297245467</v>
      </c>
      <c r="CM173" s="21">
        <f>EXP(-LN(2)/2)*CM172+(1-EXP(-LN(2)/2))/(LN(2)/2)*CG173*CJ173*VLOOKUP('Données projet'!$B$12,Paramètres!$A$1:$I$88,3,0)*0.475*44/12</f>
        <v>7.5067954894129348E-21</v>
      </c>
      <c r="CN173" s="22">
        <f t="shared" si="172"/>
        <v>0.14165195297245467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5.6843418860808015E-14</v>
      </c>
      <c r="CU173" s="17">
        <f>CT173*VLOOKUP('Données projet'!$B$13,Paramètres!$A$1:$I$88,3,0)*VLOOKUP('Données projet'!$B$13,Paramètres!$A$1:$I$88,5,0)</f>
        <v>2.8908289095852525E-14</v>
      </c>
      <c r="CV173" s="13">
        <f t="shared" si="173"/>
        <v>5.0177780569126974E-13</v>
      </c>
      <c r="CW173" s="20">
        <f t="shared" si="174"/>
        <v>9.2427828175423786E-13</v>
      </c>
      <c r="CX173" s="59">
        <f t="shared" si="122"/>
        <v>293.33333333333422</v>
      </c>
      <c r="CY173" s="59">
        <f ca="1">AVERAGE(OFFSET($CX$3,0,0,'Données projet'!$E$13+1,1))-AVERAGE(OFFSET($H$3,0,0,'Données projet'!$E$13+1,1))</f>
        <v>133.08385802816008</v>
      </c>
      <c r="CZ173" s="59">
        <f t="shared" si="150"/>
        <v>316.59112511251385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projet'!$B$13,Paramètres!$A$1:$I$88,7,0))</f>
        <v>0</v>
      </c>
      <c r="DD173" s="16">
        <f>IF(ISNA(VLOOKUP(A173,'Données projet'!$A$139:$I$159,6,0)),0%,VLOOKUP(A173,'Données projet'!$A$139:$I$159,6,0)*VLOOKUP('Données projet'!$B$13,Paramètres!$A$1:$I$88,7,0))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projet'!$B$13,Paramètres!$A$1:$I$88,3,0)*0.475*44/12</f>
        <v>4.5128772681052451</v>
      </c>
      <c r="DG173" s="21">
        <f>EXP(-LN(2)/25)*DG172+(1-EXP(-LN(2)/25))/(LN(2)/25)*Calculateur!DB173*Calculateur!DD173*VLOOKUP('Données projet'!$B$13,Paramètres!$A$1:$I$88,3,0)*0.475*44/12</f>
        <v>0</v>
      </c>
      <c r="DH173" s="21">
        <f>EXP(-LN(2)/2)*DH172+(1-EXP(-LN(2)/2))/(LN(2)/2)*DB173*DE173*VLOOKUP('Données projet'!$B$13,Paramètres!$A$1:$I$88,3,0)*0.475*44/12</f>
        <v>4.7894662280477496E-21</v>
      </c>
      <c r="DI173" s="22">
        <f t="shared" si="175"/>
        <v>4.5128772681052451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projet'!$B$14,Paramètres!$A$1:$I$88,3,0)*VLOOKUP('Données projet'!$B$14,Paramètres!$A$1:$I$88,5,0)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projet'!$B$14,Paramètres!$A$1:$I$88,7,0))</f>
        <v>0</v>
      </c>
      <c r="DY173" s="16">
        <f>IF(ISNA(VLOOKUP(A173,'Données projet'!$A$165:$I$185,6,0)),0%,VLOOKUP(A173,'Données projet'!$A$165:$I$185,6,0)*VLOOKUP('Données projet'!$B$14,Paramètres!$A$1:$I$88,7,0))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projet'!$B$14,Paramètres!$A$1:$I$88,3,0)*0.475*44/12</f>
        <v>#N/A</v>
      </c>
      <c r="EB173" s="21" t="e">
        <f>EXP(-LN(2)/25)*EB172+(1-EXP(-LN(2)/25))/(LN(2)/25)*Calculateur!DW173*Calculateur!DY173*VLOOKUP('Données projet'!$B$14,Paramètres!$A$1:$I$88,3,0)*0.475*44/12</f>
        <v>#N/A</v>
      </c>
      <c r="EC173" s="21" t="e">
        <f>EXP(-LN(2)/2)*EC172+(1-EXP(-LN(2)/2))/(LN(2)/2)*DW173*DZ173*VLOOKUP('Données projet'!$B$14,Paramètres!$A$1:$I$88,3,0)*0.475*44/12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projet'!$B$15,Paramètres!$A$1:$I$88,3,0)*VLOOKUP('Données projet'!$B$15,Paramètres!$A$1:$I$88,5,0)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projet'!$B$15,Paramètres!$A$1:$I$88,7,0))</f>
        <v>0</v>
      </c>
      <c r="ET173" s="16">
        <f>IF(ISNA(VLOOKUP(A173,'Données projet'!$A$191:$I$211,6,0)),0%,VLOOKUP(A173,'Données projet'!$A$191:$I$211,6,0)*VLOOKUP('Données projet'!$B$15,Paramètres!$A$1:$I$88,7,0))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projet'!$B$15,Paramètres!$A$1:$I$88,3,0)*0.475*44/12</f>
        <v>#N/A</v>
      </c>
      <c r="EW173" s="21" t="e">
        <f>EXP(-LN(2)/25)*EW172+(1-EXP(-LN(2)/25))/(LN(2)/25)*Calculateur!ER173*Calculateur!ET173*VLOOKUP('Données projet'!$B$15,Paramètres!$A$1:$I$88,3,0)*0.475*44/12</f>
        <v>#N/A</v>
      </c>
      <c r="EX173" s="21" t="e">
        <f>EXP(-LN(2)/2)*EX172+(1-EXP(-LN(2)/2))/(LN(2)/2)*ER173*EU173*VLOOKUP('Données projet'!$B$15,Paramètres!$A$1:$I$88,3,0)*0.475*44/12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projet'!$B$16,Paramètres!$A$1:$I$88,3,0)*VLOOKUP('Données projet'!$B$16,Paramètres!$A$1:$I$88,5,0)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projet'!$B$16,Paramètres!$A$1:$I$88,7,0))</f>
        <v>0</v>
      </c>
      <c r="FO173" s="16">
        <f>IF(ISNA(VLOOKUP(A173,'Données projet'!$A$217:$I$237,6,0)),0%,VLOOKUP(A173,'Données projet'!$A$217:$I$237,6,0)*VLOOKUP('Données projet'!$B$16,Paramètres!$A$1:$I$88,7,0))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projet'!$B$16,Paramètres!$A$1:$I$88,3,0)*0.475*44/12</f>
        <v>#N/A</v>
      </c>
      <c r="FR173" s="21" t="e">
        <f>EXP(-LN(2)/25)*FR172+(1-EXP(-LN(2)/25))/(LN(2)/25)*Calculateur!FM173*Calculateur!FO173*VLOOKUP('Données projet'!$B$16,Paramètres!$A$1:$I$88,3,0)*0.475*44/12</f>
        <v>#N/A</v>
      </c>
      <c r="FS173" s="21" t="e">
        <f>EXP(-LN(2)/2)*FS172+(1-EXP(-LN(2)/2))/(LN(2)/2)*FM173*FP173*VLOOKUP('Données projet'!$B$16,Paramètres!$A$1:$I$88,3,0)*0.475*44/12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projet'!$B$17,Paramètres!$A$1:$I$88,3,0)*VLOOKUP('Données projet'!$B$17,Paramètres!$A$1:$I$88,5,0)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projet'!$B$17,Paramètres!$A$1:$I$88,7,0))</f>
        <v>0</v>
      </c>
      <c r="GJ173" s="16">
        <f>IF(ISNA(VLOOKUP(A173,'Données projet'!$A$243:$I$263,6,0)),0%,VLOOKUP(A173,'Données projet'!$A$243:$I$263,6,0)*VLOOKUP('Données projet'!$B$17,Paramètres!$A$1:$I$88,7,0))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projet'!$B$17,Paramètres!$A$1:$I$88,3,0)*0.475*44/12</f>
        <v>#N/A</v>
      </c>
      <c r="GM173" s="21" t="e">
        <f>EXP(-LN(2)/25)*GM172+(1-EXP(-LN(2)/25))/(LN(2)/25)*Calculateur!GH173*Calculateur!GJ173*VLOOKUP('Données projet'!$B$17,Paramètres!$A$1:$I$88,3,0)*0.475*44/12</f>
        <v>#N/A</v>
      </c>
      <c r="GN173" s="21" t="e">
        <f>EXP(-LN(2)/2)*GN172+(1-EXP(-LN(2)/2))/(LN(2)/2)*GH173*GK173*VLOOKUP('Données projet'!$B$17,Paramètres!$A$1:$I$88,3,0)*0.475*44/12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projet'!$B$18,Paramètres!$A$1:$I$88,3,0)*VLOOKUP('Données projet'!$B$18,Paramètres!$A$1:$I$88,5,0)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projet'!$B$18,Paramètres!$A$1:$I$88,7,0))</f>
        <v>0</v>
      </c>
      <c r="HE173" s="16">
        <f>IF(ISNA(VLOOKUP(A173,'Données projet'!$A$269:$I$289,6,0)),0%,VLOOKUP(A173,'Données projet'!$A$269:$I$289,6,0)*VLOOKUP('Données projet'!$B$18,Paramètres!$A$1:$I$88,7,0))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projet'!$B$18,Paramètres!$A$1:$I$88,3,0)*0.475*44/12</f>
        <v>#N/A</v>
      </c>
      <c r="HH173" s="21" t="e">
        <f>EXP(-LN(2)/25)*HH172+(1-EXP(-LN(2)/25))/(LN(2)/25)*Calculateur!HC173*Calculateur!HE173*VLOOKUP('Données projet'!$B$18,Paramètres!$A$1:$I$88,3,0)*0.475*44/12</f>
        <v>#N/A</v>
      </c>
      <c r="HI173" s="21" t="e">
        <f>EXP(-LN(2)/2)*HI172+(1-EXP(-LN(2)/2))/(LN(2)/2)*HC173*HF173*VLOOKUP('Données projet'!$B$18,Paramètres!$A$1:$I$88,3,0)*0.475*44/12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projet'!$B$9,Paramètres!$A$1:$I$88,3,0)*VLOOKUP('Données projet'!$B$9,Paramètres!$A$1:$I$88,5,0)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195.73441209602686</v>
      </c>
      <c r="T174" s="59">
        <f t="shared" si="142"/>
        <v>219.19129224309006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projet'!$B$9,Paramètres!$A$1:$I$88,7,0))</f>
        <v>0</v>
      </c>
      <c r="X174" s="16">
        <f>IF(ISNA(VLOOKUP(A174,'Données projet'!$A$35:$I$55,6,0)),0%,VLOOKUP(A174,'Données projet'!$A$35:$I$55,6,0)*VLOOKUP('Données projet'!$B$9,Paramètres!$A$1:$I$88,7,0))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projet'!$B$9,Paramètres!$A$1:$I$88,3,0)*0.475*44/12</f>
        <v>0.93457785613818478</v>
      </c>
      <c r="AA174" s="21">
        <f>EXP(-LN(2)/25)*AA173+(1-EXP(-LN(2)/25))/(LN(2)/25)*Calculateur!V174*Calculateur!X174*VLOOKUP('Données projet'!$B$9,Paramètres!$A$1:$I$88,3,0)*0.475*44/12</f>
        <v>0.28391083242422371</v>
      </c>
      <c r="AB174" s="21">
        <f>EXP(-LN(2)/2)*AB173+(1-EXP(-LN(2)/2))/(LN(2)/2)*V174*Y174*VLOOKUP('Données projet'!$B$9,Paramètres!$A$1:$I$88,3,0)*0.475*44/12</f>
        <v>2.3761470980444318E-23</v>
      </c>
      <c r="AC174" s="22">
        <f t="shared" si="163"/>
        <v>1.2184886885624084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-4.5474735088646412E-13</v>
      </c>
      <c r="AJ174" s="13">
        <f>AI174*VLOOKUP('Données projet'!$B$10,Paramètres!$A$1:$I$88,3,0)*VLOOKUP('Données projet'!$B$10,Paramètres!$A$1:$I$88,5,0)</f>
        <v>-2.7193891583010558E-13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246.59447135626942</v>
      </c>
      <c r="AO174" s="59">
        <f t="shared" si="144"/>
        <v>262.00382544285367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projet'!$B$10,Paramètres!$A$1:$I$88,7,0))</f>
        <v>0</v>
      </c>
      <c r="AS174" s="16">
        <f>IF(ISNA(VLOOKUP(A174,'Données projet'!$A$61:$I$81,6,0)),0%,VLOOKUP(A174,'Données projet'!$A$61:$I$81,6,0)*VLOOKUP('Données projet'!$B$10,Paramètres!$A$1:$I$88,7,0))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projet'!$B$10,Paramètres!$A$1:$I$88,3,0)*0.475*44/12</f>
        <v>0</v>
      </c>
      <c r="AV174" s="21">
        <f>EXP(-LN(2)/25)*AV173+(1-EXP(-LN(2)/25))/(LN(2)/25)*Calculateur!AQ174*Calculateur!AS174*VLOOKUP('Données projet'!$B$10,Paramètres!$A$1:$I$88,3,0)*0.475*44/12</f>
        <v>0.25767308761024554</v>
      </c>
      <c r="AW174" s="21">
        <f>EXP(-LN(2)/2)*AW173+(1-EXP(-LN(2)/2))/(LN(2)/2)*AQ174*AT174*VLOOKUP('Données projet'!$B$10,Paramètres!$A$1:$I$88,3,0)*0.475*44/12</f>
        <v>1.4212527842436425E-20</v>
      </c>
      <c r="AX174" s="21">
        <f t="shared" si="166"/>
        <v>0.25767308761024554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-5.6843418860808015E-13</v>
      </c>
      <c r="BE174" s="13">
        <f>BD174*VLOOKUP('Données projet'!$B$11,Paramètres!$A$1:$I$88,3,0)*VLOOKUP('Données projet'!$B$11,Paramètres!$A$1:$I$88,5,0)</f>
        <v>-3.177547114319168E-13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355.96253323046608</v>
      </c>
      <c r="BJ174" s="59">
        <f t="shared" si="146"/>
        <v>366.8380442809696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projet'!$B$11,Paramètres!$A$1:$I$88,7,0))</f>
        <v>0</v>
      </c>
      <c r="BN174" s="16">
        <f>IF(ISNA(VLOOKUP(A174,'Données projet'!$A$87:$I$107,6,0)),0%,VLOOKUP(A174,'Données projet'!$A$87:$I$107,6,0)*VLOOKUP('Données projet'!$B$11,Paramètres!$A$1:$I$88,7,0))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projet'!$B$11,Paramètres!$A$1:$I$88,3,0)*0.475*44/12</f>
        <v>0</v>
      </c>
      <c r="BQ174" s="21">
        <f>EXP(-LN(2)/25)*BQ173+(1-EXP(-LN(2)/25))/(LN(2)/25)*Calculateur!BL174*Calculateur!BN174*VLOOKUP('Données projet'!$B$11,Paramètres!$A$1:$I$88,3,0)*0.475*44/12</f>
        <v>0.45621372545156391</v>
      </c>
      <c r="BR174" s="21">
        <f>EXP(-LN(2)/2)*BR173+(1-EXP(-LN(2)/2))/(LN(2)/2)*BL174*BO174*VLOOKUP('Données projet'!$B$11,Paramètres!$A$1:$I$88,3,0)*0.475*44/12</f>
        <v>2.1974883858030619E-20</v>
      </c>
      <c r="BS174" s="22">
        <f t="shared" si="169"/>
        <v>0.45621372545156391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projet'!$B$12,Paramètres!$A$1:$I$88,3,0)*VLOOKUP('Données projet'!$B$12,Paramètres!$A$1:$I$88,5,0)</f>
        <v>3.7243808037601412E-14</v>
      </c>
      <c r="CA174" s="13">
        <f t="shared" si="170"/>
        <v>6.2767589361185393E-13</v>
      </c>
      <c r="CB174" s="20">
        <f t="shared" si="171"/>
        <v>1.1580684803728015E-12</v>
      </c>
      <c r="CC174" s="59">
        <f t="shared" si="119"/>
        <v>293.33333333333445</v>
      </c>
      <c r="CD174" s="59">
        <f ca="1">AVERAGE(OFFSET($CC$3,0,0,'Données projet'!$E$12+1,1))-AVERAGE(OFFSET($H$3,0,0,'Données projet'!$E$12+1,1))</f>
        <v>180.90147430936133</v>
      </c>
      <c r="CE174" s="59">
        <f t="shared" si="148"/>
        <v>226.87949199830018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projet'!$B$12,Paramètres!$A$1:$I$88,7,0))</f>
        <v>0</v>
      </c>
      <c r="CI174" s="16">
        <f>IF(ISNA(VLOOKUP(A174,'Données projet'!$A$113:$I$133,6,0)),0%,VLOOKUP(A174,'Données projet'!$A$113:$I$133,6,0)*VLOOKUP('Données projet'!$B$12,Paramètres!$A$1:$I$88,7,0))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projet'!$B$12,Paramètres!$A$1:$I$88,3,0)*0.475*44/12</f>
        <v>0</v>
      </c>
      <c r="CL174" s="21">
        <f>EXP(-LN(2)/25)*CL173+(1-EXP(-LN(2)/25))/(LN(2)/25)*Calculateur!CG174*Calculateur!CI174*VLOOKUP('Données projet'!$B$12,Paramètres!$A$1:$I$88,3,0)*0.475*44/12</f>
        <v>0.13777847286927045</v>
      </c>
      <c r="CM174" s="21">
        <f>EXP(-LN(2)/2)*CM173+(1-EXP(-LN(2)/2))/(LN(2)/2)*CG174*CJ174*VLOOKUP('Données projet'!$B$12,Paramètres!$A$1:$I$88,3,0)*0.475*44/12</f>
        <v>5.3081059955444742E-21</v>
      </c>
      <c r="CN174" s="22">
        <f t="shared" si="172"/>
        <v>0.13777847286927045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5.6843418860808015E-14</v>
      </c>
      <c r="CU174" s="17">
        <f>CT174*VLOOKUP('Données projet'!$B$13,Paramètres!$A$1:$I$88,3,0)*VLOOKUP('Données projet'!$B$13,Paramètres!$A$1:$I$88,5,0)</f>
        <v>2.8908289095852525E-14</v>
      </c>
      <c r="CV174" s="13">
        <f t="shared" si="173"/>
        <v>5.0177780569126974E-13</v>
      </c>
      <c r="CW174" s="20">
        <f t="shared" si="174"/>
        <v>9.2427828175423786E-13</v>
      </c>
      <c r="CX174" s="59">
        <f t="shared" si="122"/>
        <v>293.33333333333422</v>
      </c>
      <c r="CY174" s="59">
        <f ca="1">AVERAGE(OFFSET($CX$3,0,0,'Données projet'!$E$13+1,1))-AVERAGE(OFFSET($H$3,0,0,'Données projet'!$E$13+1,1))</f>
        <v>133.08385802816008</v>
      </c>
      <c r="CZ174" s="59">
        <f t="shared" si="150"/>
        <v>316.59112511251385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projet'!$B$13,Paramètres!$A$1:$I$88,7,0))</f>
        <v>0</v>
      </c>
      <c r="DD174" s="16">
        <f>IF(ISNA(VLOOKUP(A174,'Données projet'!$A$139:$I$159,6,0)),0%,VLOOKUP(A174,'Données projet'!$A$139:$I$159,6,0)*VLOOKUP('Données projet'!$B$13,Paramètres!$A$1:$I$88,7,0))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projet'!$B$13,Paramètres!$A$1:$I$88,3,0)*0.475*44/12</f>
        <v>4.42438249746104</v>
      </c>
      <c r="DG174" s="21">
        <f>EXP(-LN(2)/25)*DG173+(1-EXP(-LN(2)/25))/(LN(2)/25)*Calculateur!DB174*Calculateur!DD174*VLOOKUP('Données projet'!$B$13,Paramètres!$A$1:$I$88,3,0)*0.475*44/12</f>
        <v>0</v>
      </c>
      <c r="DH174" s="21">
        <f>EXP(-LN(2)/2)*DH173+(1-EXP(-LN(2)/2))/(LN(2)/2)*DB174*DE174*VLOOKUP('Données projet'!$B$13,Paramètres!$A$1:$I$88,3,0)*0.475*44/12</f>
        <v>3.3866640481165194E-21</v>
      </c>
      <c r="DI174" s="22">
        <f t="shared" si="175"/>
        <v>4.42438249746104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projet'!$B$14,Paramètres!$A$1:$I$88,3,0)*VLOOKUP('Données projet'!$B$14,Paramètres!$A$1:$I$88,5,0)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projet'!$B$14,Paramètres!$A$1:$I$88,7,0))</f>
        <v>0</v>
      </c>
      <c r="DY174" s="16">
        <f>IF(ISNA(VLOOKUP(A174,'Données projet'!$A$165:$I$185,6,0)),0%,VLOOKUP(A174,'Données projet'!$A$165:$I$185,6,0)*VLOOKUP('Données projet'!$B$14,Paramètres!$A$1:$I$88,7,0))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projet'!$B$14,Paramètres!$A$1:$I$88,3,0)*0.475*44/12</f>
        <v>#N/A</v>
      </c>
      <c r="EB174" s="21" t="e">
        <f>EXP(-LN(2)/25)*EB173+(1-EXP(-LN(2)/25))/(LN(2)/25)*Calculateur!DW174*Calculateur!DY174*VLOOKUP('Données projet'!$B$14,Paramètres!$A$1:$I$88,3,0)*0.475*44/12</f>
        <v>#N/A</v>
      </c>
      <c r="EC174" s="21" t="e">
        <f>EXP(-LN(2)/2)*EC173+(1-EXP(-LN(2)/2))/(LN(2)/2)*DW174*DZ174*VLOOKUP('Données projet'!$B$14,Paramètres!$A$1:$I$88,3,0)*0.475*44/12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projet'!$B$15,Paramètres!$A$1:$I$88,3,0)*VLOOKUP('Données projet'!$B$15,Paramètres!$A$1:$I$88,5,0)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projet'!$B$15,Paramètres!$A$1:$I$88,7,0))</f>
        <v>0</v>
      </c>
      <c r="ET174" s="16">
        <f>IF(ISNA(VLOOKUP(A174,'Données projet'!$A$191:$I$211,6,0)),0%,VLOOKUP(A174,'Données projet'!$A$191:$I$211,6,0)*VLOOKUP('Données projet'!$B$15,Paramètres!$A$1:$I$88,7,0))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projet'!$B$15,Paramètres!$A$1:$I$88,3,0)*0.475*44/12</f>
        <v>#N/A</v>
      </c>
      <c r="EW174" s="21" t="e">
        <f>EXP(-LN(2)/25)*EW173+(1-EXP(-LN(2)/25))/(LN(2)/25)*Calculateur!ER174*Calculateur!ET174*VLOOKUP('Données projet'!$B$15,Paramètres!$A$1:$I$88,3,0)*0.475*44/12</f>
        <v>#N/A</v>
      </c>
      <c r="EX174" s="21" t="e">
        <f>EXP(-LN(2)/2)*EX173+(1-EXP(-LN(2)/2))/(LN(2)/2)*ER174*EU174*VLOOKUP('Données projet'!$B$15,Paramètres!$A$1:$I$88,3,0)*0.475*44/12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projet'!$B$16,Paramètres!$A$1:$I$88,3,0)*VLOOKUP('Données projet'!$B$16,Paramètres!$A$1:$I$88,5,0)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projet'!$B$16,Paramètres!$A$1:$I$88,7,0))</f>
        <v>0</v>
      </c>
      <c r="FO174" s="16">
        <f>IF(ISNA(VLOOKUP(A174,'Données projet'!$A$217:$I$237,6,0)),0%,VLOOKUP(A174,'Données projet'!$A$217:$I$237,6,0)*VLOOKUP('Données projet'!$B$16,Paramètres!$A$1:$I$88,7,0))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projet'!$B$16,Paramètres!$A$1:$I$88,3,0)*0.475*44/12</f>
        <v>#N/A</v>
      </c>
      <c r="FR174" s="21" t="e">
        <f>EXP(-LN(2)/25)*FR173+(1-EXP(-LN(2)/25))/(LN(2)/25)*Calculateur!FM174*Calculateur!FO174*VLOOKUP('Données projet'!$B$16,Paramètres!$A$1:$I$88,3,0)*0.475*44/12</f>
        <v>#N/A</v>
      </c>
      <c r="FS174" s="21" t="e">
        <f>EXP(-LN(2)/2)*FS173+(1-EXP(-LN(2)/2))/(LN(2)/2)*FM174*FP174*VLOOKUP('Données projet'!$B$16,Paramètres!$A$1:$I$88,3,0)*0.475*44/12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projet'!$B$17,Paramètres!$A$1:$I$88,3,0)*VLOOKUP('Données projet'!$B$17,Paramètres!$A$1:$I$88,5,0)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projet'!$B$17,Paramètres!$A$1:$I$88,7,0))</f>
        <v>0</v>
      </c>
      <c r="GJ174" s="16">
        <f>IF(ISNA(VLOOKUP(A174,'Données projet'!$A$243:$I$263,6,0)),0%,VLOOKUP(A174,'Données projet'!$A$243:$I$263,6,0)*VLOOKUP('Données projet'!$B$17,Paramètres!$A$1:$I$88,7,0))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projet'!$B$17,Paramètres!$A$1:$I$88,3,0)*0.475*44/12</f>
        <v>#N/A</v>
      </c>
      <c r="GM174" s="21" t="e">
        <f>EXP(-LN(2)/25)*GM173+(1-EXP(-LN(2)/25))/(LN(2)/25)*Calculateur!GH174*Calculateur!GJ174*VLOOKUP('Données projet'!$B$17,Paramètres!$A$1:$I$88,3,0)*0.475*44/12</f>
        <v>#N/A</v>
      </c>
      <c r="GN174" s="21" t="e">
        <f>EXP(-LN(2)/2)*GN173+(1-EXP(-LN(2)/2))/(LN(2)/2)*GH174*GK174*VLOOKUP('Données projet'!$B$17,Paramètres!$A$1:$I$88,3,0)*0.475*44/12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projet'!$B$18,Paramètres!$A$1:$I$88,3,0)*VLOOKUP('Données projet'!$B$18,Paramètres!$A$1:$I$88,5,0)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projet'!$B$18,Paramètres!$A$1:$I$88,7,0))</f>
        <v>0</v>
      </c>
      <c r="HE174" s="16">
        <f>IF(ISNA(VLOOKUP(A174,'Données projet'!$A$269:$I$289,6,0)),0%,VLOOKUP(A174,'Données projet'!$A$269:$I$289,6,0)*VLOOKUP('Données projet'!$B$18,Paramètres!$A$1:$I$88,7,0))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projet'!$B$18,Paramètres!$A$1:$I$88,3,0)*0.475*44/12</f>
        <v>#N/A</v>
      </c>
      <c r="HH174" s="21" t="e">
        <f>EXP(-LN(2)/25)*HH173+(1-EXP(-LN(2)/25))/(LN(2)/25)*Calculateur!HC174*Calculateur!HE174*VLOOKUP('Données projet'!$B$18,Paramètres!$A$1:$I$88,3,0)*0.475*44/12</f>
        <v>#N/A</v>
      </c>
      <c r="HI174" s="21" t="e">
        <f>EXP(-LN(2)/2)*HI173+(1-EXP(-LN(2)/2))/(LN(2)/2)*HC174*HF174*VLOOKUP('Données projet'!$B$18,Paramètres!$A$1:$I$88,3,0)*0.475*44/12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projet'!$B$9,Paramètres!$A$1:$I$88,3,0)*VLOOKUP('Données projet'!$B$9,Paramètres!$A$1:$I$88,5,0)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195.73441209602686</v>
      </c>
      <c r="T175" s="59">
        <f t="shared" si="142"/>
        <v>219.19129224309006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projet'!$B$9,Paramètres!$A$1:$I$88,7,0))</f>
        <v>0</v>
      </c>
      <c r="X175" s="16">
        <f>IF(ISNA(VLOOKUP(A175,'Données projet'!$A$35:$I$55,6,0)),0%,VLOOKUP(A175,'Données projet'!$A$35:$I$55,6,0)*VLOOKUP('Données projet'!$B$9,Paramètres!$A$1:$I$88,7,0))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projet'!$B$9,Paramètres!$A$1:$I$88,3,0)*0.475*44/12</f>
        <v>0.91625135441552086</v>
      </c>
      <c r="AA175" s="21">
        <f>EXP(-LN(2)/25)*AA174+(1-EXP(-LN(2)/25))/(LN(2)/25)*Calculateur!V175*Calculateur!X175*VLOOKUP('Données projet'!$B$9,Paramètres!$A$1:$I$88,3,0)*0.475*44/12</f>
        <v>0.2761472757813615</v>
      </c>
      <c r="AB175" s="21">
        <f>EXP(-LN(2)/2)*AB174+(1-EXP(-LN(2)/2))/(LN(2)/2)*V175*Y175*VLOOKUP('Données projet'!$B$9,Paramètres!$A$1:$I$88,3,0)*0.475*44/12</f>
        <v>1.6801897261239539E-23</v>
      </c>
      <c r="AC175" s="22">
        <f t="shared" si="163"/>
        <v>1.1923986301968823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-4.5474735088646412E-13</v>
      </c>
      <c r="AJ175" s="13">
        <f>AI175*VLOOKUP('Données projet'!$B$10,Paramètres!$A$1:$I$88,3,0)*VLOOKUP('Données projet'!$B$10,Paramètres!$A$1:$I$88,5,0)</f>
        <v>-2.7193891583010558E-13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246.59447135626942</v>
      </c>
      <c r="AO175" s="59">
        <f t="shared" si="144"/>
        <v>262.00382544285367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projet'!$B$10,Paramètres!$A$1:$I$88,7,0))</f>
        <v>0</v>
      </c>
      <c r="AS175" s="16">
        <f>IF(ISNA(VLOOKUP(A175,'Données projet'!$A$61:$I$81,6,0)),0%,VLOOKUP(A175,'Données projet'!$A$61:$I$81,6,0)*VLOOKUP('Données projet'!$B$10,Paramètres!$A$1:$I$88,7,0))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projet'!$B$10,Paramètres!$A$1:$I$88,3,0)*0.475*44/12</f>
        <v>0</v>
      </c>
      <c r="AV175" s="21">
        <f>EXP(-LN(2)/25)*AV174+(1-EXP(-LN(2)/25))/(LN(2)/25)*Calculateur!AQ175*Calculateur!AS175*VLOOKUP('Données projet'!$B$10,Paramètres!$A$1:$I$88,3,0)*0.475*44/12</f>
        <v>0.2506270034791046</v>
      </c>
      <c r="AW175" s="21">
        <f>EXP(-LN(2)/2)*AW174+(1-EXP(-LN(2)/2))/(LN(2)/2)*AQ175*AT175*VLOOKUP('Données projet'!$B$10,Paramètres!$A$1:$I$88,3,0)*0.475*44/12</f>
        <v>1.0049774815189408E-20</v>
      </c>
      <c r="AX175" s="21">
        <f t="shared" si="166"/>
        <v>0.2506270034791046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-5.6843418860808015E-13</v>
      </c>
      <c r="BE175" s="13">
        <f>BD175*VLOOKUP('Données projet'!$B$11,Paramètres!$A$1:$I$88,3,0)*VLOOKUP('Données projet'!$B$11,Paramètres!$A$1:$I$88,5,0)</f>
        <v>-3.177547114319168E-13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355.96253323046608</v>
      </c>
      <c r="BJ175" s="59">
        <f t="shared" si="146"/>
        <v>366.8380442809696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projet'!$B$11,Paramètres!$A$1:$I$88,7,0))</f>
        <v>0</v>
      </c>
      <c r="BN175" s="16">
        <f>IF(ISNA(VLOOKUP(A175,'Données projet'!$A$87:$I$107,6,0)),0%,VLOOKUP(A175,'Données projet'!$A$87:$I$107,6,0)*VLOOKUP('Données projet'!$B$11,Paramètres!$A$1:$I$88,7,0))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projet'!$B$11,Paramètres!$A$1:$I$88,3,0)*0.475*44/12</f>
        <v>0</v>
      </c>
      <c r="BQ175" s="21">
        <f>EXP(-LN(2)/25)*BQ174+(1-EXP(-LN(2)/25))/(LN(2)/25)*Calculateur!BL175*Calculateur!BN175*VLOOKUP('Données projet'!$B$11,Paramètres!$A$1:$I$88,3,0)*0.475*44/12</f>
        <v>0.44373853713785377</v>
      </c>
      <c r="BR175" s="21">
        <f>EXP(-LN(2)/2)*BR174+(1-EXP(-LN(2)/2))/(LN(2)/2)*BL175*BO175*VLOOKUP('Données projet'!$B$11,Paramètres!$A$1:$I$88,3,0)*0.475*44/12</f>
        <v>1.5538589391800252E-20</v>
      </c>
      <c r="BS175" s="22">
        <f t="shared" si="169"/>
        <v>0.44373853713785377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projet'!$B$12,Paramètres!$A$1:$I$88,3,0)*VLOOKUP('Données projet'!$B$12,Paramètres!$A$1:$I$88,5,0)</f>
        <v>3.7243808037601412E-14</v>
      </c>
      <c r="CA175" s="13">
        <f t="shared" si="170"/>
        <v>6.2767589361185393E-13</v>
      </c>
      <c r="CB175" s="20">
        <f t="shared" si="171"/>
        <v>1.1580684803728015E-12</v>
      </c>
      <c r="CC175" s="59">
        <f t="shared" si="119"/>
        <v>293.33333333333445</v>
      </c>
      <c r="CD175" s="59">
        <f ca="1">AVERAGE(OFFSET($CC$3,0,0,'Données projet'!$E$12+1,1))-AVERAGE(OFFSET($H$3,0,0,'Données projet'!$E$12+1,1))</f>
        <v>180.90147430936133</v>
      </c>
      <c r="CE175" s="59">
        <f t="shared" si="148"/>
        <v>226.87949199830018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projet'!$B$12,Paramètres!$A$1:$I$88,7,0))</f>
        <v>0</v>
      </c>
      <c r="CI175" s="16">
        <f>IF(ISNA(VLOOKUP(A175,'Données projet'!$A$113:$I$133,6,0)),0%,VLOOKUP(A175,'Données projet'!$A$113:$I$133,6,0)*VLOOKUP('Données projet'!$B$12,Paramètres!$A$1:$I$88,7,0))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projet'!$B$12,Paramètres!$A$1:$I$88,3,0)*0.475*44/12</f>
        <v>0</v>
      </c>
      <c r="CL175" s="21">
        <f>EXP(-LN(2)/25)*CL174+(1-EXP(-LN(2)/25))/(LN(2)/25)*Calculateur!CG175*Calculateur!CI175*VLOOKUP('Données projet'!$B$12,Paramètres!$A$1:$I$88,3,0)*0.475*44/12</f>
        <v>0.13401091328320525</v>
      </c>
      <c r="CM175" s="21">
        <f>EXP(-LN(2)/2)*CM174+(1-EXP(-LN(2)/2))/(LN(2)/2)*CG175*CJ175*VLOOKUP('Données projet'!$B$12,Paramètres!$A$1:$I$88,3,0)*0.475*44/12</f>
        <v>3.7533977447064674E-21</v>
      </c>
      <c r="CN175" s="22">
        <f t="shared" si="172"/>
        <v>0.13401091328320525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5.6843418860808015E-14</v>
      </c>
      <c r="CU175" s="17">
        <f>CT175*VLOOKUP('Données projet'!$B$13,Paramètres!$A$1:$I$88,3,0)*VLOOKUP('Données projet'!$B$13,Paramètres!$A$1:$I$88,5,0)</f>
        <v>2.8908289095852525E-14</v>
      </c>
      <c r="CV175" s="13">
        <f t="shared" si="173"/>
        <v>5.0177780569126974E-13</v>
      </c>
      <c r="CW175" s="20">
        <f t="shared" si="174"/>
        <v>9.2427828175423786E-13</v>
      </c>
      <c r="CX175" s="59">
        <f t="shared" si="122"/>
        <v>293.33333333333422</v>
      </c>
      <c r="CY175" s="59">
        <f ca="1">AVERAGE(OFFSET($CX$3,0,0,'Données projet'!$E$13+1,1))-AVERAGE(OFFSET($H$3,0,0,'Données projet'!$E$13+1,1))</f>
        <v>133.08385802816008</v>
      </c>
      <c r="CZ175" s="59">
        <f t="shared" si="150"/>
        <v>316.59112511251385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projet'!$B$13,Paramètres!$A$1:$I$88,7,0))</f>
        <v>0</v>
      </c>
      <c r="DD175" s="16">
        <f>IF(ISNA(VLOOKUP(A175,'Données projet'!$A$139:$I$159,6,0)),0%,VLOOKUP(A175,'Données projet'!$A$139:$I$159,6,0)*VLOOKUP('Données projet'!$B$13,Paramètres!$A$1:$I$88,7,0))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projet'!$B$13,Paramètres!$A$1:$I$88,3,0)*0.475*44/12</f>
        <v>4.3376230552926875</v>
      </c>
      <c r="DG175" s="21">
        <f>EXP(-LN(2)/25)*DG174+(1-EXP(-LN(2)/25))/(LN(2)/25)*Calculateur!DB175*Calculateur!DD175*VLOOKUP('Données projet'!$B$13,Paramètres!$A$1:$I$88,3,0)*0.475*44/12</f>
        <v>0</v>
      </c>
      <c r="DH175" s="21">
        <f>EXP(-LN(2)/2)*DH174+(1-EXP(-LN(2)/2))/(LN(2)/2)*DB175*DE175*VLOOKUP('Données projet'!$B$13,Paramètres!$A$1:$I$88,3,0)*0.475*44/12</f>
        <v>2.3947331140238752E-21</v>
      </c>
      <c r="DI175" s="22">
        <f t="shared" si="175"/>
        <v>4.3376230552926875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projet'!$B$14,Paramètres!$A$1:$I$88,3,0)*VLOOKUP('Données projet'!$B$14,Paramètres!$A$1:$I$88,5,0)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projet'!$B$14,Paramètres!$A$1:$I$88,7,0))</f>
        <v>0</v>
      </c>
      <c r="DY175" s="16">
        <f>IF(ISNA(VLOOKUP(A175,'Données projet'!$A$165:$I$185,6,0)),0%,VLOOKUP(A175,'Données projet'!$A$165:$I$185,6,0)*VLOOKUP('Données projet'!$B$14,Paramètres!$A$1:$I$88,7,0))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projet'!$B$14,Paramètres!$A$1:$I$88,3,0)*0.475*44/12</f>
        <v>#N/A</v>
      </c>
      <c r="EB175" s="21" t="e">
        <f>EXP(-LN(2)/25)*EB174+(1-EXP(-LN(2)/25))/(LN(2)/25)*Calculateur!DW175*Calculateur!DY175*VLOOKUP('Données projet'!$B$14,Paramètres!$A$1:$I$88,3,0)*0.475*44/12</f>
        <v>#N/A</v>
      </c>
      <c r="EC175" s="21" t="e">
        <f>EXP(-LN(2)/2)*EC174+(1-EXP(-LN(2)/2))/(LN(2)/2)*DW175*DZ175*VLOOKUP('Données projet'!$B$14,Paramètres!$A$1:$I$88,3,0)*0.475*44/12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projet'!$B$15,Paramètres!$A$1:$I$88,3,0)*VLOOKUP('Données projet'!$B$15,Paramètres!$A$1:$I$88,5,0)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projet'!$B$15,Paramètres!$A$1:$I$88,7,0))</f>
        <v>0</v>
      </c>
      <c r="ET175" s="16">
        <f>IF(ISNA(VLOOKUP(A175,'Données projet'!$A$191:$I$211,6,0)),0%,VLOOKUP(A175,'Données projet'!$A$191:$I$211,6,0)*VLOOKUP('Données projet'!$B$15,Paramètres!$A$1:$I$88,7,0))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projet'!$B$15,Paramètres!$A$1:$I$88,3,0)*0.475*44/12</f>
        <v>#N/A</v>
      </c>
      <c r="EW175" s="21" t="e">
        <f>EXP(-LN(2)/25)*EW174+(1-EXP(-LN(2)/25))/(LN(2)/25)*Calculateur!ER175*Calculateur!ET175*VLOOKUP('Données projet'!$B$15,Paramètres!$A$1:$I$88,3,0)*0.475*44/12</f>
        <v>#N/A</v>
      </c>
      <c r="EX175" s="21" t="e">
        <f>EXP(-LN(2)/2)*EX174+(1-EXP(-LN(2)/2))/(LN(2)/2)*ER175*EU175*VLOOKUP('Données projet'!$B$15,Paramètres!$A$1:$I$88,3,0)*0.475*44/12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projet'!$B$16,Paramètres!$A$1:$I$88,3,0)*VLOOKUP('Données projet'!$B$16,Paramètres!$A$1:$I$88,5,0)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projet'!$B$16,Paramètres!$A$1:$I$88,7,0))</f>
        <v>0</v>
      </c>
      <c r="FO175" s="16">
        <f>IF(ISNA(VLOOKUP(A175,'Données projet'!$A$217:$I$237,6,0)),0%,VLOOKUP(A175,'Données projet'!$A$217:$I$237,6,0)*VLOOKUP('Données projet'!$B$16,Paramètres!$A$1:$I$88,7,0))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projet'!$B$16,Paramètres!$A$1:$I$88,3,0)*0.475*44/12</f>
        <v>#N/A</v>
      </c>
      <c r="FR175" s="21" t="e">
        <f>EXP(-LN(2)/25)*FR174+(1-EXP(-LN(2)/25))/(LN(2)/25)*Calculateur!FM175*Calculateur!FO175*VLOOKUP('Données projet'!$B$16,Paramètres!$A$1:$I$88,3,0)*0.475*44/12</f>
        <v>#N/A</v>
      </c>
      <c r="FS175" s="21" t="e">
        <f>EXP(-LN(2)/2)*FS174+(1-EXP(-LN(2)/2))/(LN(2)/2)*FM175*FP175*VLOOKUP('Données projet'!$B$16,Paramètres!$A$1:$I$88,3,0)*0.475*44/12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projet'!$B$17,Paramètres!$A$1:$I$88,3,0)*VLOOKUP('Données projet'!$B$17,Paramètres!$A$1:$I$88,5,0)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projet'!$B$17,Paramètres!$A$1:$I$88,7,0))</f>
        <v>0</v>
      </c>
      <c r="GJ175" s="16">
        <f>IF(ISNA(VLOOKUP(A175,'Données projet'!$A$243:$I$263,6,0)),0%,VLOOKUP(A175,'Données projet'!$A$243:$I$263,6,0)*VLOOKUP('Données projet'!$B$17,Paramètres!$A$1:$I$88,7,0))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projet'!$B$17,Paramètres!$A$1:$I$88,3,0)*0.475*44/12</f>
        <v>#N/A</v>
      </c>
      <c r="GM175" s="21" t="e">
        <f>EXP(-LN(2)/25)*GM174+(1-EXP(-LN(2)/25))/(LN(2)/25)*Calculateur!GH175*Calculateur!GJ175*VLOOKUP('Données projet'!$B$17,Paramètres!$A$1:$I$88,3,0)*0.475*44/12</f>
        <v>#N/A</v>
      </c>
      <c r="GN175" s="21" t="e">
        <f>EXP(-LN(2)/2)*GN174+(1-EXP(-LN(2)/2))/(LN(2)/2)*GH175*GK175*VLOOKUP('Données projet'!$B$17,Paramètres!$A$1:$I$88,3,0)*0.475*44/12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projet'!$B$18,Paramètres!$A$1:$I$88,3,0)*VLOOKUP('Données projet'!$B$18,Paramètres!$A$1:$I$88,5,0)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projet'!$B$18,Paramètres!$A$1:$I$88,7,0))</f>
        <v>0</v>
      </c>
      <c r="HE175" s="16">
        <f>IF(ISNA(VLOOKUP(A175,'Données projet'!$A$269:$I$289,6,0)),0%,VLOOKUP(A175,'Données projet'!$A$269:$I$289,6,0)*VLOOKUP('Données projet'!$B$18,Paramètres!$A$1:$I$88,7,0))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projet'!$B$18,Paramètres!$A$1:$I$88,3,0)*0.475*44/12</f>
        <v>#N/A</v>
      </c>
      <c r="HH175" s="21" t="e">
        <f>EXP(-LN(2)/25)*HH174+(1-EXP(-LN(2)/25))/(LN(2)/25)*Calculateur!HC175*Calculateur!HE175*VLOOKUP('Données projet'!$B$18,Paramètres!$A$1:$I$88,3,0)*0.475*44/12</f>
        <v>#N/A</v>
      </c>
      <c r="HI175" s="21" t="e">
        <f>EXP(-LN(2)/2)*HI174+(1-EXP(-LN(2)/2))/(LN(2)/2)*HC175*HF175*VLOOKUP('Données projet'!$B$18,Paramètres!$A$1:$I$88,3,0)*0.475*44/12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projet'!$B$9,Paramètres!$A$1:$I$88,3,0)*VLOOKUP('Données projet'!$B$9,Paramètres!$A$1:$I$88,5,0)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195.73441209602686</v>
      </c>
      <c r="T176" s="59">
        <f t="shared" si="142"/>
        <v>219.19129224309006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projet'!$B$9,Paramètres!$A$1:$I$88,7,0))</f>
        <v>0</v>
      </c>
      <c r="X176" s="16">
        <f>IF(ISNA(VLOOKUP(A176,'Données projet'!$A$35:$I$55,6,0)),0%,VLOOKUP(A176,'Données projet'!$A$35:$I$55,6,0)*VLOOKUP('Données projet'!$B$9,Paramètres!$A$1:$I$88,7,0))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projet'!$B$9,Paramètres!$A$1:$I$88,3,0)*0.475*44/12</f>
        <v>0.89828422421357601</v>
      </c>
      <c r="AA176" s="21">
        <f>EXP(-LN(2)/25)*AA175+(1-EXP(-LN(2)/25))/(LN(2)/25)*Calculateur!V176*Calculateur!X176*VLOOKUP('Données projet'!$B$9,Paramètres!$A$1:$I$88,3,0)*0.475*44/12</f>
        <v>0.26859601400316607</v>
      </c>
      <c r="AB176" s="21">
        <f>EXP(-LN(2)/2)*AB175+(1-EXP(-LN(2)/2))/(LN(2)/2)*V176*Y176*VLOOKUP('Données projet'!$B$9,Paramètres!$A$1:$I$88,3,0)*0.475*44/12</f>
        <v>1.1880735490222159E-23</v>
      </c>
      <c r="AC176" s="22">
        <f t="shared" si="163"/>
        <v>1.166880238216742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-4.5474735088646412E-13</v>
      </c>
      <c r="AJ176" s="13">
        <f>AI176*VLOOKUP('Données projet'!$B$10,Paramètres!$A$1:$I$88,3,0)*VLOOKUP('Données projet'!$B$10,Paramètres!$A$1:$I$88,5,0)</f>
        <v>-2.7193891583010558E-13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246.59447135626942</v>
      </c>
      <c r="AO176" s="59">
        <f t="shared" si="144"/>
        <v>262.00382544285367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projet'!$B$10,Paramètres!$A$1:$I$88,7,0))</f>
        <v>0</v>
      </c>
      <c r="AS176" s="16">
        <f>IF(ISNA(VLOOKUP(A176,'Données projet'!$A$61:$I$81,6,0)),0%,VLOOKUP(A176,'Données projet'!$A$61:$I$81,6,0)*VLOOKUP('Données projet'!$B$10,Paramètres!$A$1:$I$88,7,0))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projet'!$B$10,Paramètres!$A$1:$I$88,3,0)*0.475*44/12</f>
        <v>0</v>
      </c>
      <c r="AV176" s="21">
        <f>EXP(-LN(2)/25)*AV175+(1-EXP(-LN(2)/25))/(LN(2)/25)*Calculateur!AQ176*Calculateur!AS176*VLOOKUP('Données projet'!$B$10,Paramètres!$A$1:$I$88,3,0)*0.475*44/12</f>
        <v>0.24377359488906719</v>
      </c>
      <c r="AW176" s="21">
        <f>EXP(-LN(2)/2)*AW175+(1-EXP(-LN(2)/2))/(LN(2)/2)*AQ176*AT176*VLOOKUP('Données projet'!$B$10,Paramètres!$A$1:$I$88,3,0)*0.475*44/12</f>
        <v>7.1062639212182126E-21</v>
      </c>
      <c r="AX176" s="21">
        <f t="shared" si="166"/>
        <v>0.24377359488906719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-5.6843418860808015E-13</v>
      </c>
      <c r="BE176" s="13">
        <f>BD176*VLOOKUP('Données projet'!$B$11,Paramètres!$A$1:$I$88,3,0)*VLOOKUP('Données projet'!$B$11,Paramètres!$A$1:$I$88,5,0)</f>
        <v>-3.177547114319168E-13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355.96253323046608</v>
      </c>
      <c r="BJ176" s="59">
        <f t="shared" si="146"/>
        <v>366.8380442809696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projet'!$B$11,Paramètres!$A$1:$I$88,7,0))</f>
        <v>0</v>
      </c>
      <c r="BN176" s="16">
        <f>IF(ISNA(VLOOKUP(A176,'Données projet'!$A$87:$I$107,6,0)),0%,VLOOKUP(A176,'Données projet'!$A$87:$I$107,6,0)*VLOOKUP('Données projet'!$B$11,Paramètres!$A$1:$I$88,7,0))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projet'!$B$11,Paramètres!$A$1:$I$88,3,0)*0.475*44/12</f>
        <v>0</v>
      </c>
      <c r="BQ176" s="21">
        <f>EXP(-LN(2)/25)*BQ175+(1-EXP(-LN(2)/25))/(LN(2)/25)*Calculateur!BL176*Calculateur!BN176*VLOOKUP('Données projet'!$B$11,Paramètres!$A$1:$I$88,3,0)*0.475*44/12</f>
        <v>0.43160448350462366</v>
      </c>
      <c r="BR176" s="21">
        <f>EXP(-LN(2)/2)*BR175+(1-EXP(-LN(2)/2))/(LN(2)/2)*BL176*BO176*VLOOKUP('Données projet'!$B$11,Paramètres!$A$1:$I$88,3,0)*0.475*44/12</f>
        <v>1.098744192901531E-20</v>
      </c>
      <c r="BS176" s="22">
        <f t="shared" si="169"/>
        <v>0.43160448350462366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projet'!$B$12,Paramètres!$A$1:$I$88,3,0)*VLOOKUP('Données projet'!$B$12,Paramètres!$A$1:$I$88,5,0)</f>
        <v>3.7243808037601412E-14</v>
      </c>
      <c r="CA176" s="13">
        <f t="shared" si="170"/>
        <v>6.2767589361185393E-13</v>
      </c>
      <c r="CB176" s="20">
        <f t="shared" si="171"/>
        <v>1.1580684803728015E-12</v>
      </c>
      <c r="CC176" s="59">
        <f t="shared" si="119"/>
        <v>293.33333333333445</v>
      </c>
      <c r="CD176" s="59">
        <f ca="1">AVERAGE(OFFSET($CC$3,0,0,'Données projet'!$E$12+1,1))-AVERAGE(OFFSET($H$3,0,0,'Données projet'!$E$12+1,1))</f>
        <v>180.90147430936133</v>
      </c>
      <c r="CE176" s="59">
        <f t="shared" si="148"/>
        <v>226.87949199830018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projet'!$B$12,Paramètres!$A$1:$I$88,7,0))</f>
        <v>0</v>
      </c>
      <c r="CI176" s="16">
        <f>IF(ISNA(VLOOKUP(A176,'Données projet'!$A$113:$I$133,6,0)),0%,VLOOKUP(A176,'Données projet'!$A$113:$I$133,6,0)*VLOOKUP('Données projet'!$B$12,Paramètres!$A$1:$I$88,7,0))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projet'!$B$12,Paramètres!$A$1:$I$88,3,0)*0.475*44/12</f>
        <v>0</v>
      </c>
      <c r="CL176" s="21">
        <f>EXP(-LN(2)/25)*CL175+(1-EXP(-LN(2)/25))/(LN(2)/25)*Calculateur!CG176*Calculateur!CI176*VLOOKUP('Données projet'!$B$12,Paramètres!$A$1:$I$88,3,0)*0.475*44/12</f>
        <v>0.13034637781214836</v>
      </c>
      <c r="CM176" s="21">
        <f>EXP(-LN(2)/2)*CM175+(1-EXP(-LN(2)/2))/(LN(2)/2)*CG176*CJ176*VLOOKUP('Données projet'!$B$12,Paramètres!$A$1:$I$88,3,0)*0.475*44/12</f>
        <v>2.6540529977722371E-21</v>
      </c>
      <c r="CN176" s="22">
        <f t="shared" si="172"/>
        <v>0.13034637781214836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5.6843418860808015E-14</v>
      </c>
      <c r="CU176" s="17">
        <f>CT176*VLOOKUP('Données projet'!$B$13,Paramètres!$A$1:$I$88,3,0)*VLOOKUP('Données projet'!$B$13,Paramètres!$A$1:$I$88,5,0)</f>
        <v>2.8908289095852525E-14</v>
      </c>
      <c r="CV176" s="13">
        <f t="shared" si="173"/>
        <v>5.0177780569126974E-13</v>
      </c>
      <c r="CW176" s="20">
        <f t="shared" si="174"/>
        <v>9.2427828175423786E-13</v>
      </c>
      <c r="CX176" s="59">
        <f t="shared" si="122"/>
        <v>293.33333333333422</v>
      </c>
      <c r="CY176" s="59">
        <f ca="1">AVERAGE(OFFSET($CX$3,0,0,'Données projet'!$E$13+1,1))-AVERAGE(OFFSET($H$3,0,0,'Données projet'!$E$13+1,1))</f>
        <v>133.08385802816008</v>
      </c>
      <c r="CZ176" s="59">
        <f t="shared" si="150"/>
        <v>316.59112511251385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projet'!$B$13,Paramètres!$A$1:$I$88,7,0))</f>
        <v>0</v>
      </c>
      <c r="DD176" s="16">
        <f>IF(ISNA(VLOOKUP(A176,'Données projet'!$A$139:$I$159,6,0)),0%,VLOOKUP(A176,'Données projet'!$A$139:$I$159,6,0)*VLOOKUP('Données projet'!$B$13,Paramètres!$A$1:$I$88,7,0))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projet'!$B$13,Paramètres!$A$1:$I$88,3,0)*0.475*44/12</f>
        <v>4.2525649128672214</v>
      </c>
      <c r="DG176" s="21">
        <f>EXP(-LN(2)/25)*DG175+(1-EXP(-LN(2)/25))/(LN(2)/25)*Calculateur!DB176*Calculateur!DD176*VLOOKUP('Données projet'!$B$13,Paramètres!$A$1:$I$88,3,0)*0.475*44/12</f>
        <v>0</v>
      </c>
      <c r="DH176" s="21">
        <f>EXP(-LN(2)/2)*DH175+(1-EXP(-LN(2)/2))/(LN(2)/2)*DB176*DE176*VLOOKUP('Données projet'!$B$13,Paramètres!$A$1:$I$88,3,0)*0.475*44/12</f>
        <v>1.6933320240582599E-21</v>
      </c>
      <c r="DI176" s="22">
        <f t="shared" si="175"/>
        <v>4.2525649128672214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projet'!$B$14,Paramètres!$A$1:$I$88,3,0)*VLOOKUP('Données projet'!$B$14,Paramètres!$A$1:$I$88,5,0)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projet'!$B$14,Paramètres!$A$1:$I$88,7,0))</f>
        <v>0</v>
      </c>
      <c r="DY176" s="16">
        <f>IF(ISNA(VLOOKUP(A176,'Données projet'!$A$165:$I$185,6,0)),0%,VLOOKUP(A176,'Données projet'!$A$165:$I$185,6,0)*VLOOKUP('Données projet'!$B$14,Paramètres!$A$1:$I$88,7,0))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projet'!$B$14,Paramètres!$A$1:$I$88,3,0)*0.475*44/12</f>
        <v>#N/A</v>
      </c>
      <c r="EB176" s="21" t="e">
        <f>EXP(-LN(2)/25)*EB175+(1-EXP(-LN(2)/25))/(LN(2)/25)*Calculateur!DW176*Calculateur!DY176*VLOOKUP('Données projet'!$B$14,Paramètres!$A$1:$I$88,3,0)*0.475*44/12</f>
        <v>#N/A</v>
      </c>
      <c r="EC176" s="21" t="e">
        <f>EXP(-LN(2)/2)*EC175+(1-EXP(-LN(2)/2))/(LN(2)/2)*DW176*DZ176*VLOOKUP('Données projet'!$B$14,Paramètres!$A$1:$I$88,3,0)*0.475*44/12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projet'!$B$15,Paramètres!$A$1:$I$88,3,0)*VLOOKUP('Données projet'!$B$15,Paramètres!$A$1:$I$88,5,0)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projet'!$B$15,Paramètres!$A$1:$I$88,7,0))</f>
        <v>0</v>
      </c>
      <c r="ET176" s="16">
        <f>IF(ISNA(VLOOKUP(A176,'Données projet'!$A$191:$I$211,6,0)),0%,VLOOKUP(A176,'Données projet'!$A$191:$I$211,6,0)*VLOOKUP('Données projet'!$B$15,Paramètres!$A$1:$I$88,7,0))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projet'!$B$15,Paramètres!$A$1:$I$88,3,0)*0.475*44/12</f>
        <v>#N/A</v>
      </c>
      <c r="EW176" s="21" t="e">
        <f>EXP(-LN(2)/25)*EW175+(1-EXP(-LN(2)/25))/(LN(2)/25)*Calculateur!ER176*Calculateur!ET176*VLOOKUP('Données projet'!$B$15,Paramètres!$A$1:$I$88,3,0)*0.475*44/12</f>
        <v>#N/A</v>
      </c>
      <c r="EX176" s="21" t="e">
        <f>EXP(-LN(2)/2)*EX175+(1-EXP(-LN(2)/2))/(LN(2)/2)*ER176*EU176*VLOOKUP('Données projet'!$B$15,Paramètres!$A$1:$I$88,3,0)*0.475*44/12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projet'!$B$16,Paramètres!$A$1:$I$88,3,0)*VLOOKUP('Données projet'!$B$16,Paramètres!$A$1:$I$88,5,0)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projet'!$B$16,Paramètres!$A$1:$I$88,7,0))</f>
        <v>0</v>
      </c>
      <c r="FO176" s="16">
        <f>IF(ISNA(VLOOKUP(A176,'Données projet'!$A$217:$I$237,6,0)),0%,VLOOKUP(A176,'Données projet'!$A$217:$I$237,6,0)*VLOOKUP('Données projet'!$B$16,Paramètres!$A$1:$I$88,7,0))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projet'!$B$16,Paramètres!$A$1:$I$88,3,0)*0.475*44/12</f>
        <v>#N/A</v>
      </c>
      <c r="FR176" s="21" t="e">
        <f>EXP(-LN(2)/25)*FR175+(1-EXP(-LN(2)/25))/(LN(2)/25)*Calculateur!FM176*Calculateur!FO176*VLOOKUP('Données projet'!$B$16,Paramètres!$A$1:$I$88,3,0)*0.475*44/12</f>
        <v>#N/A</v>
      </c>
      <c r="FS176" s="21" t="e">
        <f>EXP(-LN(2)/2)*FS175+(1-EXP(-LN(2)/2))/(LN(2)/2)*FM176*FP176*VLOOKUP('Données projet'!$B$16,Paramètres!$A$1:$I$88,3,0)*0.475*44/12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projet'!$B$17,Paramètres!$A$1:$I$88,3,0)*VLOOKUP('Données projet'!$B$17,Paramètres!$A$1:$I$88,5,0)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projet'!$B$17,Paramètres!$A$1:$I$88,7,0))</f>
        <v>0</v>
      </c>
      <c r="GJ176" s="16">
        <f>IF(ISNA(VLOOKUP(A176,'Données projet'!$A$243:$I$263,6,0)),0%,VLOOKUP(A176,'Données projet'!$A$243:$I$263,6,0)*VLOOKUP('Données projet'!$B$17,Paramètres!$A$1:$I$88,7,0))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projet'!$B$17,Paramètres!$A$1:$I$88,3,0)*0.475*44/12</f>
        <v>#N/A</v>
      </c>
      <c r="GM176" s="21" t="e">
        <f>EXP(-LN(2)/25)*GM175+(1-EXP(-LN(2)/25))/(LN(2)/25)*Calculateur!GH176*Calculateur!GJ176*VLOOKUP('Données projet'!$B$17,Paramètres!$A$1:$I$88,3,0)*0.475*44/12</f>
        <v>#N/A</v>
      </c>
      <c r="GN176" s="21" t="e">
        <f>EXP(-LN(2)/2)*GN175+(1-EXP(-LN(2)/2))/(LN(2)/2)*GH176*GK176*VLOOKUP('Données projet'!$B$17,Paramètres!$A$1:$I$88,3,0)*0.475*44/12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projet'!$B$18,Paramètres!$A$1:$I$88,3,0)*VLOOKUP('Données projet'!$B$18,Paramètres!$A$1:$I$88,5,0)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projet'!$B$18,Paramètres!$A$1:$I$88,7,0))</f>
        <v>0</v>
      </c>
      <c r="HE176" s="16">
        <f>IF(ISNA(VLOOKUP(A176,'Données projet'!$A$269:$I$289,6,0)),0%,VLOOKUP(A176,'Données projet'!$A$269:$I$289,6,0)*VLOOKUP('Données projet'!$B$18,Paramètres!$A$1:$I$88,7,0))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projet'!$B$18,Paramètres!$A$1:$I$88,3,0)*0.475*44/12</f>
        <v>#N/A</v>
      </c>
      <c r="HH176" s="21" t="e">
        <f>EXP(-LN(2)/25)*HH175+(1-EXP(-LN(2)/25))/(LN(2)/25)*Calculateur!HC176*Calculateur!HE176*VLOOKUP('Données projet'!$B$18,Paramètres!$A$1:$I$88,3,0)*0.475*44/12</f>
        <v>#N/A</v>
      </c>
      <c r="HI176" s="21" t="e">
        <f>EXP(-LN(2)/2)*HI175+(1-EXP(-LN(2)/2))/(LN(2)/2)*HC176*HF176*VLOOKUP('Données projet'!$B$18,Paramètres!$A$1:$I$88,3,0)*0.475*44/12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projet'!$B$9,Paramètres!$A$1:$I$88,3,0)*VLOOKUP('Données projet'!$B$9,Paramètres!$A$1:$I$88,5,0)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195.73441209602686</v>
      </c>
      <c r="T177" s="59">
        <f t="shared" si="142"/>
        <v>219.19129224309006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projet'!$B$9,Paramètres!$A$1:$I$88,7,0))</f>
        <v>0</v>
      </c>
      <c r="X177" s="16">
        <f>IF(ISNA(VLOOKUP(A177,'Données projet'!$A$35:$I$55,6,0)),0%,VLOOKUP(A177,'Données projet'!$A$35:$I$55,6,0)*VLOOKUP('Données projet'!$B$9,Paramètres!$A$1:$I$88,7,0))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projet'!$B$9,Paramètres!$A$1:$I$88,3,0)*0.475*44/12</f>
        <v>0.88066941847602398</v>
      </c>
      <c r="AA177" s="21">
        <f>EXP(-LN(2)/25)*AA176+(1-EXP(-LN(2)/25))/(LN(2)/25)*Calculateur!V177*Calculateur!X177*VLOOKUP('Données projet'!$B$9,Paramètres!$A$1:$I$88,3,0)*0.475*44/12</f>
        <v>0.261251241875399</v>
      </c>
      <c r="AB177" s="21">
        <f>EXP(-LN(2)/2)*AB176+(1-EXP(-LN(2)/2))/(LN(2)/2)*V177*Y177*VLOOKUP('Données projet'!$B$9,Paramètres!$A$1:$I$88,3,0)*0.475*44/12</f>
        <v>8.4009486306197697E-24</v>
      </c>
      <c r="AC177" s="22">
        <f t="shared" si="163"/>
        <v>1.1419206603514229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-4.5474735088646412E-13</v>
      </c>
      <c r="AJ177" s="13">
        <f>AI177*VLOOKUP('Données projet'!$B$10,Paramètres!$A$1:$I$88,3,0)*VLOOKUP('Données projet'!$B$10,Paramètres!$A$1:$I$88,5,0)</f>
        <v>-2.7193891583010558E-13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246.59447135626942</v>
      </c>
      <c r="AO177" s="59">
        <f t="shared" si="144"/>
        <v>262.00382544285367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projet'!$B$10,Paramètres!$A$1:$I$88,7,0))</f>
        <v>0</v>
      </c>
      <c r="AS177" s="16">
        <f>IF(ISNA(VLOOKUP(A177,'Données projet'!$A$61:$I$81,6,0)),0%,VLOOKUP(A177,'Données projet'!$A$61:$I$81,6,0)*VLOOKUP('Données projet'!$B$10,Paramètres!$A$1:$I$88,7,0))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projet'!$B$10,Paramètres!$A$1:$I$88,3,0)*0.475*44/12</f>
        <v>0</v>
      </c>
      <c r="AV177" s="21">
        <f>EXP(-LN(2)/25)*AV176+(1-EXP(-LN(2)/25))/(LN(2)/25)*Calculateur!AQ177*Calculateur!AS177*VLOOKUP('Données projet'!$B$10,Paramètres!$A$1:$I$88,3,0)*0.475*44/12</f>
        <v>0.23710759311732946</v>
      </c>
      <c r="AW177" s="21">
        <f>EXP(-LN(2)/2)*AW176+(1-EXP(-LN(2)/2))/(LN(2)/2)*AQ177*AT177*VLOOKUP('Données projet'!$B$10,Paramètres!$A$1:$I$88,3,0)*0.475*44/12</f>
        <v>5.024887407594704E-21</v>
      </c>
      <c r="AX177" s="21">
        <f t="shared" si="166"/>
        <v>0.23710759311732946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-5.6843418860808015E-13</v>
      </c>
      <c r="BE177" s="13">
        <f>BD177*VLOOKUP('Données projet'!$B$11,Paramètres!$A$1:$I$88,3,0)*VLOOKUP('Données projet'!$B$11,Paramètres!$A$1:$I$88,5,0)</f>
        <v>-3.177547114319168E-13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355.96253323046608</v>
      </c>
      <c r="BJ177" s="59">
        <f t="shared" si="146"/>
        <v>366.8380442809696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projet'!$B$11,Paramètres!$A$1:$I$88,7,0))</f>
        <v>0</v>
      </c>
      <c r="BN177" s="16">
        <f>IF(ISNA(VLOOKUP(A177,'Données projet'!$A$87:$I$107,6,0)),0%,VLOOKUP(A177,'Données projet'!$A$87:$I$107,6,0)*VLOOKUP('Données projet'!$B$11,Paramètres!$A$1:$I$88,7,0))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projet'!$B$11,Paramètres!$A$1:$I$88,3,0)*0.475*44/12</f>
        <v>0</v>
      </c>
      <c r="BQ177" s="21">
        <f>EXP(-LN(2)/25)*BQ176+(1-EXP(-LN(2)/25))/(LN(2)/25)*Calculateur!BL177*Calculateur!BN177*VLOOKUP('Données projet'!$B$11,Paramètres!$A$1:$I$88,3,0)*0.475*44/12</f>
        <v>0.41980223620609636</v>
      </c>
      <c r="BR177" s="21">
        <f>EXP(-LN(2)/2)*BR176+(1-EXP(-LN(2)/2))/(LN(2)/2)*BL177*BO177*VLOOKUP('Données projet'!$B$11,Paramètres!$A$1:$I$88,3,0)*0.475*44/12</f>
        <v>7.7692946959001261E-21</v>
      </c>
      <c r="BS177" s="22">
        <f t="shared" si="169"/>
        <v>0.41980223620609636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projet'!$B$12,Paramètres!$A$1:$I$88,3,0)*VLOOKUP('Données projet'!$B$12,Paramètres!$A$1:$I$88,5,0)</f>
        <v>3.7243808037601412E-14</v>
      </c>
      <c r="CA177" s="13">
        <f t="shared" si="170"/>
        <v>6.2767589361185393E-13</v>
      </c>
      <c r="CB177" s="20">
        <f t="shared" si="171"/>
        <v>1.1580684803728015E-12</v>
      </c>
      <c r="CC177" s="59">
        <f t="shared" si="119"/>
        <v>293.33333333333445</v>
      </c>
      <c r="CD177" s="59">
        <f ca="1">AVERAGE(OFFSET($CC$3,0,0,'Données projet'!$E$12+1,1))-AVERAGE(OFFSET($H$3,0,0,'Données projet'!$E$12+1,1))</f>
        <v>180.90147430936133</v>
      </c>
      <c r="CE177" s="59">
        <f t="shared" si="148"/>
        <v>226.87949199830018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projet'!$B$12,Paramètres!$A$1:$I$88,7,0))</f>
        <v>0</v>
      </c>
      <c r="CI177" s="16">
        <f>IF(ISNA(VLOOKUP(A177,'Données projet'!$A$113:$I$133,6,0)),0%,VLOOKUP(A177,'Données projet'!$A$113:$I$133,6,0)*VLOOKUP('Données projet'!$B$12,Paramètres!$A$1:$I$88,7,0))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projet'!$B$12,Paramètres!$A$1:$I$88,3,0)*0.475*44/12</f>
        <v>0</v>
      </c>
      <c r="CL177" s="21">
        <f>EXP(-LN(2)/25)*CL176+(1-EXP(-LN(2)/25))/(LN(2)/25)*Calculateur!CG177*Calculateur!CI177*VLOOKUP('Données projet'!$B$12,Paramètres!$A$1:$I$88,3,0)*0.475*44/12</f>
        <v>0.12678204925625708</v>
      </c>
      <c r="CM177" s="21">
        <f>EXP(-LN(2)/2)*CM176+(1-EXP(-LN(2)/2))/(LN(2)/2)*CG177*CJ177*VLOOKUP('Données projet'!$B$12,Paramètres!$A$1:$I$88,3,0)*0.475*44/12</f>
        <v>1.8766988723532337E-21</v>
      </c>
      <c r="CN177" s="22">
        <f t="shared" si="172"/>
        <v>0.12678204925625708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5.6843418860808015E-14</v>
      </c>
      <c r="CU177" s="17">
        <f>CT177*VLOOKUP('Données projet'!$B$13,Paramètres!$A$1:$I$88,3,0)*VLOOKUP('Données projet'!$B$13,Paramètres!$A$1:$I$88,5,0)</f>
        <v>2.8908289095852525E-14</v>
      </c>
      <c r="CV177" s="13">
        <f t="shared" si="173"/>
        <v>5.0177780569126974E-13</v>
      </c>
      <c r="CW177" s="20">
        <f t="shared" si="174"/>
        <v>9.2427828175423786E-13</v>
      </c>
      <c r="CX177" s="59">
        <f t="shared" si="122"/>
        <v>293.33333333333422</v>
      </c>
      <c r="CY177" s="59">
        <f ca="1">AVERAGE(OFFSET($CX$3,0,0,'Données projet'!$E$13+1,1))-AVERAGE(OFFSET($H$3,0,0,'Données projet'!$E$13+1,1))</f>
        <v>133.08385802816008</v>
      </c>
      <c r="CZ177" s="59">
        <f t="shared" si="150"/>
        <v>316.59112511251385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projet'!$B$13,Paramètres!$A$1:$I$88,7,0))</f>
        <v>0</v>
      </c>
      <c r="DD177" s="16">
        <f>IF(ISNA(VLOOKUP(A177,'Données projet'!$A$139:$I$159,6,0)),0%,VLOOKUP(A177,'Données projet'!$A$139:$I$159,6,0)*VLOOKUP('Données projet'!$B$13,Paramètres!$A$1:$I$88,7,0))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projet'!$B$13,Paramètres!$A$1:$I$88,3,0)*0.475*44/12</f>
        <v>4.1691747087343751</v>
      </c>
      <c r="DG177" s="21">
        <f>EXP(-LN(2)/25)*DG176+(1-EXP(-LN(2)/25))/(LN(2)/25)*Calculateur!DB177*Calculateur!DD177*VLOOKUP('Données projet'!$B$13,Paramètres!$A$1:$I$88,3,0)*0.475*44/12</f>
        <v>0</v>
      </c>
      <c r="DH177" s="21">
        <f>EXP(-LN(2)/2)*DH176+(1-EXP(-LN(2)/2))/(LN(2)/2)*DB177*DE177*VLOOKUP('Données projet'!$B$13,Paramètres!$A$1:$I$88,3,0)*0.475*44/12</f>
        <v>1.1973665570119378E-21</v>
      </c>
      <c r="DI177" s="22">
        <f t="shared" si="175"/>
        <v>4.1691747087343751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projet'!$B$14,Paramètres!$A$1:$I$88,3,0)*VLOOKUP('Données projet'!$B$14,Paramètres!$A$1:$I$88,5,0)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projet'!$B$14,Paramètres!$A$1:$I$88,7,0))</f>
        <v>0</v>
      </c>
      <c r="DY177" s="16">
        <f>IF(ISNA(VLOOKUP(A177,'Données projet'!$A$165:$I$185,6,0)),0%,VLOOKUP(A177,'Données projet'!$A$165:$I$185,6,0)*VLOOKUP('Données projet'!$B$14,Paramètres!$A$1:$I$88,7,0))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projet'!$B$14,Paramètres!$A$1:$I$88,3,0)*0.475*44/12</f>
        <v>#N/A</v>
      </c>
      <c r="EB177" s="21" t="e">
        <f>EXP(-LN(2)/25)*EB176+(1-EXP(-LN(2)/25))/(LN(2)/25)*Calculateur!DW177*Calculateur!DY177*VLOOKUP('Données projet'!$B$14,Paramètres!$A$1:$I$88,3,0)*0.475*44/12</f>
        <v>#N/A</v>
      </c>
      <c r="EC177" s="21" t="e">
        <f>EXP(-LN(2)/2)*EC176+(1-EXP(-LN(2)/2))/(LN(2)/2)*DW177*DZ177*VLOOKUP('Données projet'!$B$14,Paramètres!$A$1:$I$88,3,0)*0.475*44/12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projet'!$B$15,Paramètres!$A$1:$I$88,3,0)*VLOOKUP('Données projet'!$B$15,Paramètres!$A$1:$I$88,5,0)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projet'!$B$15,Paramètres!$A$1:$I$88,7,0))</f>
        <v>0</v>
      </c>
      <c r="ET177" s="16">
        <f>IF(ISNA(VLOOKUP(A177,'Données projet'!$A$191:$I$211,6,0)),0%,VLOOKUP(A177,'Données projet'!$A$191:$I$211,6,0)*VLOOKUP('Données projet'!$B$15,Paramètres!$A$1:$I$88,7,0))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projet'!$B$15,Paramètres!$A$1:$I$88,3,0)*0.475*44/12</f>
        <v>#N/A</v>
      </c>
      <c r="EW177" s="21" t="e">
        <f>EXP(-LN(2)/25)*EW176+(1-EXP(-LN(2)/25))/(LN(2)/25)*Calculateur!ER177*Calculateur!ET177*VLOOKUP('Données projet'!$B$15,Paramètres!$A$1:$I$88,3,0)*0.475*44/12</f>
        <v>#N/A</v>
      </c>
      <c r="EX177" s="21" t="e">
        <f>EXP(-LN(2)/2)*EX176+(1-EXP(-LN(2)/2))/(LN(2)/2)*ER177*EU177*VLOOKUP('Données projet'!$B$15,Paramètres!$A$1:$I$88,3,0)*0.475*44/12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projet'!$B$16,Paramètres!$A$1:$I$88,3,0)*VLOOKUP('Données projet'!$B$16,Paramètres!$A$1:$I$88,5,0)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projet'!$B$16,Paramètres!$A$1:$I$88,7,0))</f>
        <v>0</v>
      </c>
      <c r="FO177" s="16">
        <f>IF(ISNA(VLOOKUP(A177,'Données projet'!$A$217:$I$237,6,0)),0%,VLOOKUP(A177,'Données projet'!$A$217:$I$237,6,0)*VLOOKUP('Données projet'!$B$16,Paramètres!$A$1:$I$88,7,0))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projet'!$B$16,Paramètres!$A$1:$I$88,3,0)*0.475*44/12</f>
        <v>#N/A</v>
      </c>
      <c r="FR177" s="21" t="e">
        <f>EXP(-LN(2)/25)*FR176+(1-EXP(-LN(2)/25))/(LN(2)/25)*Calculateur!FM177*Calculateur!FO177*VLOOKUP('Données projet'!$B$16,Paramètres!$A$1:$I$88,3,0)*0.475*44/12</f>
        <v>#N/A</v>
      </c>
      <c r="FS177" s="21" t="e">
        <f>EXP(-LN(2)/2)*FS176+(1-EXP(-LN(2)/2))/(LN(2)/2)*FM177*FP177*VLOOKUP('Données projet'!$B$16,Paramètres!$A$1:$I$88,3,0)*0.475*44/12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projet'!$B$17,Paramètres!$A$1:$I$88,3,0)*VLOOKUP('Données projet'!$B$17,Paramètres!$A$1:$I$88,5,0)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projet'!$B$17,Paramètres!$A$1:$I$88,7,0))</f>
        <v>0</v>
      </c>
      <c r="GJ177" s="16">
        <f>IF(ISNA(VLOOKUP(A177,'Données projet'!$A$243:$I$263,6,0)),0%,VLOOKUP(A177,'Données projet'!$A$243:$I$263,6,0)*VLOOKUP('Données projet'!$B$17,Paramètres!$A$1:$I$88,7,0))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projet'!$B$17,Paramètres!$A$1:$I$88,3,0)*0.475*44/12</f>
        <v>#N/A</v>
      </c>
      <c r="GM177" s="21" t="e">
        <f>EXP(-LN(2)/25)*GM176+(1-EXP(-LN(2)/25))/(LN(2)/25)*Calculateur!GH177*Calculateur!GJ177*VLOOKUP('Données projet'!$B$17,Paramètres!$A$1:$I$88,3,0)*0.475*44/12</f>
        <v>#N/A</v>
      </c>
      <c r="GN177" s="21" t="e">
        <f>EXP(-LN(2)/2)*GN176+(1-EXP(-LN(2)/2))/(LN(2)/2)*GH177*GK177*VLOOKUP('Données projet'!$B$17,Paramètres!$A$1:$I$88,3,0)*0.475*44/12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projet'!$B$18,Paramètres!$A$1:$I$88,3,0)*VLOOKUP('Données projet'!$B$18,Paramètres!$A$1:$I$88,5,0)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projet'!$B$18,Paramètres!$A$1:$I$88,7,0))</f>
        <v>0</v>
      </c>
      <c r="HE177" s="16">
        <f>IF(ISNA(VLOOKUP(A177,'Données projet'!$A$269:$I$289,6,0)),0%,VLOOKUP(A177,'Données projet'!$A$269:$I$289,6,0)*VLOOKUP('Données projet'!$B$18,Paramètres!$A$1:$I$88,7,0))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projet'!$B$18,Paramètres!$A$1:$I$88,3,0)*0.475*44/12</f>
        <v>#N/A</v>
      </c>
      <c r="HH177" s="21" t="e">
        <f>EXP(-LN(2)/25)*HH176+(1-EXP(-LN(2)/25))/(LN(2)/25)*Calculateur!HC177*Calculateur!HE177*VLOOKUP('Données projet'!$B$18,Paramètres!$A$1:$I$88,3,0)*0.475*44/12</f>
        <v>#N/A</v>
      </c>
      <c r="HI177" s="21" t="e">
        <f>EXP(-LN(2)/2)*HI176+(1-EXP(-LN(2)/2))/(LN(2)/2)*HC177*HF177*VLOOKUP('Données projet'!$B$18,Paramètres!$A$1:$I$88,3,0)*0.475*44/12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projet'!$B$9,Paramètres!$A$1:$I$88,3,0)*VLOOKUP('Données projet'!$B$9,Paramètres!$A$1:$I$88,5,0)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195.73441209602686</v>
      </c>
      <c r="T178" s="59">
        <f t="shared" si="142"/>
        <v>219.19129224309006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projet'!$B$9,Paramètres!$A$1:$I$88,7,0))</f>
        <v>0</v>
      </c>
      <c r="X178" s="16">
        <f>IF(ISNA(VLOOKUP(A178,'Données projet'!$A$35:$I$55,6,0)),0%,VLOOKUP(A178,'Données projet'!$A$35:$I$55,6,0)*VLOOKUP('Données projet'!$B$9,Paramètres!$A$1:$I$88,7,0))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projet'!$B$9,Paramètres!$A$1:$I$88,3,0)*0.475*44/12</f>
        <v>0.86340002833501472</v>
      </c>
      <c r="AA178" s="21">
        <f>EXP(-LN(2)/25)*AA177+(1-EXP(-LN(2)/25))/(LN(2)/25)*Calculateur!V178*Calculateur!X178*VLOOKUP('Données projet'!$B$9,Paramètres!$A$1:$I$88,3,0)*0.475*44/12</f>
        <v>0.25410731292771049</v>
      </c>
      <c r="AB178" s="21">
        <f>EXP(-LN(2)/2)*AB177+(1-EXP(-LN(2)/2))/(LN(2)/2)*V178*Y178*VLOOKUP('Données projet'!$B$9,Paramètres!$A$1:$I$88,3,0)*0.475*44/12</f>
        <v>5.9403677451110796E-24</v>
      </c>
      <c r="AC178" s="22">
        <f t="shared" si="163"/>
        <v>1.1175073412627252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-4.5474735088646412E-13</v>
      </c>
      <c r="AJ178" s="13">
        <f>AI178*VLOOKUP('Données projet'!$B$10,Paramètres!$A$1:$I$88,3,0)*VLOOKUP('Données projet'!$B$10,Paramètres!$A$1:$I$88,5,0)</f>
        <v>-2.7193891583010558E-13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246.59447135626942</v>
      </c>
      <c r="AO178" s="59">
        <f t="shared" si="144"/>
        <v>262.00382544285367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projet'!$B$10,Paramètres!$A$1:$I$88,7,0))</f>
        <v>0</v>
      </c>
      <c r="AS178" s="16">
        <f>IF(ISNA(VLOOKUP(A178,'Données projet'!$A$61:$I$81,6,0)),0%,VLOOKUP(A178,'Données projet'!$A$61:$I$81,6,0)*VLOOKUP('Données projet'!$B$10,Paramètres!$A$1:$I$88,7,0))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projet'!$B$10,Paramètres!$A$1:$I$88,3,0)*0.475*44/12</f>
        <v>0</v>
      </c>
      <c r="AV178" s="21">
        <f>EXP(-LN(2)/25)*AV177+(1-EXP(-LN(2)/25))/(LN(2)/25)*Calculateur!AQ178*Calculateur!AS178*VLOOKUP('Données projet'!$B$10,Paramètres!$A$1:$I$88,3,0)*0.475*44/12</f>
        <v>0.23062387351458968</v>
      </c>
      <c r="AW178" s="21">
        <f>EXP(-LN(2)/2)*AW177+(1-EXP(-LN(2)/2))/(LN(2)/2)*AQ178*AT178*VLOOKUP('Données projet'!$B$10,Paramètres!$A$1:$I$88,3,0)*0.475*44/12</f>
        <v>3.5531319606091063E-21</v>
      </c>
      <c r="AX178" s="21">
        <f t="shared" si="166"/>
        <v>0.23062387351458968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-5.6843418860808015E-13</v>
      </c>
      <c r="BE178" s="13">
        <f>BD178*VLOOKUP('Données projet'!$B$11,Paramètres!$A$1:$I$88,3,0)*VLOOKUP('Données projet'!$B$11,Paramètres!$A$1:$I$88,5,0)</f>
        <v>-3.177547114319168E-13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355.96253323046608</v>
      </c>
      <c r="BJ178" s="59">
        <f t="shared" si="146"/>
        <v>366.8380442809696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projet'!$B$11,Paramètres!$A$1:$I$88,7,0))</f>
        <v>0</v>
      </c>
      <c r="BN178" s="16">
        <f>IF(ISNA(VLOOKUP(A178,'Données projet'!$A$87:$I$107,6,0)),0%,VLOOKUP(A178,'Données projet'!$A$87:$I$107,6,0)*VLOOKUP('Données projet'!$B$11,Paramètres!$A$1:$I$88,7,0))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projet'!$B$11,Paramètres!$A$1:$I$88,3,0)*0.475*44/12</f>
        <v>0</v>
      </c>
      <c r="BQ178" s="21">
        <f>EXP(-LN(2)/25)*BQ177+(1-EXP(-LN(2)/25))/(LN(2)/25)*Calculateur!BL178*Calculateur!BN178*VLOOKUP('Données projet'!$B$11,Paramètres!$A$1:$I$88,3,0)*0.475*44/12</f>
        <v>0.40832272198060054</v>
      </c>
      <c r="BR178" s="21">
        <f>EXP(-LN(2)/2)*BR177+(1-EXP(-LN(2)/2))/(LN(2)/2)*BL178*BO178*VLOOKUP('Données projet'!$B$11,Paramètres!$A$1:$I$88,3,0)*0.475*44/12</f>
        <v>5.4937209645076548E-21</v>
      </c>
      <c r="BS178" s="22">
        <f t="shared" si="169"/>
        <v>0.40832272198060054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projet'!$B$12,Paramètres!$A$1:$I$88,3,0)*VLOOKUP('Données projet'!$B$12,Paramètres!$A$1:$I$88,5,0)</f>
        <v>3.7243808037601412E-14</v>
      </c>
      <c r="CA178" s="13">
        <f t="shared" si="170"/>
        <v>6.2767589361185393E-13</v>
      </c>
      <c r="CB178" s="20">
        <f t="shared" si="171"/>
        <v>1.1580684803728015E-12</v>
      </c>
      <c r="CC178" s="59">
        <f t="shared" si="119"/>
        <v>293.33333333333445</v>
      </c>
      <c r="CD178" s="59">
        <f ca="1">AVERAGE(OFFSET($CC$3,0,0,'Données projet'!$E$12+1,1))-AVERAGE(OFFSET($H$3,0,0,'Données projet'!$E$12+1,1))</f>
        <v>180.90147430936133</v>
      </c>
      <c r="CE178" s="59">
        <f t="shared" si="148"/>
        <v>226.87949199830018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projet'!$B$12,Paramètres!$A$1:$I$88,7,0))</f>
        <v>0</v>
      </c>
      <c r="CI178" s="16">
        <f>IF(ISNA(VLOOKUP(A178,'Données projet'!$A$113:$I$133,6,0)),0%,VLOOKUP(A178,'Données projet'!$A$113:$I$133,6,0)*VLOOKUP('Données projet'!$B$12,Paramètres!$A$1:$I$88,7,0))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projet'!$B$12,Paramètres!$A$1:$I$88,3,0)*0.475*44/12</f>
        <v>0</v>
      </c>
      <c r="CL178" s="21">
        <f>EXP(-LN(2)/25)*CL177+(1-EXP(-LN(2)/25))/(LN(2)/25)*Calculateur!CG178*Calculateur!CI178*VLOOKUP('Données projet'!$B$12,Paramètres!$A$1:$I$88,3,0)*0.475*44/12</f>
        <v>0.12331518745216652</v>
      </c>
      <c r="CM178" s="21">
        <f>EXP(-LN(2)/2)*CM177+(1-EXP(-LN(2)/2))/(LN(2)/2)*CG178*CJ178*VLOOKUP('Données projet'!$B$12,Paramètres!$A$1:$I$88,3,0)*0.475*44/12</f>
        <v>1.3270264988861185E-21</v>
      </c>
      <c r="CN178" s="22">
        <f t="shared" si="172"/>
        <v>0.12331518745216652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5.6843418860808015E-14</v>
      </c>
      <c r="CU178" s="17">
        <f>CT178*VLOOKUP('Données projet'!$B$13,Paramètres!$A$1:$I$88,3,0)*VLOOKUP('Données projet'!$B$13,Paramètres!$A$1:$I$88,5,0)</f>
        <v>2.8908289095852525E-14</v>
      </c>
      <c r="CV178" s="13">
        <f t="shared" si="173"/>
        <v>5.0177780569126974E-13</v>
      </c>
      <c r="CW178" s="20">
        <f t="shared" si="174"/>
        <v>9.2427828175423786E-13</v>
      </c>
      <c r="CX178" s="59">
        <f t="shared" si="122"/>
        <v>293.33333333333422</v>
      </c>
      <c r="CY178" s="59">
        <f ca="1">AVERAGE(OFFSET($CX$3,0,0,'Données projet'!$E$13+1,1))-AVERAGE(OFFSET($H$3,0,0,'Données projet'!$E$13+1,1))</f>
        <v>133.08385802816008</v>
      </c>
      <c r="CZ178" s="59">
        <f t="shared" si="150"/>
        <v>316.59112511251385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projet'!$B$13,Paramètres!$A$1:$I$88,7,0))</f>
        <v>0</v>
      </c>
      <c r="DD178" s="16">
        <f>IF(ISNA(VLOOKUP(A178,'Données projet'!$A$139:$I$159,6,0)),0%,VLOOKUP(A178,'Données projet'!$A$139:$I$159,6,0)*VLOOKUP('Données projet'!$B$13,Paramètres!$A$1:$I$88,7,0))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projet'!$B$13,Paramètres!$A$1:$I$88,3,0)*0.475*44/12</f>
        <v>4.0874197356415714</v>
      </c>
      <c r="DG178" s="21">
        <f>EXP(-LN(2)/25)*DG177+(1-EXP(-LN(2)/25))/(LN(2)/25)*Calculateur!DB178*Calculateur!DD178*VLOOKUP('Données projet'!$B$13,Paramètres!$A$1:$I$88,3,0)*0.475*44/12</f>
        <v>0</v>
      </c>
      <c r="DH178" s="21">
        <f>EXP(-LN(2)/2)*DH177+(1-EXP(-LN(2)/2))/(LN(2)/2)*DB178*DE178*VLOOKUP('Données projet'!$B$13,Paramètres!$A$1:$I$88,3,0)*0.475*44/12</f>
        <v>8.4666601202913014E-22</v>
      </c>
      <c r="DI178" s="22">
        <f t="shared" si="175"/>
        <v>4.0874197356415714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projet'!$B$14,Paramètres!$A$1:$I$88,3,0)*VLOOKUP('Données projet'!$B$14,Paramètres!$A$1:$I$88,5,0)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projet'!$B$14,Paramètres!$A$1:$I$88,7,0))</f>
        <v>0</v>
      </c>
      <c r="DY178" s="16">
        <f>IF(ISNA(VLOOKUP(A178,'Données projet'!$A$165:$I$185,6,0)),0%,VLOOKUP(A178,'Données projet'!$A$165:$I$185,6,0)*VLOOKUP('Données projet'!$B$14,Paramètres!$A$1:$I$88,7,0))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projet'!$B$14,Paramètres!$A$1:$I$88,3,0)*0.475*44/12</f>
        <v>#N/A</v>
      </c>
      <c r="EB178" s="21" t="e">
        <f>EXP(-LN(2)/25)*EB177+(1-EXP(-LN(2)/25))/(LN(2)/25)*Calculateur!DW178*Calculateur!DY178*VLOOKUP('Données projet'!$B$14,Paramètres!$A$1:$I$88,3,0)*0.475*44/12</f>
        <v>#N/A</v>
      </c>
      <c r="EC178" s="21" t="e">
        <f>EXP(-LN(2)/2)*EC177+(1-EXP(-LN(2)/2))/(LN(2)/2)*DW178*DZ178*VLOOKUP('Données projet'!$B$14,Paramètres!$A$1:$I$88,3,0)*0.475*44/12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projet'!$B$15,Paramètres!$A$1:$I$88,3,0)*VLOOKUP('Données projet'!$B$15,Paramètres!$A$1:$I$88,5,0)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projet'!$B$15,Paramètres!$A$1:$I$88,7,0))</f>
        <v>0</v>
      </c>
      <c r="ET178" s="16">
        <f>IF(ISNA(VLOOKUP(A178,'Données projet'!$A$191:$I$211,6,0)),0%,VLOOKUP(A178,'Données projet'!$A$191:$I$211,6,0)*VLOOKUP('Données projet'!$B$15,Paramètres!$A$1:$I$88,7,0))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projet'!$B$15,Paramètres!$A$1:$I$88,3,0)*0.475*44/12</f>
        <v>#N/A</v>
      </c>
      <c r="EW178" s="21" t="e">
        <f>EXP(-LN(2)/25)*EW177+(1-EXP(-LN(2)/25))/(LN(2)/25)*Calculateur!ER178*Calculateur!ET178*VLOOKUP('Données projet'!$B$15,Paramètres!$A$1:$I$88,3,0)*0.475*44/12</f>
        <v>#N/A</v>
      </c>
      <c r="EX178" s="21" t="e">
        <f>EXP(-LN(2)/2)*EX177+(1-EXP(-LN(2)/2))/(LN(2)/2)*ER178*EU178*VLOOKUP('Données projet'!$B$15,Paramètres!$A$1:$I$88,3,0)*0.475*44/12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projet'!$B$16,Paramètres!$A$1:$I$88,3,0)*VLOOKUP('Données projet'!$B$16,Paramètres!$A$1:$I$88,5,0)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projet'!$B$16,Paramètres!$A$1:$I$88,7,0))</f>
        <v>0</v>
      </c>
      <c r="FO178" s="16">
        <f>IF(ISNA(VLOOKUP(A178,'Données projet'!$A$217:$I$237,6,0)),0%,VLOOKUP(A178,'Données projet'!$A$217:$I$237,6,0)*VLOOKUP('Données projet'!$B$16,Paramètres!$A$1:$I$88,7,0))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projet'!$B$16,Paramètres!$A$1:$I$88,3,0)*0.475*44/12</f>
        <v>#N/A</v>
      </c>
      <c r="FR178" s="21" t="e">
        <f>EXP(-LN(2)/25)*FR177+(1-EXP(-LN(2)/25))/(LN(2)/25)*Calculateur!FM178*Calculateur!FO178*VLOOKUP('Données projet'!$B$16,Paramètres!$A$1:$I$88,3,0)*0.475*44/12</f>
        <v>#N/A</v>
      </c>
      <c r="FS178" s="21" t="e">
        <f>EXP(-LN(2)/2)*FS177+(1-EXP(-LN(2)/2))/(LN(2)/2)*FM178*FP178*VLOOKUP('Données projet'!$B$16,Paramètres!$A$1:$I$88,3,0)*0.475*44/12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projet'!$B$17,Paramètres!$A$1:$I$88,3,0)*VLOOKUP('Données projet'!$B$17,Paramètres!$A$1:$I$88,5,0)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projet'!$B$17,Paramètres!$A$1:$I$88,7,0))</f>
        <v>0</v>
      </c>
      <c r="GJ178" s="16">
        <f>IF(ISNA(VLOOKUP(A178,'Données projet'!$A$243:$I$263,6,0)),0%,VLOOKUP(A178,'Données projet'!$A$243:$I$263,6,0)*VLOOKUP('Données projet'!$B$17,Paramètres!$A$1:$I$88,7,0))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projet'!$B$17,Paramètres!$A$1:$I$88,3,0)*0.475*44/12</f>
        <v>#N/A</v>
      </c>
      <c r="GM178" s="21" t="e">
        <f>EXP(-LN(2)/25)*GM177+(1-EXP(-LN(2)/25))/(LN(2)/25)*Calculateur!GH178*Calculateur!GJ178*VLOOKUP('Données projet'!$B$17,Paramètres!$A$1:$I$88,3,0)*0.475*44/12</f>
        <v>#N/A</v>
      </c>
      <c r="GN178" s="21" t="e">
        <f>EXP(-LN(2)/2)*GN177+(1-EXP(-LN(2)/2))/(LN(2)/2)*GH178*GK178*VLOOKUP('Données projet'!$B$17,Paramètres!$A$1:$I$88,3,0)*0.475*44/12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projet'!$B$18,Paramètres!$A$1:$I$88,3,0)*VLOOKUP('Données projet'!$B$18,Paramètres!$A$1:$I$88,5,0)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projet'!$B$18,Paramètres!$A$1:$I$88,7,0))</f>
        <v>0</v>
      </c>
      <c r="HE178" s="16">
        <f>IF(ISNA(VLOOKUP(A178,'Données projet'!$A$269:$I$289,6,0)),0%,VLOOKUP(A178,'Données projet'!$A$269:$I$289,6,0)*VLOOKUP('Données projet'!$B$18,Paramètres!$A$1:$I$88,7,0))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projet'!$B$18,Paramètres!$A$1:$I$88,3,0)*0.475*44/12</f>
        <v>#N/A</v>
      </c>
      <c r="HH178" s="21" t="e">
        <f>EXP(-LN(2)/25)*HH177+(1-EXP(-LN(2)/25))/(LN(2)/25)*Calculateur!HC178*Calculateur!HE178*VLOOKUP('Données projet'!$B$18,Paramètres!$A$1:$I$88,3,0)*0.475*44/12</f>
        <v>#N/A</v>
      </c>
      <c r="HI178" s="21" t="e">
        <f>EXP(-LN(2)/2)*HI177+(1-EXP(-LN(2)/2))/(LN(2)/2)*HC178*HF178*VLOOKUP('Données projet'!$B$18,Paramètres!$A$1:$I$88,3,0)*0.475*44/12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projet'!$B$9,Paramètres!$A$1:$I$88,3,0)*VLOOKUP('Données projet'!$B$9,Paramètres!$A$1:$I$88,5,0)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195.73441209602686</v>
      </c>
      <c r="T179" s="59">
        <f t="shared" si="142"/>
        <v>219.19129224309006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projet'!$B$9,Paramètres!$A$1:$I$88,7,0))</f>
        <v>0</v>
      </c>
      <c r="X179" s="16">
        <f>IF(ISNA(VLOOKUP(A179,'Données projet'!$A$35:$I$55,6,0)),0%,VLOOKUP(A179,'Données projet'!$A$35:$I$55,6,0)*VLOOKUP('Données projet'!$B$9,Paramètres!$A$1:$I$88,7,0))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projet'!$B$9,Paramètres!$A$1:$I$88,3,0)*0.475*44/12</f>
        <v>0.84646928040138281</v>
      </c>
      <c r="AA179" s="21">
        <f>EXP(-LN(2)/25)*AA178+(1-EXP(-LN(2)/25))/(LN(2)/25)*Calculateur!V179*Calculateur!X179*VLOOKUP('Données projet'!$B$9,Paramètres!$A$1:$I$88,3,0)*0.475*44/12</f>
        <v>0.24715873509277944</v>
      </c>
      <c r="AB179" s="21">
        <f>EXP(-LN(2)/2)*AB178+(1-EXP(-LN(2)/2))/(LN(2)/2)*V179*Y179*VLOOKUP('Données projet'!$B$9,Paramètres!$A$1:$I$88,3,0)*0.475*44/12</f>
        <v>4.2004743153098848E-24</v>
      </c>
      <c r="AC179" s="22">
        <f t="shared" si="163"/>
        <v>1.0936280154941622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-4.5474735088646412E-13</v>
      </c>
      <c r="AJ179" s="13">
        <f>AI179*VLOOKUP('Données projet'!$B$10,Paramètres!$A$1:$I$88,3,0)*VLOOKUP('Données projet'!$B$10,Paramètres!$A$1:$I$88,5,0)</f>
        <v>-2.7193891583010558E-13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246.59447135626942</v>
      </c>
      <c r="AO179" s="59">
        <f t="shared" si="144"/>
        <v>262.00382544285367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projet'!$B$10,Paramètres!$A$1:$I$88,7,0))</f>
        <v>0</v>
      </c>
      <c r="AS179" s="16">
        <f>IF(ISNA(VLOOKUP(A179,'Données projet'!$A$61:$I$81,6,0)),0%,VLOOKUP(A179,'Données projet'!$A$61:$I$81,6,0)*VLOOKUP('Données projet'!$B$10,Paramètres!$A$1:$I$88,7,0))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projet'!$B$10,Paramètres!$A$1:$I$88,3,0)*0.475*44/12</f>
        <v>0</v>
      </c>
      <c r="AV179" s="21">
        <f>EXP(-LN(2)/25)*AV178+(1-EXP(-LN(2)/25))/(LN(2)/25)*Calculateur!AQ179*Calculateur!AS179*VLOOKUP('Données projet'!$B$10,Paramètres!$A$1:$I$88,3,0)*0.475*44/12</f>
        <v>0.22431745156535082</v>
      </c>
      <c r="AW179" s="21">
        <f>EXP(-LN(2)/2)*AW178+(1-EXP(-LN(2)/2))/(LN(2)/2)*AQ179*AT179*VLOOKUP('Données projet'!$B$10,Paramètres!$A$1:$I$88,3,0)*0.475*44/12</f>
        <v>2.512443703797352E-21</v>
      </c>
      <c r="AX179" s="21">
        <f t="shared" si="166"/>
        <v>0.22431745156535082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-5.6843418860808015E-13</v>
      </c>
      <c r="BE179" s="13">
        <f>BD179*VLOOKUP('Données projet'!$B$11,Paramètres!$A$1:$I$88,3,0)*VLOOKUP('Données projet'!$B$11,Paramètres!$A$1:$I$88,5,0)</f>
        <v>-3.177547114319168E-13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355.96253323046608</v>
      </c>
      <c r="BJ179" s="59">
        <f t="shared" si="146"/>
        <v>366.8380442809696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projet'!$B$11,Paramètres!$A$1:$I$88,7,0))</f>
        <v>0</v>
      </c>
      <c r="BN179" s="16">
        <f>IF(ISNA(VLOOKUP(A179,'Données projet'!$A$87:$I$107,6,0)),0%,VLOOKUP(A179,'Données projet'!$A$87:$I$107,6,0)*VLOOKUP('Données projet'!$B$11,Paramètres!$A$1:$I$88,7,0))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projet'!$B$11,Paramètres!$A$1:$I$88,3,0)*0.475*44/12</f>
        <v>0</v>
      </c>
      <c r="BQ179" s="21">
        <f>EXP(-LN(2)/25)*BQ178+(1-EXP(-LN(2)/25))/(LN(2)/25)*Calculateur!BL179*Calculateur!BN179*VLOOKUP('Données projet'!$B$11,Paramètres!$A$1:$I$88,3,0)*0.475*44/12</f>
        <v>0.39715711567528234</v>
      </c>
      <c r="BR179" s="21">
        <f>EXP(-LN(2)/2)*BR178+(1-EXP(-LN(2)/2))/(LN(2)/2)*BL179*BO179*VLOOKUP('Données projet'!$B$11,Paramètres!$A$1:$I$88,3,0)*0.475*44/12</f>
        <v>3.884647347950063E-21</v>
      </c>
      <c r="BS179" s="22">
        <f t="shared" si="169"/>
        <v>0.39715711567528234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projet'!$B$12,Paramètres!$A$1:$I$88,3,0)*VLOOKUP('Données projet'!$B$12,Paramètres!$A$1:$I$88,5,0)</f>
        <v>3.7243808037601412E-14</v>
      </c>
      <c r="CA179" s="13">
        <f t="shared" si="170"/>
        <v>6.2767589361185393E-13</v>
      </c>
      <c r="CB179" s="20">
        <f t="shared" si="171"/>
        <v>1.1580684803728015E-12</v>
      </c>
      <c r="CC179" s="59">
        <f t="shared" si="119"/>
        <v>293.33333333333445</v>
      </c>
      <c r="CD179" s="59">
        <f ca="1">AVERAGE(OFFSET($CC$3,0,0,'Données projet'!$E$12+1,1))-AVERAGE(OFFSET($H$3,0,0,'Données projet'!$E$12+1,1))</f>
        <v>180.90147430936133</v>
      </c>
      <c r="CE179" s="59">
        <f t="shared" si="148"/>
        <v>226.87949199830018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projet'!$B$12,Paramètres!$A$1:$I$88,7,0))</f>
        <v>0</v>
      </c>
      <c r="CI179" s="16">
        <f>IF(ISNA(VLOOKUP(A179,'Données projet'!$A$113:$I$133,6,0)),0%,VLOOKUP(A179,'Données projet'!$A$113:$I$133,6,0)*VLOOKUP('Données projet'!$B$12,Paramètres!$A$1:$I$88,7,0))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projet'!$B$12,Paramètres!$A$1:$I$88,3,0)*0.475*44/12</f>
        <v>0</v>
      </c>
      <c r="CL179" s="21">
        <f>EXP(-LN(2)/25)*CL178+(1-EXP(-LN(2)/25))/(LN(2)/25)*Calculateur!CG179*Calculateur!CI179*VLOOKUP('Données projet'!$B$12,Paramètres!$A$1:$I$88,3,0)*0.475*44/12</f>
        <v>0.11994312716642316</v>
      </c>
      <c r="CM179" s="21">
        <f>EXP(-LN(2)/2)*CM178+(1-EXP(-LN(2)/2))/(LN(2)/2)*CG179*CJ179*VLOOKUP('Données projet'!$B$12,Paramètres!$A$1:$I$88,3,0)*0.475*44/12</f>
        <v>9.3834943617661685E-22</v>
      </c>
      <c r="CN179" s="22">
        <f t="shared" si="172"/>
        <v>0.11994312716642316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5.6843418860808015E-14</v>
      </c>
      <c r="CU179" s="17">
        <f>CT179*VLOOKUP('Données projet'!$B$13,Paramètres!$A$1:$I$88,3,0)*VLOOKUP('Données projet'!$B$13,Paramètres!$A$1:$I$88,5,0)</f>
        <v>2.8908289095852525E-14</v>
      </c>
      <c r="CV179" s="13">
        <f t="shared" si="173"/>
        <v>5.0177780569126974E-13</v>
      </c>
      <c r="CW179" s="20">
        <f t="shared" si="174"/>
        <v>9.2427828175423786E-13</v>
      </c>
      <c r="CX179" s="59">
        <f t="shared" si="122"/>
        <v>293.33333333333422</v>
      </c>
      <c r="CY179" s="59">
        <f ca="1">AVERAGE(OFFSET($CX$3,0,0,'Données projet'!$E$13+1,1))-AVERAGE(OFFSET($H$3,0,0,'Données projet'!$E$13+1,1))</f>
        <v>133.08385802816008</v>
      </c>
      <c r="CZ179" s="59">
        <f t="shared" si="150"/>
        <v>316.59112511251385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projet'!$B$13,Paramètres!$A$1:$I$88,7,0))</f>
        <v>0</v>
      </c>
      <c r="DD179" s="16">
        <f>IF(ISNA(VLOOKUP(A179,'Données projet'!$A$139:$I$159,6,0)),0%,VLOOKUP(A179,'Données projet'!$A$139:$I$159,6,0)*VLOOKUP('Données projet'!$B$13,Paramètres!$A$1:$I$88,7,0))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projet'!$B$13,Paramètres!$A$1:$I$88,3,0)*0.475*44/12</f>
        <v>4.0072679277055077</v>
      </c>
      <c r="DG179" s="21">
        <f>EXP(-LN(2)/25)*DG178+(1-EXP(-LN(2)/25))/(LN(2)/25)*Calculateur!DB179*Calculateur!DD179*VLOOKUP('Données projet'!$B$13,Paramètres!$A$1:$I$88,3,0)*0.475*44/12</f>
        <v>0</v>
      </c>
      <c r="DH179" s="21">
        <f>EXP(-LN(2)/2)*DH178+(1-EXP(-LN(2)/2))/(LN(2)/2)*DB179*DE179*VLOOKUP('Données projet'!$B$13,Paramètres!$A$1:$I$88,3,0)*0.475*44/12</f>
        <v>5.9868327850596898E-22</v>
      </c>
      <c r="DI179" s="22">
        <f t="shared" si="175"/>
        <v>4.0072679277055077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projet'!$B$14,Paramètres!$A$1:$I$88,3,0)*VLOOKUP('Données projet'!$B$14,Paramètres!$A$1:$I$88,5,0)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projet'!$B$14,Paramètres!$A$1:$I$88,7,0))</f>
        <v>0</v>
      </c>
      <c r="DY179" s="16">
        <f>IF(ISNA(VLOOKUP(A179,'Données projet'!$A$165:$I$185,6,0)),0%,VLOOKUP(A179,'Données projet'!$A$165:$I$185,6,0)*VLOOKUP('Données projet'!$B$14,Paramètres!$A$1:$I$88,7,0))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projet'!$B$14,Paramètres!$A$1:$I$88,3,0)*0.475*44/12</f>
        <v>#N/A</v>
      </c>
      <c r="EB179" s="21" t="e">
        <f>EXP(-LN(2)/25)*EB178+(1-EXP(-LN(2)/25))/(LN(2)/25)*Calculateur!DW179*Calculateur!DY179*VLOOKUP('Données projet'!$B$14,Paramètres!$A$1:$I$88,3,0)*0.475*44/12</f>
        <v>#N/A</v>
      </c>
      <c r="EC179" s="21" t="e">
        <f>EXP(-LN(2)/2)*EC178+(1-EXP(-LN(2)/2))/(LN(2)/2)*DW179*DZ179*VLOOKUP('Données projet'!$B$14,Paramètres!$A$1:$I$88,3,0)*0.475*44/12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projet'!$B$15,Paramètres!$A$1:$I$88,3,0)*VLOOKUP('Données projet'!$B$15,Paramètres!$A$1:$I$88,5,0)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projet'!$B$15,Paramètres!$A$1:$I$88,7,0))</f>
        <v>0</v>
      </c>
      <c r="ET179" s="16">
        <f>IF(ISNA(VLOOKUP(A179,'Données projet'!$A$191:$I$211,6,0)),0%,VLOOKUP(A179,'Données projet'!$A$191:$I$211,6,0)*VLOOKUP('Données projet'!$B$15,Paramètres!$A$1:$I$88,7,0))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projet'!$B$15,Paramètres!$A$1:$I$88,3,0)*0.475*44/12</f>
        <v>#N/A</v>
      </c>
      <c r="EW179" s="21" t="e">
        <f>EXP(-LN(2)/25)*EW178+(1-EXP(-LN(2)/25))/(LN(2)/25)*Calculateur!ER179*Calculateur!ET179*VLOOKUP('Données projet'!$B$15,Paramètres!$A$1:$I$88,3,0)*0.475*44/12</f>
        <v>#N/A</v>
      </c>
      <c r="EX179" s="21" t="e">
        <f>EXP(-LN(2)/2)*EX178+(1-EXP(-LN(2)/2))/(LN(2)/2)*ER179*EU179*VLOOKUP('Données projet'!$B$15,Paramètres!$A$1:$I$88,3,0)*0.475*44/12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projet'!$B$16,Paramètres!$A$1:$I$88,3,0)*VLOOKUP('Données projet'!$B$16,Paramètres!$A$1:$I$88,5,0)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projet'!$B$16,Paramètres!$A$1:$I$88,7,0))</f>
        <v>0</v>
      </c>
      <c r="FO179" s="16">
        <f>IF(ISNA(VLOOKUP(A179,'Données projet'!$A$217:$I$237,6,0)),0%,VLOOKUP(A179,'Données projet'!$A$217:$I$237,6,0)*VLOOKUP('Données projet'!$B$16,Paramètres!$A$1:$I$88,7,0))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projet'!$B$16,Paramètres!$A$1:$I$88,3,0)*0.475*44/12</f>
        <v>#N/A</v>
      </c>
      <c r="FR179" s="21" t="e">
        <f>EXP(-LN(2)/25)*FR178+(1-EXP(-LN(2)/25))/(LN(2)/25)*Calculateur!FM179*Calculateur!FO179*VLOOKUP('Données projet'!$B$16,Paramètres!$A$1:$I$88,3,0)*0.475*44/12</f>
        <v>#N/A</v>
      </c>
      <c r="FS179" s="21" t="e">
        <f>EXP(-LN(2)/2)*FS178+(1-EXP(-LN(2)/2))/(LN(2)/2)*FM179*FP179*VLOOKUP('Données projet'!$B$16,Paramètres!$A$1:$I$88,3,0)*0.475*44/12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projet'!$B$17,Paramètres!$A$1:$I$88,3,0)*VLOOKUP('Données projet'!$B$17,Paramètres!$A$1:$I$88,5,0)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projet'!$B$17,Paramètres!$A$1:$I$88,7,0))</f>
        <v>0</v>
      </c>
      <c r="GJ179" s="16">
        <f>IF(ISNA(VLOOKUP(A179,'Données projet'!$A$243:$I$263,6,0)),0%,VLOOKUP(A179,'Données projet'!$A$243:$I$263,6,0)*VLOOKUP('Données projet'!$B$17,Paramètres!$A$1:$I$88,7,0))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projet'!$B$17,Paramètres!$A$1:$I$88,3,0)*0.475*44/12</f>
        <v>#N/A</v>
      </c>
      <c r="GM179" s="21" t="e">
        <f>EXP(-LN(2)/25)*GM178+(1-EXP(-LN(2)/25))/(LN(2)/25)*Calculateur!GH179*Calculateur!GJ179*VLOOKUP('Données projet'!$B$17,Paramètres!$A$1:$I$88,3,0)*0.475*44/12</f>
        <v>#N/A</v>
      </c>
      <c r="GN179" s="21" t="e">
        <f>EXP(-LN(2)/2)*GN178+(1-EXP(-LN(2)/2))/(LN(2)/2)*GH179*GK179*VLOOKUP('Données projet'!$B$17,Paramètres!$A$1:$I$88,3,0)*0.475*44/12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projet'!$B$18,Paramètres!$A$1:$I$88,3,0)*VLOOKUP('Données projet'!$B$18,Paramètres!$A$1:$I$88,5,0)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projet'!$B$18,Paramètres!$A$1:$I$88,7,0))</f>
        <v>0</v>
      </c>
      <c r="HE179" s="16">
        <f>IF(ISNA(VLOOKUP(A179,'Données projet'!$A$269:$I$289,6,0)),0%,VLOOKUP(A179,'Données projet'!$A$269:$I$289,6,0)*VLOOKUP('Données projet'!$B$18,Paramètres!$A$1:$I$88,7,0))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projet'!$B$18,Paramètres!$A$1:$I$88,3,0)*0.475*44/12</f>
        <v>#N/A</v>
      </c>
      <c r="HH179" s="21" t="e">
        <f>EXP(-LN(2)/25)*HH178+(1-EXP(-LN(2)/25))/(LN(2)/25)*Calculateur!HC179*Calculateur!HE179*VLOOKUP('Données projet'!$B$18,Paramètres!$A$1:$I$88,3,0)*0.475*44/12</f>
        <v>#N/A</v>
      </c>
      <c r="HI179" s="21" t="e">
        <f>EXP(-LN(2)/2)*HI178+(1-EXP(-LN(2)/2))/(LN(2)/2)*HC179*HF179*VLOOKUP('Données projet'!$B$18,Paramètres!$A$1:$I$88,3,0)*0.475*44/12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projet'!$B$9,Paramètres!$A$1:$I$88,3,0)*VLOOKUP('Données projet'!$B$9,Paramètres!$A$1:$I$88,5,0)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195.73441209602686</v>
      </c>
      <c r="T180" s="59">
        <f t="shared" si="142"/>
        <v>219.19129224309006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projet'!$B$9,Paramètres!$A$1:$I$88,7,0))</f>
        <v>0</v>
      </c>
      <c r="X180" s="16">
        <f>IF(ISNA(VLOOKUP(A180,'Données projet'!$A$35:$I$55,6,0)),0%,VLOOKUP(A180,'Données projet'!$A$35:$I$55,6,0)*VLOOKUP('Données projet'!$B$9,Paramètres!$A$1:$I$88,7,0))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projet'!$B$9,Paramètres!$A$1:$I$88,3,0)*0.475*44/12</f>
        <v>0.82987053410799283</v>
      </c>
      <c r="AA180" s="21">
        <f>EXP(-LN(2)/25)*AA179+(1-EXP(-LN(2)/25))/(LN(2)/25)*Calculateur!V180*Calculateur!X180*VLOOKUP('Données projet'!$B$9,Paramètres!$A$1:$I$88,3,0)*0.475*44/12</f>
        <v>0.24040016648415441</v>
      </c>
      <c r="AB180" s="21">
        <f>EXP(-LN(2)/2)*AB179+(1-EXP(-LN(2)/2))/(LN(2)/2)*V180*Y180*VLOOKUP('Données projet'!$B$9,Paramètres!$A$1:$I$88,3,0)*0.475*44/12</f>
        <v>2.9701838725555398E-24</v>
      </c>
      <c r="AC180" s="22">
        <f t="shared" si="163"/>
        <v>1.0702707005921472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-4.5474735088646412E-13</v>
      </c>
      <c r="AJ180" s="13">
        <f>AI180*VLOOKUP('Données projet'!$B$10,Paramètres!$A$1:$I$88,3,0)*VLOOKUP('Données projet'!$B$10,Paramètres!$A$1:$I$88,5,0)</f>
        <v>-2.7193891583010558E-13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246.59447135626942</v>
      </c>
      <c r="AO180" s="59">
        <f t="shared" si="144"/>
        <v>262.00382544285367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projet'!$B$10,Paramètres!$A$1:$I$88,7,0))</f>
        <v>0</v>
      </c>
      <c r="AS180" s="16">
        <f>IF(ISNA(VLOOKUP(A180,'Données projet'!$A$61:$I$81,6,0)),0%,VLOOKUP(A180,'Données projet'!$A$61:$I$81,6,0)*VLOOKUP('Données projet'!$B$10,Paramètres!$A$1:$I$88,7,0))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projet'!$B$10,Paramètres!$A$1:$I$88,3,0)*0.475*44/12</f>
        <v>0</v>
      </c>
      <c r="AV180" s="21">
        <f>EXP(-LN(2)/25)*AV179+(1-EXP(-LN(2)/25))/(LN(2)/25)*Calculateur!AQ180*Calculateur!AS180*VLOOKUP('Données projet'!$B$10,Paramètres!$A$1:$I$88,3,0)*0.475*44/12</f>
        <v>0.2181834790559542</v>
      </c>
      <c r="AW180" s="21">
        <f>EXP(-LN(2)/2)*AW179+(1-EXP(-LN(2)/2))/(LN(2)/2)*AQ180*AT180*VLOOKUP('Données projet'!$B$10,Paramètres!$A$1:$I$88,3,0)*0.475*44/12</f>
        <v>1.7765659803045531E-21</v>
      </c>
      <c r="AX180" s="21">
        <f t="shared" si="166"/>
        <v>0.2181834790559542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-5.6843418860808015E-13</v>
      </c>
      <c r="BE180" s="13">
        <f>BD180*VLOOKUP('Données projet'!$B$11,Paramètres!$A$1:$I$88,3,0)*VLOOKUP('Données projet'!$B$11,Paramètres!$A$1:$I$88,5,0)</f>
        <v>-3.177547114319168E-13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355.96253323046608</v>
      </c>
      <c r="BJ180" s="59">
        <f t="shared" si="146"/>
        <v>366.8380442809696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projet'!$B$11,Paramètres!$A$1:$I$88,7,0))</f>
        <v>0</v>
      </c>
      <c r="BN180" s="16">
        <f>IF(ISNA(VLOOKUP(A180,'Données projet'!$A$87:$I$107,6,0)),0%,VLOOKUP(A180,'Données projet'!$A$87:$I$107,6,0)*VLOOKUP('Données projet'!$B$11,Paramètres!$A$1:$I$88,7,0))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projet'!$B$11,Paramètres!$A$1:$I$88,3,0)*0.475*44/12</f>
        <v>0</v>
      </c>
      <c r="BQ180" s="21">
        <f>EXP(-LN(2)/25)*BQ179+(1-EXP(-LN(2)/25))/(LN(2)/25)*Calculateur!BL180*Calculateur!BN180*VLOOKUP('Données projet'!$B$11,Paramètres!$A$1:$I$88,3,0)*0.475*44/12</f>
        <v>0.38629683346155674</v>
      </c>
      <c r="BR180" s="21">
        <f>EXP(-LN(2)/2)*BR179+(1-EXP(-LN(2)/2))/(LN(2)/2)*BL180*BO180*VLOOKUP('Données projet'!$B$11,Paramètres!$A$1:$I$88,3,0)*0.475*44/12</f>
        <v>2.7468604822538274E-21</v>
      </c>
      <c r="BS180" s="22">
        <f t="shared" si="169"/>
        <v>0.38629683346155674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projet'!$B$12,Paramètres!$A$1:$I$88,3,0)*VLOOKUP('Données projet'!$B$12,Paramètres!$A$1:$I$88,5,0)</f>
        <v>3.7243808037601412E-14</v>
      </c>
      <c r="CA180" s="13">
        <f t="shared" si="170"/>
        <v>6.2767589361185393E-13</v>
      </c>
      <c r="CB180" s="20">
        <f t="shared" si="171"/>
        <v>1.1580684803728015E-12</v>
      </c>
      <c r="CC180" s="59">
        <f t="shared" si="119"/>
        <v>293.33333333333445</v>
      </c>
      <c r="CD180" s="59">
        <f ca="1">AVERAGE(OFFSET($CC$3,0,0,'Données projet'!$E$12+1,1))-AVERAGE(OFFSET($H$3,0,0,'Données projet'!$E$12+1,1))</f>
        <v>180.90147430936133</v>
      </c>
      <c r="CE180" s="59">
        <f t="shared" si="148"/>
        <v>226.87949199830018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projet'!$B$12,Paramètres!$A$1:$I$88,7,0))</f>
        <v>0</v>
      </c>
      <c r="CI180" s="16">
        <f>IF(ISNA(VLOOKUP(A180,'Données projet'!$A$113:$I$133,6,0)),0%,VLOOKUP(A180,'Données projet'!$A$113:$I$133,6,0)*VLOOKUP('Données projet'!$B$12,Paramètres!$A$1:$I$88,7,0))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projet'!$B$12,Paramètres!$A$1:$I$88,3,0)*0.475*44/12</f>
        <v>0</v>
      </c>
      <c r="CL180" s="21">
        <f>EXP(-LN(2)/25)*CL179+(1-EXP(-LN(2)/25))/(LN(2)/25)*Calculateur!CG180*Calculateur!CI180*VLOOKUP('Données projet'!$B$12,Paramètres!$A$1:$I$88,3,0)*0.475*44/12</f>
        <v>0.11666327604652239</v>
      </c>
      <c r="CM180" s="21">
        <f>EXP(-LN(2)/2)*CM179+(1-EXP(-LN(2)/2))/(LN(2)/2)*CG180*CJ180*VLOOKUP('Données projet'!$B$12,Paramètres!$A$1:$I$88,3,0)*0.475*44/12</f>
        <v>6.6351324944305927E-22</v>
      </c>
      <c r="CN180" s="22">
        <f t="shared" si="172"/>
        <v>0.11666327604652239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5.6843418860808015E-14</v>
      </c>
      <c r="CU180" s="17">
        <f>CT180*VLOOKUP('Données projet'!$B$13,Paramètres!$A$1:$I$88,3,0)*VLOOKUP('Données projet'!$B$13,Paramètres!$A$1:$I$88,5,0)</f>
        <v>2.8908289095852525E-14</v>
      </c>
      <c r="CV180" s="13">
        <f t="shared" si="173"/>
        <v>5.0177780569126974E-13</v>
      </c>
      <c r="CW180" s="20">
        <f t="shared" si="174"/>
        <v>9.2427828175423786E-13</v>
      </c>
      <c r="CX180" s="59">
        <f t="shared" si="122"/>
        <v>293.33333333333422</v>
      </c>
      <c r="CY180" s="59">
        <f ca="1">AVERAGE(OFFSET($CX$3,0,0,'Données projet'!$E$13+1,1))-AVERAGE(OFFSET($H$3,0,0,'Données projet'!$E$13+1,1))</f>
        <v>133.08385802816008</v>
      </c>
      <c r="CZ180" s="59">
        <f t="shared" si="150"/>
        <v>316.59112511251385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projet'!$B$13,Paramètres!$A$1:$I$88,7,0))</f>
        <v>0</v>
      </c>
      <c r="DD180" s="16">
        <f>IF(ISNA(VLOOKUP(A180,'Données projet'!$A$139:$I$159,6,0)),0%,VLOOKUP(A180,'Données projet'!$A$139:$I$159,6,0)*VLOOKUP('Données projet'!$B$13,Paramètres!$A$1:$I$88,7,0))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projet'!$B$13,Paramètres!$A$1:$I$88,3,0)*0.475*44/12</f>
        <v>3.9286878478352945</v>
      </c>
      <c r="DG180" s="21">
        <f>EXP(-LN(2)/25)*DG179+(1-EXP(-LN(2)/25))/(LN(2)/25)*Calculateur!DB180*Calculateur!DD180*VLOOKUP('Données projet'!$B$13,Paramètres!$A$1:$I$88,3,0)*0.475*44/12</f>
        <v>0</v>
      </c>
      <c r="DH180" s="21">
        <f>EXP(-LN(2)/2)*DH179+(1-EXP(-LN(2)/2))/(LN(2)/2)*DB180*DE180*VLOOKUP('Données projet'!$B$13,Paramètres!$A$1:$I$88,3,0)*0.475*44/12</f>
        <v>4.2333300601456512E-22</v>
      </c>
      <c r="DI180" s="22">
        <f t="shared" si="175"/>
        <v>3.9286878478352945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projet'!$B$14,Paramètres!$A$1:$I$88,3,0)*VLOOKUP('Données projet'!$B$14,Paramètres!$A$1:$I$88,5,0)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projet'!$B$14,Paramètres!$A$1:$I$88,7,0))</f>
        <v>0</v>
      </c>
      <c r="DY180" s="16">
        <f>IF(ISNA(VLOOKUP(A180,'Données projet'!$A$165:$I$185,6,0)),0%,VLOOKUP(A180,'Données projet'!$A$165:$I$185,6,0)*VLOOKUP('Données projet'!$B$14,Paramètres!$A$1:$I$88,7,0))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projet'!$B$14,Paramètres!$A$1:$I$88,3,0)*0.475*44/12</f>
        <v>#N/A</v>
      </c>
      <c r="EB180" s="21" t="e">
        <f>EXP(-LN(2)/25)*EB179+(1-EXP(-LN(2)/25))/(LN(2)/25)*Calculateur!DW180*Calculateur!DY180*VLOOKUP('Données projet'!$B$14,Paramètres!$A$1:$I$88,3,0)*0.475*44/12</f>
        <v>#N/A</v>
      </c>
      <c r="EC180" s="21" t="e">
        <f>EXP(-LN(2)/2)*EC179+(1-EXP(-LN(2)/2))/(LN(2)/2)*DW180*DZ180*VLOOKUP('Données projet'!$B$14,Paramètres!$A$1:$I$88,3,0)*0.475*44/12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projet'!$B$15,Paramètres!$A$1:$I$88,3,0)*VLOOKUP('Données projet'!$B$15,Paramètres!$A$1:$I$88,5,0)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projet'!$B$15,Paramètres!$A$1:$I$88,7,0))</f>
        <v>0</v>
      </c>
      <c r="ET180" s="16">
        <f>IF(ISNA(VLOOKUP(A180,'Données projet'!$A$191:$I$211,6,0)),0%,VLOOKUP(A180,'Données projet'!$A$191:$I$211,6,0)*VLOOKUP('Données projet'!$B$15,Paramètres!$A$1:$I$88,7,0))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projet'!$B$15,Paramètres!$A$1:$I$88,3,0)*0.475*44/12</f>
        <v>#N/A</v>
      </c>
      <c r="EW180" s="21" t="e">
        <f>EXP(-LN(2)/25)*EW179+(1-EXP(-LN(2)/25))/(LN(2)/25)*Calculateur!ER180*Calculateur!ET180*VLOOKUP('Données projet'!$B$15,Paramètres!$A$1:$I$88,3,0)*0.475*44/12</f>
        <v>#N/A</v>
      </c>
      <c r="EX180" s="21" t="e">
        <f>EXP(-LN(2)/2)*EX179+(1-EXP(-LN(2)/2))/(LN(2)/2)*ER180*EU180*VLOOKUP('Données projet'!$B$15,Paramètres!$A$1:$I$88,3,0)*0.475*44/12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projet'!$B$16,Paramètres!$A$1:$I$88,3,0)*VLOOKUP('Données projet'!$B$16,Paramètres!$A$1:$I$88,5,0)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projet'!$B$16,Paramètres!$A$1:$I$88,7,0))</f>
        <v>0</v>
      </c>
      <c r="FO180" s="16">
        <f>IF(ISNA(VLOOKUP(A180,'Données projet'!$A$217:$I$237,6,0)),0%,VLOOKUP(A180,'Données projet'!$A$217:$I$237,6,0)*VLOOKUP('Données projet'!$B$16,Paramètres!$A$1:$I$88,7,0))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projet'!$B$16,Paramètres!$A$1:$I$88,3,0)*0.475*44/12</f>
        <v>#N/A</v>
      </c>
      <c r="FR180" s="21" t="e">
        <f>EXP(-LN(2)/25)*FR179+(1-EXP(-LN(2)/25))/(LN(2)/25)*Calculateur!FM180*Calculateur!FO180*VLOOKUP('Données projet'!$B$16,Paramètres!$A$1:$I$88,3,0)*0.475*44/12</f>
        <v>#N/A</v>
      </c>
      <c r="FS180" s="21" t="e">
        <f>EXP(-LN(2)/2)*FS179+(1-EXP(-LN(2)/2))/(LN(2)/2)*FM180*FP180*VLOOKUP('Données projet'!$B$16,Paramètres!$A$1:$I$88,3,0)*0.475*44/12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projet'!$B$17,Paramètres!$A$1:$I$88,3,0)*VLOOKUP('Données projet'!$B$17,Paramètres!$A$1:$I$88,5,0)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projet'!$B$17,Paramètres!$A$1:$I$88,7,0))</f>
        <v>0</v>
      </c>
      <c r="GJ180" s="16">
        <f>IF(ISNA(VLOOKUP(A180,'Données projet'!$A$243:$I$263,6,0)),0%,VLOOKUP(A180,'Données projet'!$A$243:$I$263,6,0)*VLOOKUP('Données projet'!$B$17,Paramètres!$A$1:$I$88,7,0))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projet'!$B$17,Paramètres!$A$1:$I$88,3,0)*0.475*44/12</f>
        <v>#N/A</v>
      </c>
      <c r="GM180" s="21" t="e">
        <f>EXP(-LN(2)/25)*GM179+(1-EXP(-LN(2)/25))/(LN(2)/25)*Calculateur!GH180*Calculateur!GJ180*VLOOKUP('Données projet'!$B$17,Paramètres!$A$1:$I$88,3,0)*0.475*44/12</f>
        <v>#N/A</v>
      </c>
      <c r="GN180" s="21" t="e">
        <f>EXP(-LN(2)/2)*GN179+(1-EXP(-LN(2)/2))/(LN(2)/2)*GH180*GK180*VLOOKUP('Données projet'!$B$17,Paramètres!$A$1:$I$88,3,0)*0.475*44/12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projet'!$B$18,Paramètres!$A$1:$I$88,3,0)*VLOOKUP('Données projet'!$B$18,Paramètres!$A$1:$I$88,5,0)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projet'!$B$18,Paramètres!$A$1:$I$88,7,0))</f>
        <v>0</v>
      </c>
      <c r="HE180" s="16">
        <f>IF(ISNA(VLOOKUP(A180,'Données projet'!$A$269:$I$289,6,0)),0%,VLOOKUP(A180,'Données projet'!$A$269:$I$289,6,0)*VLOOKUP('Données projet'!$B$18,Paramètres!$A$1:$I$88,7,0))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projet'!$B$18,Paramètres!$A$1:$I$88,3,0)*0.475*44/12</f>
        <v>#N/A</v>
      </c>
      <c r="HH180" s="21" t="e">
        <f>EXP(-LN(2)/25)*HH179+(1-EXP(-LN(2)/25))/(LN(2)/25)*Calculateur!HC180*Calculateur!HE180*VLOOKUP('Données projet'!$B$18,Paramètres!$A$1:$I$88,3,0)*0.475*44/12</f>
        <v>#N/A</v>
      </c>
      <c r="HI180" s="21" t="e">
        <f>EXP(-LN(2)/2)*HI179+(1-EXP(-LN(2)/2))/(LN(2)/2)*HC180*HF180*VLOOKUP('Données projet'!$B$18,Paramètres!$A$1:$I$88,3,0)*0.475*44/12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projet'!$B$9,Paramètres!$A$1:$I$88,3,0)*VLOOKUP('Données projet'!$B$9,Paramètres!$A$1:$I$88,5,0)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195.73441209602686</v>
      </c>
      <c r="T181" s="59">
        <f t="shared" si="142"/>
        <v>219.19129224309006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projet'!$B$9,Paramètres!$A$1:$I$88,7,0))</f>
        <v>0</v>
      </c>
      <c r="X181" s="16">
        <f>IF(ISNA(VLOOKUP(A181,'Données projet'!$A$35:$I$55,6,0)),0%,VLOOKUP(A181,'Données projet'!$A$35:$I$55,6,0)*VLOOKUP('Données projet'!$B$9,Paramètres!$A$1:$I$88,7,0))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projet'!$B$9,Paramètres!$A$1:$I$88,3,0)*0.475*44/12</f>
        <v>0.81359727910518065</v>
      </c>
      <c r="AA181" s="21">
        <f>EXP(-LN(2)/25)*AA180+(1-EXP(-LN(2)/25))/(LN(2)/25)*Calculateur!V181*Calculateur!X181*VLOOKUP('Données projet'!$B$9,Paramètres!$A$1:$I$88,3,0)*0.475*44/12</f>
        <v>0.2338264112895499</v>
      </c>
      <c r="AB181" s="21">
        <f>EXP(-LN(2)/2)*AB180+(1-EXP(-LN(2)/2))/(LN(2)/2)*V181*Y181*VLOOKUP('Données projet'!$B$9,Paramètres!$A$1:$I$88,3,0)*0.475*44/12</f>
        <v>2.1002371576549424E-24</v>
      </c>
      <c r="AC181" s="22">
        <f t="shared" si="163"/>
        <v>1.0474236903947305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-4.5474735088646412E-13</v>
      </c>
      <c r="AJ181" s="13">
        <f>AI181*VLOOKUP('Données projet'!$B$10,Paramètres!$A$1:$I$88,3,0)*VLOOKUP('Données projet'!$B$10,Paramètres!$A$1:$I$88,5,0)</f>
        <v>-2.7193891583010558E-13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246.59447135626942</v>
      </c>
      <c r="AO181" s="59">
        <f t="shared" si="144"/>
        <v>262.00382544285367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projet'!$B$10,Paramètres!$A$1:$I$88,7,0))</f>
        <v>0</v>
      </c>
      <c r="AS181" s="16">
        <f>IF(ISNA(VLOOKUP(A181,'Données projet'!$A$61:$I$81,6,0)),0%,VLOOKUP(A181,'Données projet'!$A$61:$I$81,6,0)*VLOOKUP('Données projet'!$B$10,Paramètres!$A$1:$I$88,7,0))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projet'!$B$10,Paramètres!$A$1:$I$88,3,0)*0.475*44/12</f>
        <v>0</v>
      </c>
      <c r="AV181" s="21">
        <f>EXP(-LN(2)/25)*AV180+(1-EXP(-LN(2)/25))/(LN(2)/25)*Calculateur!AQ181*Calculateur!AS181*VLOOKUP('Données projet'!$B$10,Paramètres!$A$1:$I$88,3,0)*0.475*44/12</f>
        <v>0.21221724034739864</v>
      </c>
      <c r="AW181" s="21">
        <f>EXP(-LN(2)/2)*AW180+(1-EXP(-LN(2)/2))/(LN(2)/2)*AQ181*AT181*VLOOKUP('Données projet'!$B$10,Paramètres!$A$1:$I$88,3,0)*0.475*44/12</f>
        <v>1.256221851898676E-21</v>
      </c>
      <c r="AX181" s="21">
        <f t="shared" si="166"/>
        <v>0.21221724034739864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-5.6843418860808015E-13</v>
      </c>
      <c r="BE181" s="13">
        <f>BD181*VLOOKUP('Données projet'!$B$11,Paramètres!$A$1:$I$88,3,0)*VLOOKUP('Données projet'!$B$11,Paramètres!$A$1:$I$88,5,0)</f>
        <v>-3.177547114319168E-13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355.96253323046608</v>
      </c>
      <c r="BJ181" s="59">
        <f t="shared" si="146"/>
        <v>366.8380442809696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projet'!$B$11,Paramètres!$A$1:$I$88,7,0))</f>
        <v>0</v>
      </c>
      <c r="BN181" s="16">
        <f>IF(ISNA(VLOOKUP(A181,'Données projet'!$A$87:$I$107,6,0)),0%,VLOOKUP(A181,'Données projet'!$A$87:$I$107,6,0)*VLOOKUP('Données projet'!$B$11,Paramètres!$A$1:$I$88,7,0))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projet'!$B$11,Paramètres!$A$1:$I$88,3,0)*0.475*44/12</f>
        <v>0</v>
      </c>
      <c r="BQ181" s="21">
        <f>EXP(-LN(2)/25)*BQ180+(1-EXP(-LN(2)/25))/(LN(2)/25)*Calculateur!BL181*Calculateur!BN181*VLOOKUP('Données projet'!$B$11,Paramètres!$A$1:$I$88,3,0)*0.475*44/12</f>
        <v>0.37573352623608292</v>
      </c>
      <c r="BR181" s="21">
        <f>EXP(-LN(2)/2)*BR180+(1-EXP(-LN(2)/2))/(LN(2)/2)*BL181*BO181*VLOOKUP('Données projet'!$B$11,Paramètres!$A$1:$I$88,3,0)*0.475*44/12</f>
        <v>1.9423236739750315E-21</v>
      </c>
      <c r="BS181" s="22">
        <f t="shared" si="169"/>
        <v>0.37573352623608292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projet'!$B$12,Paramètres!$A$1:$I$88,3,0)*VLOOKUP('Données projet'!$B$12,Paramètres!$A$1:$I$88,5,0)</f>
        <v>3.7243808037601412E-14</v>
      </c>
      <c r="CA181" s="13">
        <f t="shared" si="170"/>
        <v>6.2767589361185393E-13</v>
      </c>
      <c r="CB181" s="20">
        <f t="shared" si="171"/>
        <v>1.1580684803728015E-12</v>
      </c>
      <c r="CC181" s="59">
        <f t="shared" si="119"/>
        <v>293.33333333333445</v>
      </c>
      <c r="CD181" s="59">
        <f ca="1">AVERAGE(OFFSET($CC$3,0,0,'Données projet'!$E$12+1,1))-AVERAGE(OFFSET($H$3,0,0,'Données projet'!$E$12+1,1))</f>
        <v>180.90147430936133</v>
      </c>
      <c r="CE181" s="59">
        <f t="shared" si="148"/>
        <v>226.87949199830018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projet'!$B$12,Paramètres!$A$1:$I$88,7,0))</f>
        <v>0</v>
      </c>
      <c r="CI181" s="16">
        <f>IF(ISNA(VLOOKUP(A181,'Données projet'!$A$113:$I$133,6,0)),0%,VLOOKUP(A181,'Données projet'!$A$113:$I$133,6,0)*VLOOKUP('Données projet'!$B$12,Paramètres!$A$1:$I$88,7,0))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projet'!$B$12,Paramètres!$A$1:$I$88,3,0)*0.475*44/12</f>
        <v>0</v>
      </c>
      <c r="CL181" s="21">
        <f>EXP(-LN(2)/25)*CL180+(1-EXP(-LN(2)/25))/(LN(2)/25)*Calculateur!CG181*Calculateur!CI181*VLOOKUP('Données projet'!$B$12,Paramètres!$A$1:$I$88,3,0)*0.475*44/12</f>
        <v>0.11347311262797519</v>
      </c>
      <c r="CM181" s="21">
        <f>EXP(-LN(2)/2)*CM180+(1-EXP(-LN(2)/2))/(LN(2)/2)*CG181*CJ181*VLOOKUP('Données projet'!$B$12,Paramètres!$A$1:$I$88,3,0)*0.475*44/12</f>
        <v>4.6917471808830843E-22</v>
      </c>
      <c r="CN181" s="22">
        <f t="shared" si="172"/>
        <v>0.11347311262797519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5.6843418860808015E-14</v>
      </c>
      <c r="CU181" s="17">
        <f>CT181*VLOOKUP('Données projet'!$B$13,Paramètres!$A$1:$I$88,3,0)*VLOOKUP('Données projet'!$B$13,Paramètres!$A$1:$I$88,5,0)</f>
        <v>2.8908289095852525E-14</v>
      </c>
      <c r="CV181" s="13">
        <f t="shared" si="173"/>
        <v>5.0177780569126974E-13</v>
      </c>
      <c r="CW181" s="20">
        <f t="shared" si="174"/>
        <v>9.2427828175423786E-13</v>
      </c>
      <c r="CX181" s="59">
        <f t="shared" si="122"/>
        <v>293.33333333333422</v>
      </c>
      <c r="CY181" s="59">
        <f ca="1">AVERAGE(OFFSET($CX$3,0,0,'Données projet'!$E$13+1,1))-AVERAGE(OFFSET($H$3,0,0,'Données projet'!$E$13+1,1))</f>
        <v>133.08385802816008</v>
      </c>
      <c r="CZ181" s="59">
        <f t="shared" si="150"/>
        <v>316.59112511251385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projet'!$B$13,Paramètres!$A$1:$I$88,7,0))</f>
        <v>0</v>
      </c>
      <c r="DD181" s="16">
        <f>IF(ISNA(VLOOKUP(A181,'Données projet'!$A$139:$I$159,6,0)),0%,VLOOKUP(A181,'Données projet'!$A$139:$I$159,6,0)*VLOOKUP('Données projet'!$B$13,Paramètres!$A$1:$I$88,7,0))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projet'!$B$13,Paramètres!$A$1:$I$88,3,0)*0.475*44/12</f>
        <v>3.8516486754022203</v>
      </c>
      <c r="DG181" s="21">
        <f>EXP(-LN(2)/25)*DG180+(1-EXP(-LN(2)/25))/(LN(2)/25)*Calculateur!DB181*Calculateur!DD181*VLOOKUP('Données projet'!$B$13,Paramètres!$A$1:$I$88,3,0)*0.475*44/12</f>
        <v>0</v>
      </c>
      <c r="DH181" s="21">
        <f>EXP(-LN(2)/2)*DH180+(1-EXP(-LN(2)/2))/(LN(2)/2)*DB181*DE181*VLOOKUP('Données projet'!$B$13,Paramètres!$A$1:$I$88,3,0)*0.475*44/12</f>
        <v>2.9934163925298454E-22</v>
      </c>
      <c r="DI181" s="22">
        <f t="shared" si="175"/>
        <v>3.8516486754022203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projet'!$B$14,Paramètres!$A$1:$I$88,3,0)*VLOOKUP('Données projet'!$B$14,Paramètres!$A$1:$I$88,5,0)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projet'!$B$14,Paramètres!$A$1:$I$88,7,0))</f>
        <v>0</v>
      </c>
      <c r="DY181" s="16">
        <f>IF(ISNA(VLOOKUP(A181,'Données projet'!$A$165:$I$185,6,0)),0%,VLOOKUP(A181,'Données projet'!$A$165:$I$185,6,0)*VLOOKUP('Données projet'!$B$14,Paramètres!$A$1:$I$88,7,0))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projet'!$B$14,Paramètres!$A$1:$I$88,3,0)*0.475*44/12</f>
        <v>#N/A</v>
      </c>
      <c r="EB181" s="21" t="e">
        <f>EXP(-LN(2)/25)*EB180+(1-EXP(-LN(2)/25))/(LN(2)/25)*Calculateur!DW181*Calculateur!DY181*VLOOKUP('Données projet'!$B$14,Paramètres!$A$1:$I$88,3,0)*0.475*44/12</f>
        <v>#N/A</v>
      </c>
      <c r="EC181" s="21" t="e">
        <f>EXP(-LN(2)/2)*EC180+(1-EXP(-LN(2)/2))/(LN(2)/2)*DW181*DZ181*VLOOKUP('Données projet'!$B$14,Paramètres!$A$1:$I$88,3,0)*0.475*44/12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projet'!$B$15,Paramètres!$A$1:$I$88,3,0)*VLOOKUP('Données projet'!$B$15,Paramètres!$A$1:$I$88,5,0)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projet'!$B$15,Paramètres!$A$1:$I$88,7,0))</f>
        <v>0</v>
      </c>
      <c r="ET181" s="16">
        <f>IF(ISNA(VLOOKUP(A181,'Données projet'!$A$191:$I$211,6,0)),0%,VLOOKUP(A181,'Données projet'!$A$191:$I$211,6,0)*VLOOKUP('Données projet'!$B$15,Paramètres!$A$1:$I$88,7,0))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projet'!$B$15,Paramètres!$A$1:$I$88,3,0)*0.475*44/12</f>
        <v>#N/A</v>
      </c>
      <c r="EW181" s="21" t="e">
        <f>EXP(-LN(2)/25)*EW180+(1-EXP(-LN(2)/25))/(LN(2)/25)*Calculateur!ER181*Calculateur!ET181*VLOOKUP('Données projet'!$B$15,Paramètres!$A$1:$I$88,3,0)*0.475*44/12</f>
        <v>#N/A</v>
      </c>
      <c r="EX181" s="21" t="e">
        <f>EXP(-LN(2)/2)*EX180+(1-EXP(-LN(2)/2))/(LN(2)/2)*ER181*EU181*VLOOKUP('Données projet'!$B$15,Paramètres!$A$1:$I$88,3,0)*0.475*44/12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projet'!$B$16,Paramètres!$A$1:$I$88,3,0)*VLOOKUP('Données projet'!$B$16,Paramètres!$A$1:$I$88,5,0)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projet'!$B$16,Paramètres!$A$1:$I$88,7,0))</f>
        <v>0</v>
      </c>
      <c r="FO181" s="16">
        <f>IF(ISNA(VLOOKUP(A181,'Données projet'!$A$217:$I$237,6,0)),0%,VLOOKUP(A181,'Données projet'!$A$217:$I$237,6,0)*VLOOKUP('Données projet'!$B$16,Paramètres!$A$1:$I$88,7,0))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projet'!$B$16,Paramètres!$A$1:$I$88,3,0)*0.475*44/12</f>
        <v>#N/A</v>
      </c>
      <c r="FR181" s="21" t="e">
        <f>EXP(-LN(2)/25)*FR180+(1-EXP(-LN(2)/25))/(LN(2)/25)*Calculateur!FM181*Calculateur!FO181*VLOOKUP('Données projet'!$B$16,Paramètres!$A$1:$I$88,3,0)*0.475*44/12</f>
        <v>#N/A</v>
      </c>
      <c r="FS181" s="21" t="e">
        <f>EXP(-LN(2)/2)*FS180+(1-EXP(-LN(2)/2))/(LN(2)/2)*FM181*FP181*VLOOKUP('Données projet'!$B$16,Paramètres!$A$1:$I$88,3,0)*0.475*44/12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projet'!$B$17,Paramètres!$A$1:$I$88,3,0)*VLOOKUP('Données projet'!$B$17,Paramètres!$A$1:$I$88,5,0)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projet'!$B$17,Paramètres!$A$1:$I$88,7,0))</f>
        <v>0</v>
      </c>
      <c r="GJ181" s="16">
        <f>IF(ISNA(VLOOKUP(A181,'Données projet'!$A$243:$I$263,6,0)),0%,VLOOKUP(A181,'Données projet'!$A$243:$I$263,6,0)*VLOOKUP('Données projet'!$B$17,Paramètres!$A$1:$I$88,7,0))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projet'!$B$17,Paramètres!$A$1:$I$88,3,0)*0.475*44/12</f>
        <v>#N/A</v>
      </c>
      <c r="GM181" s="21" t="e">
        <f>EXP(-LN(2)/25)*GM180+(1-EXP(-LN(2)/25))/(LN(2)/25)*Calculateur!GH181*Calculateur!GJ181*VLOOKUP('Données projet'!$B$17,Paramètres!$A$1:$I$88,3,0)*0.475*44/12</f>
        <v>#N/A</v>
      </c>
      <c r="GN181" s="21" t="e">
        <f>EXP(-LN(2)/2)*GN180+(1-EXP(-LN(2)/2))/(LN(2)/2)*GH181*GK181*VLOOKUP('Données projet'!$B$17,Paramètres!$A$1:$I$88,3,0)*0.475*44/12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projet'!$B$18,Paramètres!$A$1:$I$88,3,0)*VLOOKUP('Données projet'!$B$18,Paramètres!$A$1:$I$88,5,0)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projet'!$B$18,Paramètres!$A$1:$I$88,7,0))</f>
        <v>0</v>
      </c>
      <c r="HE181" s="16">
        <f>IF(ISNA(VLOOKUP(A181,'Données projet'!$A$269:$I$289,6,0)),0%,VLOOKUP(A181,'Données projet'!$A$269:$I$289,6,0)*VLOOKUP('Données projet'!$B$18,Paramètres!$A$1:$I$88,7,0))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projet'!$B$18,Paramètres!$A$1:$I$88,3,0)*0.475*44/12</f>
        <v>#N/A</v>
      </c>
      <c r="HH181" s="21" t="e">
        <f>EXP(-LN(2)/25)*HH180+(1-EXP(-LN(2)/25))/(LN(2)/25)*Calculateur!HC181*Calculateur!HE181*VLOOKUP('Données projet'!$B$18,Paramètres!$A$1:$I$88,3,0)*0.475*44/12</f>
        <v>#N/A</v>
      </c>
      <c r="HI181" s="21" t="e">
        <f>EXP(-LN(2)/2)*HI180+(1-EXP(-LN(2)/2))/(LN(2)/2)*HC181*HF181*VLOOKUP('Données projet'!$B$18,Paramètres!$A$1:$I$88,3,0)*0.475*44/12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projet'!$B$9,Paramètres!$A$1:$I$88,3,0)*VLOOKUP('Données projet'!$B$9,Paramètres!$A$1:$I$88,5,0)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195.73441209602686</v>
      </c>
      <c r="T182" s="59">
        <f t="shared" si="142"/>
        <v>219.19129224309006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projet'!$B$9,Paramètres!$A$1:$I$88,7,0))</f>
        <v>0</v>
      </c>
      <c r="X182" s="16">
        <f>IF(ISNA(VLOOKUP(A182,'Données projet'!$A$35:$I$55,6,0)),0%,VLOOKUP(A182,'Données projet'!$A$35:$I$55,6,0)*VLOOKUP('Données projet'!$B$9,Paramètres!$A$1:$I$88,7,0))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projet'!$B$9,Paramètres!$A$1:$I$88,3,0)*0.475*44/12</f>
        <v>0.79764313270726817</v>
      </c>
      <c r="AA182" s="21">
        <f>EXP(-LN(2)/25)*AA181+(1-EXP(-LN(2)/25))/(LN(2)/25)*Calculateur!V182*Calculateur!X182*VLOOKUP('Données projet'!$B$9,Paramètres!$A$1:$I$88,3,0)*0.475*44/12</f>
        <v>0.22743241577644061</v>
      </c>
      <c r="AB182" s="21">
        <f>EXP(-LN(2)/2)*AB181+(1-EXP(-LN(2)/2))/(LN(2)/2)*V182*Y182*VLOOKUP('Données projet'!$B$9,Paramètres!$A$1:$I$88,3,0)*0.475*44/12</f>
        <v>1.4850919362777699E-24</v>
      </c>
      <c r="AC182" s="22">
        <f t="shared" si="163"/>
        <v>1.0250755484837089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-4.5474735088646412E-13</v>
      </c>
      <c r="AJ182" s="13">
        <f>AI182*VLOOKUP('Données projet'!$B$10,Paramètres!$A$1:$I$88,3,0)*VLOOKUP('Données projet'!$B$10,Paramètres!$A$1:$I$88,5,0)</f>
        <v>-2.7193891583010558E-13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246.59447135626942</v>
      </c>
      <c r="AO182" s="59">
        <f t="shared" si="144"/>
        <v>262.00382544285367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projet'!$B$10,Paramètres!$A$1:$I$88,7,0))</f>
        <v>0</v>
      </c>
      <c r="AS182" s="16">
        <f>IF(ISNA(VLOOKUP(A182,'Données projet'!$A$61:$I$81,6,0)),0%,VLOOKUP(A182,'Données projet'!$A$61:$I$81,6,0)*VLOOKUP('Données projet'!$B$10,Paramètres!$A$1:$I$88,7,0))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projet'!$B$10,Paramètres!$A$1:$I$88,3,0)*0.475*44/12</f>
        <v>0</v>
      </c>
      <c r="AV182" s="21">
        <f>EXP(-LN(2)/25)*AV181+(1-EXP(-LN(2)/25))/(LN(2)/25)*Calculateur!AQ182*Calculateur!AS182*VLOOKUP('Données projet'!$B$10,Paramètres!$A$1:$I$88,3,0)*0.475*44/12</f>
        <v>0.20641414875007938</v>
      </c>
      <c r="AW182" s="21">
        <f>EXP(-LN(2)/2)*AW181+(1-EXP(-LN(2)/2))/(LN(2)/2)*AQ182*AT182*VLOOKUP('Données projet'!$B$10,Paramètres!$A$1:$I$88,3,0)*0.475*44/12</f>
        <v>8.8828299015227657E-22</v>
      </c>
      <c r="AX182" s="21">
        <f t="shared" si="166"/>
        <v>0.20641414875007938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-5.6843418860808015E-13</v>
      </c>
      <c r="BE182" s="13">
        <f>BD182*VLOOKUP('Données projet'!$B$11,Paramètres!$A$1:$I$88,3,0)*VLOOKUP('Données projet'!$B$11,Paramètres!$A$1:$I$88,5,0)</f>
        <v>-3.177547114319168E-13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355.96253323046608</v>
      </c>
      <c r="BJ182" s="59">
        <f t="shared" si="146"/>
        <v>366.8380442809696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projet'!$B$11,Paramètres!$A$1:$I$88,7,0))</f>
        <v>0</v>
      </c>
      <c r="BN182" s="16">
        <f>IF(ISNA(VLOOKUP(A182,'Données projet'!$A$87:$I$107,6,0)),0%,VLOOKUP(A182,'Données projet'!$A$87:$I$107,6,0)*VLOOKUP('Données projet'!$B$11,Paramètres!$A$1:$I$88,7,0))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projet'!$B$11,Paramètres!$A$1:$I$88,3,0)*0.475*44/12</f>
        <v>0</v>
      </c>
      <c r="BQ182" s="21">
        <f>EXP(-LN(2)/25)*BQ181+(1-EXP(-LN(2)/25))/(LN(2)/25)*Calculateur!BL182*Calculateur!BN182*VLOOKUP('Données projet'!$B$11,Paramètres!$A$1:$I$88,3,0)*0.475*44/12</f>
        <v>0.36545907320218984</v>
      </c>
      <c r="BR182" s="21">
        <f>EXP(-LN(2)/2)*BR181+(1-EXP(-LN(2)/2))/(LN(2)/2)*BL182*BO182*VLOOKUP('Données projet'!$B$11,Paramètres!$A$1:$I$88,3,0)*0.475*44/12</f>
        <v>1.3734302411269137E-21</v>
      </c>
      <c r="BS182" s="22">
        <f t="shared" si="169"/>
        <v>0.36545907320218984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projet'!$B$12,Paramètres!$A$1:$I$88,3,0)*VLOOKUP('Données projet'!$B$12,Paramètres!$A$1:$I$88,5,0)</f>
        <v>3.7243808037601412E-14</v>
      </c>
      <c r="CA182" s="13">
        <f t="shared" si="170"/>
        <v>6.2767589361185393E-13</v>
      </c>
      <c r="CB182" s="20">
        <f t="shared" si="171"/>
        <v>1.1580684803728015E-12</v>
      </c>
      <c r="CC182" s="59">
        <f t="shared" si="119"/>
        <v>293.33333333333445</v>
      </c>
      <c r="CD182" s="59">
        <f ca="1">AVERAGE(OFFSET($CC$3,0,0,'Données projet'!$E$12+1,1))-AVERAGE(OFFSET($H$3,0,0,'Données projet'!$E$12+1,1))</f>
        <v>180.90147430936133</v>
      </c>
      <c r="CE182" s="59">
        <f t="shared" si="148"/>
        <v>226.87949199830018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projet'!$B$12,Paramètres!$A$1:$I$88,7,0))</f>
        <v>0</v>
      </c>
      <c r="CI182" s="16">
        <f>IF(ISNA(VLOOKUP(A182,'Données projet'!$A$113:$I$133,6,0)),0%,VLOOKUP(A182,'Données projet'!$A$113:$I$133,6,0)*VLOOKUP('Données projet'!$B$12,Paramètres!$A$1:$I$88,7,0))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projet'!$B$12,Paramètres!$A$1:$I$88,3,0)*0.475*44/12</f>
        <v>0</v>
      </c>
      <c r="CL182" s="21">
        <f>EXP(-LN(2)/25)*CL181+(1-EXP(-LN(2)/25))/(LN(2)/25)*Calculateur!CG182*Calculateur!CI182*VLOOKUP('Données projet'!$B$12,Paramètres!$A$1:$I$88,3,0)*0.475*44/12</f>
        <v>0.11037018439587155</v>
      </c>
      <c r="CM182" s="21">
        <f>EXP(-LN(2)/2)*CM181+(1-EXP(-LN(2)/2))/(LN(2)/2)*CG182*CJ182*VLOOKUP('Données projet'!$B$12,Paramètres!$A$1:$I$88,3,0)*0.475*44/12</f>
        <v>3.3175662472152964E-22</v>
      </c>
      <c r="CN182" s="22">
        <f t="shared" si="172"/>
        <v>0.11037018439587155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5.6843418860808015E-14</v>
      </c>
      <c r="CU182" s="17">
        <f>CT182*VLOOKUP('Données projet'!$B$13,Paramètres!$A$1:$I$88,3,0)*VLOOKUP('Données projet'!$B$13,Paramètres!$A$1:$I$88,5,0)</f>
        <v>2.8908289095852525E-14</v>
      </c>
      <c r="CV182" s="13">
        <f t="shared" si="173"/>
        <v>5.0177780569126974E-13</v>
      </c>
      <c r="CW182" s="20">
        <f t="shared" si="174"/>
        <v>9.2427828175423786E-13</v>
      </c>
      <c r="CX182" s="59">
        <f t="shared" si="122"/>
        <v>293.33333333333422</v>
      </c>
      <c r="CY182" s="59">
        <f ca="1">AVERAGE(OFFSET($CX$3,0,0,'Données projet'!$E$13+1,1))-AVERAGE(OFFSET($H$3,0,0,'Données projet'!$E$13+1,1))</f>
        <v>133.08385802816008</v>
      </c>
      <c r="CZ182" s="59">
        <f t="shared" si="150"/>
        <v>316.59112511251385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projet'!$B$13,Paramètres!$A$1:$I$88,7,0))</f>
        <v>0</v>
      </c>
      <c r="DD182" s="16">
        <f>IF(ISNA(VLOOKUP(A182,'Données projet'!$A$139:$I$159,6,0)),0%,VLOOKUP(A182,'Données projet'!$A$139:$I$159,6,0)*VLOOKUP('Données projet'!$B$13,Paramètres!$A$1:$I$88,7,0))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projet'!$B$13,Paramètres!$A$1:$I$88,3,0)*0.475*44/12</f>
        <v>3.7761201941513032</v>
      </c>
      <c r="DG182" s="21">
        <f>EXP(-LN(2)/25)*DG181+(1-EXP(-LN(2)/25))/(LN(2)/25)*Calculateur!DB182*Calculateur!DD182*VLOOKUP('Données projet'!$B$13,Paramètres!$A$1:$I$88,3,0)*0.475*44/12</f>
        <v>0</v>
      </c>
      <c r="DH182" s="21">
        <f>EXP(-LN(2)/2)*DH181+(1-EXP(-LN(2)/2))/(LN(2)/2)*DB182*DE182*VLOOKUP('Données projet'!$B$13,Paramètres!$A$1:$I$88,3,0)*0.475*44/12</f>
        <v>2.116665030072826E-22</v>
      </c>
      <c r="DI182" s="22">
        <f t="shared" si="175"/>
        <v>3.7761201941513032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projet'!$B$14,Paramètres!$A$1:$I$88,3,0)*VLOOKUP('Données projet'!$B$14,Paramètres!$A$1:$I$88,5,0)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projet'!$B$14,Paramètres!$A$1:$I$88,7,0))</f>
        <v>0</v>
      </c>
      <c r="DY182" s="16">
        <f>IF(ISNA(VLOOKUP(A182,'Données projet'!$A$165:$I$185,6,0)),0%,VLOOKUP(A182,'Données projet'!$A$165:$I$185,6,0)*VLOOKUP('Données projet'!$B$14,Paramètres!$A$1:$I$88,7,0))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projet'!$B$14,Paramètres!$A$1:$I$88,3,0)*0.475*44/12</f>
        <v>#N/A</v>
      </c>
      <c r="EB182" s="21" t="e">
        <f>EXP(-LN(2)/25)*EB181+(1-EXP(-LN(2)/25))/(LN(2)/25)*Calculateur!DW182*Calculateur!DY182*VLOOKUP('Données projet'!$B$14,Paramètres!$A$1:$I$88,3,0)*0.475*44/12</f>
        <v>#N/A</v>
      </c>
      <c r="EC182" s="21" t="e">
        <f>EXP(-LN(2)/2)*EC181+(1-EXP(-LN(2)/2))/(LN(2)/2)*DW182*DZ182*VLOOKUP('Données projet'!$B$14,Paramètres!$A$1:$I$88,3,0)*0.475*44/12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projet'!$B$15,Paramètres!$A$1:$I$88,3,0)*VLOOKUP('Données projet'!$B$15,Paramètres!$A$1:$I$88,5,0)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projet'!$B$15,Paramètres!$A$1:$I$88,7,0))</f>
        <v>0</v>
      </c>
      <c r="ET182" s="16">
        <f>IF(ISNA(VLOOKUP(A182,'Données projet'!$A$191:$I$211,6,0)),0%,VLOOKUP(A182,'Données projet'!$A$191:$I$211,6,0)*VLOOKUP('Données projet'!$B$15,Paramètres!$A$1:$I$88,7,0))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projet'!$B$15,Paramètres!$A$1:$I$88,3,0)*0.475*44/12</f>
        <v>#N/A</v>
      </c>
      <c r="EW182" s="21" t="e">
        <f>EXP(-LN(2)/25)*EW181+(1-EXP(-LN(2)/25))/(LN(2)/25)*Calculateur!ER182*Calculateur!ET182*VLOOKUP('Données projet'!$B$15,Paramètres!$A$1:$I$88,3,0)*0.475*44/12</f>
        <v>#N/A</v>
      </c>
      <c r="EX182" s="21" t="e">
        <f>EXP(-LN(2)/2)*EX181+(1-EXP(-LN(2)/2))/(LN(2)/2)*ER182*EU182*VLOOKUP('Données projet'!$B$15,Paramètres!$A$1:$I$88,3,0)*0.475*44/12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projet'!$B$16,Paramètres!$A$1:$I$88,3,0)*VLOOKUP('Données projet'!$B$16,Paramètres!$A$1:$I$88,5,0)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projet'!$B$16,Paramètres!$A$1:$I$88,7,0))</f>
        <v>0</v>
      </c>
      <c r="FO182" s="16">
        <f>IF(ISNA(VLOOKUP(A182,'Données projet'!$A$217:$I$237,6,0)),0%,VLOOKUP(A182,'Données projet'!$A$217:$I$237,6,0)*VLOOKUP('Données projet'!$B$16,Paramètres!$A$1:$I$88,7,0))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projet'!$B$16,Paramètres!$A$1:$I$88,3,0)*0.475*44/12</f>
        <v>#N/A</v>
      </c>
      <c r="FR182" s="21" t="e">
        <f>EXP(-LN(2)/25)*FR181+(1-EXP(-LN(2)/25))/(LN(2)/25)*Calculateur!FM182*Calculateur!FO182*VLOOKUP('Données projet'!$B$16,Paramètres!$A$1:$I$88,3,0)*0.475*44/12</f>
        <v>#N/A</v>
      </c>
      <c r="FS182" s="21" t="e">
        <f>EXP(-LN(2)/2)*FS181+(1-EXP(-LN(2)/2))/(LN(2)/2)*FM182*FP182*VLOOKUP('Données projet'!$B$16,Paramètres!$A$1:$I$88,3,0)*0.475*44/12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projet'!$B$17,Paramètres!$A$1:$I$88,3,0)*VLOOKUP('Données projet'!$B$17,Paramètres!$A$1:$I$88,5,0)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projet'!$B$17,Paramètres!$A$1:$I$88,7,0))</f>
        <v>0</v>
      </c>
      <c r="GJ182" s="16">
        <f>IF(ISNA(VLOOKUP(A182,'Données projet'!$A$243:$I$263,6,0)),0%,VLOOKUP(A182,'Données projet'!$A$243:$I$263,6,0)*VLOOKUP('Données projet'!$B$17,Paramètres!$A$1:$I$88,7,0))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projet'!$B$17,Paramètres!$A$1:$I$88,3,0)*0.475*44/12</f>
        <v>#N/A</v>
      </c>
      <c r="GM182" s="21" t="e">
        <f>EXP(-LN(2)/25)*GM181+(1-EXP(-LN(2)/25))/(LN(2)/25)*Calculateur!GH182*Calculateur!GJ182*VLOOKUP('Données projet'!$B$17,Paramètres!$A$1:$I$88,3,0)*0.475*44/12</f>
        <v>#N/A</v>
      </c>
      <c r="GN182" s="21" t="e">
        <f>EXP(-LN(2)/2)*GN181+(1-EXP(-LN(2)/2))/(LN(2)/2)*GH182*GK182*VLOOKUP('Données projet'!$B$17,Paramètres!$A$1:$I$88,3,0)*0.475*44/12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projet'!$B$18,Paramètres!$A$1:$I$88,3,0)*VLOOKUP('Données projet'!$B$18,Paramètres!$A$1:$I$88,5,0)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projet'!$B$18,Paramètres!$A$1:$I$88,7,0))</f>
        <v>0</v>
      </c>
      <c r="HE182" s="16">
        <f>IF(ISNA(VLOOKUP(A182,'Données projet'!$A$269:$I$289,6,0)),0%,VLOOKUP(A182,'Données projet'!$A$269:$I$289,6,0)*VLOOKUP('Données projet'!$B$18,Paramètres!$A$1:$I$88,7,0))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projet'!$B$18,Paramètres!$A$1:$I$88,3,0)*0.475*44/12</f>
        <v>#N/A</v>
      </c>
      <c r="HH182" s="21" t="e">
        <f>EXP(-LN(2)/25)*HH181+(1-EXP(-LN(2)/25))/(LN(2)/25)*Calculateur!HC182*Calculateur!HE182*VLOOKUP('Données projet'!$B$18,Paramètres!$A$1:$I$88,3,0)*0.475*44/12</f>
        <v>#N/A</v>
      </c>
      <c r="HI182" s="21" t="e">
        <f>EXP(-LN(2)/2)*HI181+(1-EXP(-LN(2)/2))/(LN(2)/2)*HC182*HF182*VLOOKUP('Données projet'!$B$18,Paramètres!$A$1:$I$88,3,0)*0.475*44/12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projet'!$B$9,Paramètres!$A$1:$I$88,3,0)*VLOOKUP('Données projet'!$B$9,Paramètres!$A$1:$I$88,5,0)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195.73441209602686</v>
      </c>
      <c r="T183" s="59">
        <f t="shared" si="142"/>
        <v>219.19129224309006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projet'!$B$9,Paramètres!$A$1:$I$88,7,0))</f>
        <v>0</v>
      </c>
      <c r="X183" s="16">
        <f>IF(ISNA(VLOOKUP(A183,'Données projet'!$A$35:$I$55,6,0)),0%,VLOOKUP(A183,'Données projet'!$A$35:$I$55,6,0)*VLOOKUP('Données projet'!$B$9,Paramètres!$A$1:$I$88,7,0))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projet'!$B$9,Paramètres!$A$1:$I$88,3,0)*0.475*44/12</f>
        <v>0.7820018373891503</v>
      </c>
      <c r="AA183" s="21">
        <f>EXP(-LN(2)/25)*AA182+(1-EXP(-LN(2)/25))/(LN(2)/25)*Calculateur!V183*Calculateur!X183*VLOOKUP('Données projet'!$B$9,Paramètres!$A$1:$I$88,3,0)*0.475*44/12</f>
        <v>0.22121326440688288</v>
      </c>
      <c r="AB183" s="21">
        <f>EXP(-LN(2)/2)*AB182+(1-EXP(-LN(2)/2))/(LN(2)/2)*V183*Y183*VLOOKUP('Données projet'!$B$9,Paramètres!$A$1:$I$88,3,0)*0.475*44/12</f>
        <v>1.0501185788274712E-24</v>
      </c>
      <c r="AC183" s="22">
        <f t="shared" si="163"/>
        <v>1.0032151017960331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-4.5474735088646412E-13</v>
      </c>
      <c r="AJ183" s="13">
        <f>AI183*VLOOKUP('Données projet'!$B$10,Paramètres!$A$1:$I$88,3,0)*VLOOKUP('Données projet'!$B$10,Paramètres!$A$1:$I$88,5,0)</f>
        <v>-2.7193891583010558E-13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246.59447135626942</v>
      </c>
      <c r="AO183" s="59">
        <f t="shared" si="144"/>
        <v>262.00382544285367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projet'!$B$10,Paramètres!$A$1:$I$88,7,0))</f>
        <v>0</v>
      </c>
      <c r="AS183" s="16">
        <f>IF(ISNA(VLOOKUP(A183,'Données projet'!$A$61:$I$81,6,0)),0%,VLOOKUP(A183,'Données projet'!$A$61:$I$81,6,0)*VLOOKUP('Données projet'!$B$10,Paramètres!$A$1:$I$88,7,0))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projet'!$B$10,Paramètres!$A$1:$I$88,3,0)*0.475*44/12</f>
        <v>0</v>
      </c>
      <c r="AV183" s="21">
        <f>EXP(-LN(2)/25)*AV182+(1-EXP(-LN(2)/25))/(LN(2)/25)*Calculateur!AQ183*Calculateur!AS183*VLOOKUP('Données projet'!$B$10,Paramètres!$A$1:$I$88,3,0)*0.475*44/12</f>
        <v>0.20076974299766015</v>
      </c>
      <c r="AW183" s="21">
        <f>EXP(-LN(2)/2)*AW182+(1-EXP(-LN(2)/2))/(LN(2)/2)*AQ183*AT183*VLOOKUP('Données projet'!$B$10,Paramètres!$A$1:$I$88,3,0)*0.475*44/12</f>
        <v>6.2811092594933799E-22</v>
      </c>
      <c r="AX183" s="21">
        <f t="shared" si="166"/>
        <v>0.20076974299766015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-5.6843418860808015E-13</v>
      </c>
      <c r="BE183" s="13">
        <f>BD183*VLOOKUP('Données projet'!$B$11,Paramètres!$A$1:$I$88,3,0)*VLOOKUP('Données projet'!$B$11,Paramètres!$A$1:$I$88,5,0)</f>
        <v>-3.177547114319168E-13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355.96253323046608</v>
      </c>
      <c r="BJ183" s="59">
        <f t="shared" si="146"/>
        <v>366.8380442809696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projet'!$B$11,Paramètres!$A$1:$I$88,7,0))</f>
        <v>0</v>
      </c>
      <c r="BN183" s="16">
        <f>IF(ISNA(VLOOKUP(A183,'Données projet'!$A$87:$I$107,6,0)),0%,VLOOKUP(A183,'Données projet'!$A$87:$I$107,6,0)*VLOOKUP('Données projet'!$B$11,Paramètres!$A$1:$I$88,7,0))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projet'!$B$11,Paramètres!$A$1:$I$88,3,0)*0.475*44/12</f>
        <v>0</v>
      </c>
      <c r="BQ183" s="21">
        <f>EXP(-LN(2)/25)*BQ182+(1-EXP(-LN(2)/25))/(LN(2)/25)*Calculateur!BL183*Calculateur!BN183*VLOOKUP('Données projet'!$B$11,Paramètres!$A$1:$I$88,3,0)*0.475*44/12</f>
        <v>0.35546557562681858</v>
      </c>
      <c r="BR183" s="21">
        <f>EXP(-LN(2)/2)*BR182+(1-EXP(-LN(2)/2))/(LN(2)/2)*BL183*BO183*VLOOKUP('Données projet'!$B$11,Paramètres!$A$1:$I$88,3,0)*0.475*44/12</f>
        <v>9.7116183698751576E-22</v>
      </c>
      <c r="BS183" s="22">
        <f t="shared" si="169"/>
        <v>0.35546557562681858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projet'!$B$12,Paramètres!$A$1:$I$88,3,0)*VLOOKUP('Données projet'!$B$12,Paramètres!$A$1:$I$88,5,0)</f>
        <v>3.7243808037601412E-14</v>
      </c>
      <c r="CA183" s="13">
        <f t="shared" si="170"/>
        <v>6.2767589361185393E-13</v>
      </c>
      <c r="CB183" s="20">
        <f t="shared" si="171"/>
        <v>1.1580684803728015E-12</v>
      </c>
      <c r="CC183" s="59">
        <f t="shared" si="119"/>
        <v>293.33333333333445</v>
      </c>
      <c r="CD183" s="59">
        <f ca="1">AVERAGE(OFFSET($CC$3,0,0,'Données projet'!$E$12+1,1))-AVERAGE(OFFSET($H$3,0,0,'Données projet'!$E$12+1,1))</f>
        <v>180.90147430936133</v>
      </c>
      <c r="CE183" s="59">
        <f t="shared" si="148"/>
        <v>226.87949199830018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projet'!$B$12,Paramètres!$A$1:$I$88,7,0))</f>
        <v>0</v>
      </c>
      <c r="CI183" s="16">
        <f>IF(ISNA(VLOOKUP(A183,'Données projet'!$A$113:$I$133,6,0)),0%,VLOOKUP(A183,'Données projet'!$A$113:$I$133,6,0)*VLOOKUP('Données projet'!$B$12,Paramètres!$A$1:$I$88,7,0))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projet'!$B$12,Paramètres!$A$1:$I$88,3,0)*0.475*44/12</f>
        <v>0</v>
      </c>
      <c r="CL183" s="21">
        <f>EXP(-LN(2)/25)*CL182+(1-EXP(-LN(2)/25))/(LN(2)/25)*Calculateur!CG183*Calculateur!CI183*VLOOKUP('Données projet'!$B$12,Paramètres!$A$1:$I$88,3,0)*0.475*44/12</f>
        <v>0.1073521058994507</v>
      </c>
      <c r="CM183" s="21">
        <f>EXP(-LN(2)/2)*CM182+(1-EXP(-LN(2)/2))/(LN(2)/2)*CG183*CJ183*VLOOKUP('Données projet'!$B$12,Paramètres!$A$1:$I$88,3,0)*0.475*44/12</f>
        <v>2.3458735904415421E-22</v>
      </c>
      <c r="CN183" s="22">
        <f t="shared" si="172"/>
        <v>0.1073521058994507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5.6843418860808015E-14</v>
      </c>
      <c r="CU183" s="17">
        <f>CT183*VLOOKUP('Données projet'!$B$13,Paramètres!$A$1:$I$88,3,0)*VLOOKUP('Données projet'!$B$13,Paramètres!$A$1:$I$88,5,0)</f>
        <v>2.8908289095852525E-14</v>
      </c>
      <c r="CV183" s="13">
        <f t="shared" si="173"/>
        <v>5.0177780569126974E-13</v>
      </c>
      <c r="CW183" s="20">
        <f t="shared" si="174"/>
        <v>9.2427828175423786E-13</v>
      </c>
      <c r="CX183" s="59">
        <f t="shared" si="122"/>
        <v>293.33333333333422</v>
      </c>
      <c r="CY183" s="59">
        <f ca="1">AVERAGE(OFFSET($CX$3,0,0,'Données projet'!$E$13+1,1))-AVERAGE(OFFSET($H$3,0,0,'Données projet'!$E$13+1,1))</f>
        <v>133.08385802816008</v>
      </c>
      <c r="CZ183" s="59">
        <f t="shared" si="150"/>
        <v>316.59112511251385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projet'!$B$13,Paramètres!$A$1:$I$88,7,0))</f>
        <v>0</v>
      </c>
      <c r="DD183" s="16">
        <f>IF(ISNA(VLOOKUP(A183,'Données projet'!$A$139:$I$159,6,0)),0%,VLOOKUP(A183,'Données projet'!$A$139:$I$159,6,0)*VLOOKUP('Données projet'!$B$13,Paramètres!$A$1:$I$88,7,0))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projet'!$B$13,Paramètres!$A$1:$I$88,3,0)*0.475*44/12</f>
        <v>3.7020727803498921</v>
      </c>
      <c r="DG183" s="21">
        <f>EXP(-LN(2)/25)*DG182+(1-EXP(-LN(2)/25))/(LN(2)/25)*Calculateur!DB183*Calculateur!DD183*VLOOKUP('Données projet'!$B$13,Paramètres!$A$1:$I$88,3,0)*0.475*44/12</f>
        <v>0</v>
      </c>
      <c r="DH183" s="21">
        <f>EXP(-LN(2)/2)*DH182+(1-EXP(-LN(2)/2))/(LN(2)/2)*DB183*DE183*VLOOKUP('Données projet'!$B$13,Paramètres!$A$1:$I$88,3,0)*0.475*44/12</f>
        <v>1.4967081962649229E-22</v>
      </c>
      <c r="DI183" s="22">
        <f t="shared" si="175"/>
        <v>3.7020727803498921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projet'!$B$14,Paramètres!$A$1:$I$88,3,0)*VLOOKUP('Données projet'!$B$14,Paramètres!$A$1:$I$88,5,0)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projet'!$B$14,Paramètres!$A$1:$I$88,7,0))</f>
        <v>0</v>
      </c>
      <c r="DY183" s="16">
        <f>IF(ISNA(VLOOKUP(A183,'Données projet'!$A$165:$I$185,6,0)),0%,VLOOKUP(A183,'Données projet'!$A$165:$I$185,6,0)*VLOOKUP('Données projet'!$B$14,Paramètres!$A$1:$I$88,7,0))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projet'!$B$14,Paramètres!$A$1:$I$88,3,0)*0.475*44/12</f>
        <v>#N/A</v>
      </c>
      <c r="EB183" s="21" t="e">
        <f>EXP(-LN(2)/25)*EB182+(1-EXP(-LN(2)/25))/(LN(2)/25)*Calculateur!DW183*Calculateur!DY183*VLOOKUP('Données projet'!$B$14,Paramètres!$A$1:$I$88,3,0)*0.475*44/12</f>
        <v>#N/A</v>
      </c>
      <c r="EC183" s="21" t="e">
        <f>EXP(-LN(2)/2)*EC182+(1-EXP(-LN(2)/2))/(LN(2)/2)*DW183*DZ183*VLOOKUP('Données projet'!$B$14,Paramètres!$A$1:$I$88,3,0)*0.475*44/12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projet'!$B$15,Paramètres!$A$1:$I$88,3,0)*VLOOKUP('Données projet'!$B$15,Paramètres!$A$1:$I$88,5,0)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projet'!$B$15,Paramètres!$A$1:$I$88,7,0))</f>
        <v>0</v>
      </c>
      <c r="ET183" s="16">
        <f>IF(ISNA(VLOOKUP(A183,'Données projet'!$A$191:$I$211,6,0)),0%,VLOOKUP(A183,'Données projet'!$A$191:$I$211,6,0)*VLOOKUP('Données projet'!$B$15,Paramètres!$A$1:$I$88,7,0))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projet'!$B$15,Paramètres!$A$1:$I$88,3,0)*0.475*44/12</f>
        <v>#N/A</v>
      </c>
      <c r="EW183" s="21" t="e">
        <f>EXP(-LN(2)/25)*EW182+(1-EXP(-LN(2)/25))/(LN(2)/25)*Calculateur!ER183*Calculateur!ET183*VLOOKUP('Données projet'!$B$15,Paramètres!$A$1:$I$88,3,0)*0.475*44/12</f>
        <v>#N/A</v>
      </c>
      <c r="EX183" s="21" t="e">
        <f>EXP(-LN(2)/2)*EX182+(1-EXP(-LN(2)/2))/(LN(2)/2)*ER183*EU183*VLOOKUP('Données projet'!$B$15,Paramètres!$A$1:$I$88,3,0)*0.475*44/12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projet'!$B$16,Paramètres!$A$1:$I$88,3,0)*VLOOKUP('Données projet'!$B$16,Paramètres!$A$1:$I$88,5,0)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projet'!$B$16,Paramètres!$A$1:$I$88,7,0))</f>
        <v>0</v>
      </c>
      <c r="FO183" s="16">
        <f>IF(ISNA(VLOOKUP(A183,'Données projet'!$A$217:$I$237,6,0)),0%,VLOOKUP(A183,'Données projet'!$A$217:$I$237,6,0)*VLOOKUP('Données projet'!$B$16,Paramètres!$A$1:$I$88,7,0))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projet'!$B$16,Paramètres!$A$1:$I$88,3,0)*0.475*44/12</f>
        <v>#N/A</v>
      </c>
      <c r="FR183" s="21" t="e">
        <f>EXP(-LN(2)/25)*FR182+(1-EXP(-LN(2)/25))/(LN(2)/25)*Calculateur!FM183*Calculateur!FO183*VLOOKUP('Données projet'!$B$16,Paramètres!$A$1:$I$88,3,0)*0.475*44/12</f>
        <v>#N/A</v>
      </c>
      <c r="FS183" s="21" t="e">
        <f>EXP(-LN(2)/2)*FS182+(1-EXP(-LN(2)/2))/(LN(2)/2)*FM183*FP183*VLOOKUP('Données projet'!$B$16,Paramètres!$A$1:$I$88,3,0)*0.475*44/12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projet'!$B$17,Paramètres!$A$1:$I$88,3,0)*VLOOKUP('Données projet'!$B$17,Paramètres!$A$1:$I$88,5,0)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projet'!$B$17,Paramètres!$A$1:$I$88,7,0))</f>
        <v>0</v>
      </c>
      <c r="GJ183" s="16">
        <f>IF(ISNA(VLOOKUP(A183,'Données projet'!$A$243:$I$263,6,0)),0%,VLOOKUP(A183,'Données projet'!$A$243:$I$263,6,0)*VLOOKUP('Données projet'!$B$17,Paramètres!$A$1:$I$88,7,0))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projet'!$B$17,Paramètres!$A$1:$I$88,3,0)*0.475*44/12</f>
        <v>#N/A</v>
      </c>
      <c r="GM183" s="21" t="e">
        <f>EXP(-LN(2)/25)*GM182+(1-EXP(-LN(2)/25))/(LN(2)/25)*Calculateur!GH183*Calculateur!GJ183*VLOOKUP('Données projet'!$B$17,Paramètres!$A$1:$I$88,3,0)*0.475*44/12</f>
        <v>#N/A</v>
      </c>
      <c r="GN183" s="21" t="e">
        <f>EXP(-LN(2)/2)*GN182+(1-EXP(-LN(2)/2))/(LN(2)/2)*GH183*GK183*VLOOKUP('Données projet'!$B$17,Paramètres!$A$1:$I$88,3,0)*0.475*44/12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projet'!$B$18,Paramètres!$A$1:$I$88,3,0)*VLOOKUP('Données projet'!$B$18,Paramètres!$A$1:$I$88,5,0)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projet'!$B$18,Paramètres!$A$1:$I$88,7,0))</f>
        <v>0</v>
      </c>
      <c r="HE183" s="16">
        <f>IF(ISNA(VLOOKUP(A183,'Données projet'!$A$269:$I$289,6,0)),0%,VLOOKUP(A183,'Données projet'!$A$269:$I$289,6,0)*VLOOKUP('Données projet'!$B$18,Paramètres!$A$1:$I$88,7,0))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projet'!$B$18,Paramètres!$A$1:$I$88,3,0)*0.475*44/12</f>
        <v>#N/A</v>
      </c>
      <c r="HH183" s="21" t="e">
        <f>EXP(-LN(2)/25)*HH182+(1-EXP(-LN(2)/25))/(LN(2)/25)*Calculateur!HC183*Calculateur!HE183*VLOOKUP('Données projet'!$B$18,Paramètres!$A$1:$I$88,3,0)*0.475*44/12</f>
        <v>#N/A</v>
      </c>
      <c r="HI183" s="21" t="e">
        <f>EXP(-LN(2)/2)*HI182+(1-EXP(-LN(2)/2))/(LN(2)/2)*HC183*HF183*VLOOKUP('Données projet'!$B$18,Paramètres!$A$1:$I$88,3,0)*0.475*44/12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projet'!$B$9,Paramètres!$A$1:$I$88,3,0)*VLOOKUP('Données projet'!$B$9,Paramètres!$A$1:$I$88,5,0)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195.73441209602686</v>
      </c>
      <c r="T184" s="59">
        <f t="shared" si="142"/>
        <v>219.19129224309006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projet'!$B$9,Paramètres!$A$1:$I$88,7,0))</f>
        <v>0</v>
      </c>
      <c r="X184" s="16">
        <f>IF(ISNA(VLOOKUP(A184,'Données projet'!$A$35:$I$55,6,0)),0%,VLOOKUP(A184,'Données projet'!$A$35:$I$55,6,0)*VLOOKUP('Données projet'!$B$9,Paramètres!$A$1:$I$88,7,0))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projet'!$B$9,Paramètres!$A$1:$I$88,3,0)*0.475*44/12</f>
        <v>0.76666725833197258</v>
      </c>
      <c r="AA184" s="21">
        <f>EXP(-LN(2)/25)*AA183+(1-EXP(-LN(2)/25))/(LN(2)/25)*Calculateur!V184*Calculateur!X184*VLOOKUP('Données projet'!$B$9,Paramètres!$A$1:$I$88,3,0)*0.475*44/12</f>
        <v>0.21516417605857668</v>
      </c>
      <c r="AB184" s="21">
        <f>EXP(-LN(2)/2)*AB183+(1-EXP(-LN(2)/2))/(LN(2)/2)*V184*Y184*VLOOKUP('Données projet'!$B$9,Paramètres!$A$1:$I$88,3,0)*0.475*44/12</f>
        <v>7.4254596813888495E-25</v>
      </c>
      <c r="AC184" s="22">
        <f t="shared" si="163"/>
        <v>0.98183143439054921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-4.5474735088646412E-13</v>
      </c>
      <c r="AJ184" s="13">
        <f>AI184*VLOOKUP('Données projet'!$B$10,Paramètres!$A$1:$I$88,3,0)*VLOOKUP('Données projet'!$B$10,Paramètres!$A$1:$I$88,5,0)</f>
        <v>-2.7193891583010558E-13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246.59447135626942</v>
      </c>
      <c r="AO184" s="59">
        <f t="shared" si="144"/>
        <v>262.00382544285367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projet'!$B$10,Paramètres!$A$1:$I$88,7,0))</f>
        <v>0</v>
      </c>
      <c r="AS184" s="16">
        <f>IF(ISNA(VLOOKUP(A184,'Données projet'!$A$61:$I$81,6,0)),0%,VLOOKUP(A184,'Données projet'!$A$61:$I$81,6,0)*VLOOKUP('Données projet'!$B$10,Paramètres!$A$1:$I$88,7,0))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projet'!$B$10,Paramètres!$A$1:$I$88,3,0)*0.475*44/12</f>
        <v>0</v>
      </c>
      <c r="AV184" s="21">
        <f>EXP(-LN(2)/25)*AV183+(1-EXP(-LN(2)/25))/(LN(2)/25)*Calculateur!AQ184*Calculateur!AS184*VLOOKUP('Données projet'!$B$10,Paramètres!$A$1:$I$88,3,0)*0.475*44/12</f>
        <v>0.19527968381736721</v>
      </c>
      <c r="AW184" s="21">
        <f>EXP(-LN(2)/2)*AW183+(1-EXP(-LN(2)/2))/(LN(2)/2)*AQ184*AT184*VLOOKUP('Données projet'!$B$10,Paramètres!$A$1:$I$88,3,0)*0.475*44/12</f>
        <v>4.4414149507613829E-22</v>
      </c>
      <c r="AX184" s="21">
        <f t="shared" si="166"/>
        <v>0.19527968381736721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-5.6843418860808015E-13</v>
      </c>
      <c r="BE184" s="13">
        <f>BD184*VLOOKUP('Données projet'!$B$11,Paramètres!$A$1:$I$88,3,0)*VLOOKUP('Données projet'!$B$11,Paramètres!$A$1:$I$88,5,0)</f>
        <v>-3.177547114319168E-13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355.96253323046608</v>
      </c>
      <c r="BJ184" s="59">
        <f t="shared" si="146"/>
        <v>366.8380442809696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projet'!$B$11,Paramètres!$A$1:$I$88,7,0))</f>
        <v>0</v>
      </c>
      <c r="BN184" s="16">
        <f>IF(ISNA(VLOOKUP(A184,'Données projet'!$A$87:$I$107,6,0)),0%,VLOOKUP(A184,'Données projet'!$A$87:$I$107,6,0)*VLOOKUP('Données projet'!$B$11,Paramètres!$A$1:$I$88,7,0))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projet'!$B$11,Paramètres!$A$1:$I$88,3,0)*0.475*44/12</f>
        <v>0</v>
      </c>
      <c r="BQ184" s="21">
        <f>EXP(-LN(2)/25)*BQ183+(1-EXP(-LN(2)/25))/(LN(2)/25)*Calculateur!BL184*Calculateur!BN184*VLOOKUP('Données projet'!$B$11,Paramètres!$A$1:$I$88,3,0)*0.475*44/12</f>
        <v>0.34574535076818103</v>
      </c>
      <c r="BR184" s="21">
        <f>EXP(-LN(2)/2)*BR183+(1-EXP(-LN(2)/2))/(LN(2)/2)*BL184*BO184*VLOOKUP('Données projet'!$B$11,Paramètres!$A$1:$I$88,3,0)*0.475*44/12</f>
        <v>6.8671512056345686E-22</v>
      </c>
      <c r="BS184" s="22">
        <f t="shared" si="169"/>
        <v>0.34574535076818103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projet'!$B$12,Paramètres!$A$1:$I$88,3,0)*VLOOKUP('Données projet'!$B$12,Paramètres!$A$1:$I$88,5,0)</f>
        <v>3.7243808037601412E-14</v>
      </c>
      <c r="CA184" s="13">
        <f t="shared" si="170"/>
        <v>6.2767589361185393E-13</v>
      </c>
      <c r="CB184" s="20">
        <f t="shared" si="171"/>
        <v>1.1580684803728015E-12</v>
      </c>
      <c r="CC184" s="59">
        <f t="shared" si="119"/>
        <v>293.33333333333445</v>
      </c>
      <c r="CD184" s="59">
        <f ca="1">AVERAGE(OFFSET($CC$3,0,0,'Données projet'!$E$12+1,1))-AVERAGE(OFFSET($H$3,0,0,'Données projet'!$E$12+1,1))</f>
        <v>180.90147430936133</v>
      </c>
      <c r="CE184" s="59">
        <f t="shared" si="148"/>
        <v>226.87949199830018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projet'!$B$12,Paramètres!$A$1:$I$88,7,0))</f>
        <v>0</v>
      </c>
      <c r="CI184" s="16">
        <f>IF(ISNA(VLOOKUP(A184,'Données projet'!$A$113:$I$133,6,0)),0%,VLOOKUP(A184,'Données projet'!$A$113:$I$133,6,0)*VLOOKUP('Données projet'!$B$12,Paramètres!$A$1:$I$88,7,0))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projet'!$B$12,Paramètres!$A$1:$I$88,3,0)*0.475*44/12</f>
        <v>0</v>
      </c>
      <c r="CL184" s="21">
        <f>EXP(-LN(2)/25)*CL183+(1-EXP(-LN(2)/25))/(LN(2)/25)*Calculateur!CG184*Calculateur!CI184*VLOOKUP('Données projet'!$B$12,Paramètres!$A$1:$I$88,3,0)*0.475*44/12</f>
        <v>0.10441655691822832</v>
      </c>
      <c r="CM184" s="21">
        <f>EXP(-LN(2)/2)*CM183+(1-EXP(-LN(2)/2))/(LN(2)/2)*CG184*CJ184*VLOOKUP('Données projet'!$B$12,Paramètres!$A$1:$I$88,3,0)*0.475*44/12</f>
        <v>1.6587831236076482E-22</v>
      </c>
      <c r="CN184" s="22">
        <f t="shared" si="172"/>
        <v>0.10441655691822832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5.6843418860808015E-14</v>
      </c>
      <c r="CU184" s="17">
        <f>CT184*VLOOKUP('Données projet'!$B$13,Paramètres!$A$1:$I$88,3,0)*VLOOKUP('Données projet'!$B$13,Paramètres!$A$1:$I$88,5,0)</f>
        <v>2.8908289095852525E-14</v>
      </c>
      <c r="CV184" s="13">
        <f t="shared" si="173"/>
        <v>5.0177780569126974E-13</v>
      </c>
      <c r="CW184" s="20">
        <f t="shared" si="174"/>
        <v>9.2427828175423786E-13</v>
      </c>
      <c r="CX184" s="59">
        <f t="shared" si="122"/>
        <v>293.33333333333422</v>
      </c>
      <c r="CY184" s="59">
        <f ca="1">AVERAGE(OFFSET($CX$3,0,0,'Données projet'!$E$13+1,1))-AVERAGE(OFFSET($H$3,0,0,'Données projet'!$E$13+1,1))</f>
        <v>133.08385802816008</v>
      </c>
      <c r="CZ184" s="59">
        <f t="shared" si="150"/>
        <v>316.59112511251385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projet'!$B$13,Paramètres!$A$1:$I$88,7,0))</f>
        <v>0</v>
      </c>
      <c r="DD184" s="16">
        <f>IF(ISNA(VLOOKUP(A184,'Données projet'!$A$139:$I$159,6,0)),0%,VLOOKUP(A184,'Données projet'!$A$139:$I$159,6,0)*VLOOKUP('Données projet'!$B$13,Paramètres!$A$1:$I$88,7,0))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projet'!$B$13,Paramètres!$A$1:$I$88,3,0)*0.475*44/12</f>
        <v>3.6294773911686637</v>
      </c>
      <c r="DG184" s="21">
        <f>EXP(-LN(2)/25)*DG183+(1-EXP(-LN(2)/25))/(LN(2)/25)*Calculateur!DB184*Calculateur!DD184*VLOOKUP('Données projet'!$B$13,Paramètres!$A$1:$I$88,3,0)*0.475*44/12</f>
        <v>0</v>
      </c>
      <c r="DH184" s="21">
        <f>EXP(-LN(2)/2)*DH183+(1-EXP(-LN(2)/2))/(LN(2)/2)*DB184*DE184*VLOOKUP('Données projet'!$B$13,Paramètres!$A$1:$I$88,3,0)*0.475*44/12</f>
        <v>1.0583325150364131E-22</v>
      </c>
      <c r="DI184" s="22">
        <f t="shared" si="175"/>
        <v>3.6294773911686637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projet'!$B$14,Paramètres!$A$1:$I$88,3,0)*VLOOKUP('Données projet'!$B$14,Paramètres!$A$1:$I$88,5,0)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projet'!$B$14,Paramètres!$A$1:$I$88,7,0))</f>
        <v>0</v>
      </c>
      <c r="DY184" s="16">
        <f>IF(ISNA(VLOOKUP(A184,'Données projet'!$A$165:$I$185,6,0)),0%,VLOOKUP(A184,'Données projet'!$A$165:$I$185,6,0)*VLOOKUP('Données projet'!$B$14,Paramètres!$A$1:$I$88,7,0))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projet'!$B$14,Paramètres!$A$1:$I$88,3,0)*0.475*44/12</f>
        <v>#N/A</v>
      </c>
      <c r="EB184" s="21" t="e">
        <f>EXP(-LN(2)/25)*EB183+(1-EXP(-LN(2)/25))/(LN(2)/25)*Calculateur!DW184*Calculateur!DY184*VLOOKUP('Données projet'!$B$14,Paramètres!$A$1:$I$88,3,0)*0.475*44/12</f>
        <v>#N/A</v>
      </c>
      <c r="EC184" s="21" t="e">
        <f>EXP(-LN(2)/2)*EC183+(1-EXP(-LN(2)/2))/(LN(2)/2)*DW184*DZ184*VLOOKUP('Données projet'!$B$14,Paramètres!$A$1:$I$88,3,0)*0.475*44/12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projet'!$B$15,Paramètres!$A$1:$I$88,3,0)*VLOOKUP('Données projet'!$B$15,Paramètres!$A$1:$I$88,5,0)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projet'!$B$15,Paramètres!$A$1:$I$88,7,0))</f>
        <v>0</v>
      </c>
      <c r="ET184" s="16">
        <f>IF(ISNA(VLOOKUP(A184,'Données projet'!$A$191:$I$211,6,0)),0%,VLOOKUP(A184,'Données projet'!$A$191:$I$211,6,0)*VLOOKUP('Données projet'!$B$15,Paramètres!$A$1:$I$88,7,0))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projet'!$B$15,Paramètres!$A$1:$I$88,3,0)*0.475*44/12</f>
        <v>#N/A</v>
      </c>
      <c r="EW184" s="21" t="e">
        <f>EXP(-LN(2)/25)*EW183+(1-EXP(-LN(2)/25))/(LN(2)/25)*Calculateur!ER184*Calculateur!ET184*VLOOKUP('Données projet'!$B$15,Paramètres!$A$1:$I$88,3,0)*0.475*44/12</f>
        <v>#N/A</v>
      </c>
      <c r="EX184" s="21" t="e">
        <f>EXP(-LN(2)/2)*EX183+(1-EXP(-LN(2)/2))/(LN(2)/2)*ER184*EU184*VLOOKUP('Données projet'!$B$15,Paramètres!$A$1:$I$88,3,0)*0.475*44/12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projet'!$B$16,Paramètres!$A$1:$I$88,3,0)*VLOOKUP('Données projet'!$B$16,Paramètres!$A$1:$I$88,5,0)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projet'!$B$16,Paramètres!$A$1:$I$88,7,0))</f>
        <v>0</v>
      </c>
      <c r="FO184" s="16">
        <f>IF(ISNA(VLOOKUP(A184,'Données projet'!$A$217:$I$237,6,0)),0%,VLOOKUP(A184,'Données projet'!$A$217:$I$237,6,0)*VLOOKUP('Données projet'!$B$16,Paramètres!$A$1:$I$88,7,0))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projet'!$B$16,Paramètres!$A$1:$I$88,3,0)*0.475*44/12</f>
        <v>#N/A</v>
      </c>
      <c r="FR184" s="21" t="e">
        <f>EXP(-LN(2)/25)*FR183+(1-EXP(-LN(2)/25))/(LN(2)/25)*Calculateur!FM184*Calculateur!FO184*VLOOKUP('Données projet'!$B$16,Paramètres!$A$1:$I$88,3,0)*0.475*44/12</f>
        <v>#N/A</v>
      </c>
      <c r="FS184" s="21" t="e">
        <f>EXP(-LN(2)/2)*FS183+(1-EXP(-LN(2)/2))/(LN(2)/2)*FM184*FP184*VLOOKUP('Données projet'!$B$16,Paramètres!$A$1:$I$88,3,0)*0.475*44/12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projet'!$B$17,Paramètres!$A$1:$I$88,3,0)*VLOOKUP('Données projet'!$B$17,Paramètres!$A$1:$I$88,5,0)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projet'!$B$17,Paramètres!$A$1:$I$88,7,0))</f>
        <v>0</v>
      </c>
      <c r="GJ184" s="16">
        <f>IF(ISNA(VLOOKUP(A184,'Données projet'!$A$243:$I$263,6,0)),0%,VLOOKUP(A184,'Données projet'!$A$243:$I$263,6,0)*VLOOKUP('Données projet'!$B$17,Paramètres!$A$1:$I$88,7,0))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projet'!$B$17,Paramètres!$A$1:$I$88,3,0)*0.475*44/12</f>
        <v>#N/A</v>
      </c>
      <c r="GM184" s="21" t="e">
        <f>EXP(-LN(2)/25)*GM183+(1-EXP(-LN(2)/25))/(LN(2)/25)*Calculateur!GH184*Calculateur!GJ184*VLOOKUP('Données projet'!$B$17,Paramètres!$A$1:$I$88,3,0)*0.475*44/12</f>
        <v>#N/A</v>
      </c>
      <c r="GN184" s="21" t="e">
        <f>EXP(-LN(2)/2)*GN183+(1-EXP(-LN(2)/2))/(LN(2)/2)*GH184*GK184*VLOOKUP('Données projet'!$B$17,Paramètres!$A$1:$I$88,3,0)*0.475*44/12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projet'!$B$18,Paramètres!$A$1:$I$88,3,0)*VLOOKUP('Données projet'!$B$18,Paramètres!$A$1:$I$88,5,0)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projet'!$B$18,Paramètres!$A$1:$I$88,7,0))</f>
        <v>0</v>
      </c>
      <c r="HE184" s="16">
        <f>IF(ISNA(VLOOKUP(A184,'Données projet'!$A$269:$I$289,6,0)),0%,VLOOKUP(A184,'Données projet'!$A$269:$I$289,6,0)*VLOOKUP('Données projet'!$B$18,Paramètres!$A$1:$I$88,7,0))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projet'!$B$18,Paramètres!$A$1:$I$88,3,0)*0.475*44/12</f>
        <v>#N/A</v>
      </c>
      <c r="HH184" s="21" t="e">
        <f>EXP(-LN(2)/25)*HH183+(1-EXP(-LN(2)/25))/(LN(2)/25)*Calculateur!HC184*Calculateur!HE184*VLOOKUP('Données projet'!$B$18,Paramètres!$A$1:$I$88,3,0)*0.475*44/12</f>
        <v>#N/A</v>
      </c>
      <c r="HI184" s="21" t="e">
        <f>EXP(-LN(2)/2)*HI183+(1-EXP(-LN(2)/2))/(LN(2)/2)*HC184*HF184*VLOOKUP('Données projet'!$B$18,Paramètres!$A$1:$I$88,3,0)*0.475*44/12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projet'!$B$9,Paramètres!$A$1:$I$88,3,0)*VLOOKUP('Données projet'!$B$9,Paramètres!$A$1:$I$88,5,0)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195.73441209602686</v>
      </c>
      <c r="T185" s="59">
        <f t="shared" si="142"/>
        <v>219.19129224309006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projet'!$B$9,Paramètres!$A$1:$I$88,7,0))</f>
        <v>0</v>
      </c>
      <c r="X185" s="16">
        <f>IF(ISNA(VLOOKUP(A185,'Données projet'!$A$35:$I$55,6,0)),0%,VLOOKUP(A185,'Données projet'!$A$35:$I$55,6,0)*VLOOKUP('Données projet'!$B$9,Paramètres!$A$1:$I$88,7,0))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projet'!$B$9,Paramètres!$A$1:$I$88,3,0)*0.475*44/12</f>
        <v>0.75163338101693644</v>
      </c>
      <c r="AA185" s="21">
        <f>EXP(-LN(2)/25)*AA184+(1-EXP(-LN(2)/25))/(LN(2)/25)*Calculateur!V185*Calculateur!X185*VLOOKUP('Données projet'!$B$9,Paramètres!$A$1:$I$88,3,0)*0.475*44/12</f>
        <v>0.20928050034926265</v>
      </c>
      <c r="AB185" s="21">
        <f>EXP(-LN(2)/2)*AB184+(1-EXP(-LN(2)/2))/(LN(2)/2)*V185*Y185*VLOOKUP('Données projet'!$B$9,Paramètres!$A$1:$I$88,3,0)*0.475*44/12</f>
        <v>5.2505928941373561E-25</v>
      </c>
      <c r="AC185" s="22">
        <f t="shared" si="163"/>
        <v>0.96091388136619904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-4.5474735088646412E-13</v>
      </c>
      <c r="AJ185" s="13">
        <f>AI185*VLOOKUP('Données projet'!$B$10,Paramètres!$A$1:$I$88,3,0)*VLOOKUP('Données projet'!$B$10,Paramètres!$A$1:$I$88,5,0)</f>
        <v>-2.7193891583010558E-13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246.59447135626942</v>
      </c>
      <c r="AO185" s="59">
        <f t="shared" si="144"/>
        <v>262.00382544285367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projet'!$B$10,Paramètres!$A$1:$I$88,7,0))</f>
        <v>0</v>
      </c>
      <c r="AS185" s="16">
        <f>IF(ISNA(VLOOKUP(A185,'Données projet'!$A$61:$I$81,6,0)),0%,VLOOKUP(A185,'Données projet'!$A$61:$I$81,6,0)*VLOOKUP('Données projet'!$B$10,Paramètres!$A$1:$I$88,7,0))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projet'!$B$10,Paramètres!$A$1:$I$88,3,0)*0.475*44/12</f>
        <v>0</v>
      </c>
      <c r="AV185" s="21">
        <f>EXP(-LN(2)/25)*AV184+(1-EXP(-LN(2)/25))/(LN(2)/25)*Calculateur!AQ185*Calculateur!AS185*VLOOKUP('Données projet'!$B$10,Paramètres!$A$1:$I$88,3,0)*0.475*44/12</f>
        <v>0.18993975059406906</v>
      </c>
      <c r="AW185" s="21">
        <f>EXP(-LN(2)/2)*AW184+(1-EXP(-LN(2)/2))/(LN(2)/2)*AQ185*AT185*VLOOKUP('Données projet'!$B$10,Paramètres!$A$1:$I$88,3,0)*0.475*44/12</f>
        <v>3.14055462974669E-22</v>
      </c>
      <c r="AX185" s="21">
        <f t="shared" si="166"/>
        <v>0.18993975059406906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-5.6843418860808015E-13</v>
      </c>
      <c r="BE185" s="13">
        <f>BD185*VLOOKUP('Données projet'!$B$11,Paramètres!$A$1:$I$88,3,0)*VLOOKUP('Données projet'!$B$11,Paramètres!$A$1:$I$88,5,0)</f>
        <v>-3.177547114319168E-13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355.96253323046608</v>
      </c>
      <c r="BJ185" s="59">
        <f t="shared" si="146"/>
        <v>366.8380442809696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projet'!$B$11,Paramètres!$A$1:$I$88,7,0))</f>
        <v>0</v>
      </c>
      <c r="BN185" s="16">
        <f>IF(ISNA(VLOOKUP(A185,'Données projet'!$A$87:$I$107,6,0)),0%,VLOOKUP(A185,'Données projet'!$A$87:$I$107,6,0)*VLOOKUP('Données projet'!$B$11,Paramètres!$A$1:$I$88,7,0))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projet'!$B$11,Paramètres!$A$1:$I$88,3,0)*0.475*44/12</f>
        <v>0</v>
      </c>
      <c r="BQ185" s="21">
        <f>EXP(-LN(2)/25)*BQ184+(1-EXP(-LN(2)/25))/(LN(2)/25)*Calculateur!BL185*Calculateur!BN185*VLOOKUP('Données projet'!$B$11,Paramètres!$A$1:$I$88,3,0)*0.475*44/12</f>
        <v>0.33629092596946736</v>
      </c>
      <c r="BR185" s="21">
        <f>EXP(-LN(2)/2)*BR184+(1-EXP(-LN(2)/2))/(LN(2)/2)*BL185*BO185*VLOOKUP('Données projet'!$B$11,Paramètres!$A$1:$I$88,3,0)*0.475*44/12</f>
        <v>4.8558091849375788E-22</v>
      </c>
      <c r="BS185" s="22">
        <f t="shared" si="169"/>
        <v>0.33629092596946736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projet'!$B$12,Paramètres!$A$1:$I$88,3,0)*VLOOKUP('Données projet'!$B$12,Paramètres!$A$1:$I$88,5,0)</f>
        <v>3.7243808037601412E-14</v>
      </c>
      <c r="CA185" s="13">
        <f t="shared" si="170"/>
        <v>6.2767589361185393E-13</v>
      </c>
      <c r="CB185" s="20">
        <f t="shared" si="171"/>
        <v>1.1580684803728015E-12</v>
      </c>
      <c r="CC185" s="59">
        <f t="shared" si="119"/>
        <v>293.33333333333445</v>
      </c>
      <c r="CD185" s="59">
        <f ca="1">AVERAGE(OFFSET($CC$3,0,0,'Données projet'!$E$12+1,1))-AVERAGE(OFFSET($H$3,0,0,'Données projet'!$E$12+1,1))</f>
        <v>180.90147430936133</v>
      </c>
      <c r="CE185" s="59">
        <f t="shared" si="148"/>
        <v>226.87949199830018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projet'!$B$12,Paramètres!$A$1:$I$88,7,0))</f>
        <v>0</v>
      </c>
      <c r="CI185" s="16">
        <f>IF(ISNA(VLOOKUP(A185,'Données projet'!$A$113:$I$133,6,0)),0%,VLOOKUP(A185,'Données projet'!$A$113:$I$133,6,0)*VLOOKUP('Données projet'!$B$12,Paramètres!$A$1:$I$88,7,0))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projet'!$B$12,Paramètres!$A$1:$I$88,3,0)*0.475*44/12</f>
        <v>0</v>
      </c>
      <c r="CL185" s="21">
        <f>EXP(-LN(2)/25)*CL184+(1-EXP(-LN(2)/25))/(LN(2)/25)*Calculateur!CG185*Calculateur!CI185*VLOOKUP('Données projet'!$B$12,Paramètres!$A$1:$I$88,3,0)*0.475*44/12</f>
        <v>0.10156128067827129</v>
      </c>
      <c r="CM185" s="21">
        <f>EXP(-LN(2)/2)*CM184+(1-EXP(-LN(2)/2))/(LN(2)/2)*CG185*CJ185*VLOOKUP('Données projet'!$B$12,Paramètres!$A$1:$I$88,3,0)*0.475*44/12</f>
        <v>1.1729367952207711E-22</v>
      </c>
      <c r="CN185" s="22">
        <f t="shared" si="172"/>
        <v>0.10156128067827129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5.6843418860808015E-14</v>
      </c>
      <c r="CU185" s="17">
        <f>CT185*VLOOKUP('Données projet'!$B$13,Paramètres!$A$1:$I$88,3,0)*VLOOKUP('Données projet'!$B$13,Paramètres!$A$1:$I$88,5,0)</f>
        <v>2.8908289095852525E-14</v>
      </c>
      <c r="CV185" s="13">
        <f t="shared" si="173"/>
        <v>5.0177780569126974E-13</v>
      </c>
      <c r="CW185" s="20">
        <f t="shared" si="174"/>
        <v>9.2427828175423786E-13</v>
      </c>
      <c r="CX185" s="59">
        <f t="shared" si="122"/>
        <v>293.33333333333422</v>
      </c>
      <c r="CY185" s="59">
        <f ca="1">AVERAGE(OFFSET($CX$3,0,0,'Données projet'!$E$13+1,1))-AVERAGE(OFFSET($H$3,0,0,'Données projet'!$E$13+1,1))</f>
        <v>133.08385802816008</v>
      </c>
      <c r="CZ185" s="59">
        <f t="shared" si="150"/>
        <v>316.59112511251385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projet'!$B$13,Paramètres!$A$1:$I$88,7,0))</f>
        <v>0</v>
      </c>
      <c r="DD185" s="16">
        <f>IF(ISNA(VLOOKUP(A185,'Données projet'!$A$139:$I$159,6,0)),0%,VLOOKUP(A185,'Données projet'!$A$139:$I$159,6,0)*VLOOKUP('Données projet'!$B$13,Paramètres!$A$1:$I$88,7,0))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projet'!$B$13,Paramètres!$A$1:$I$88,3,0)*0.475*44/12</f>
        <v>3.5583055532904639</v>
      </c>
      <c r="DG185" s="21">
        <f>EXP(-LN(2)/25)*DG184+(1-EXP(-LN(2)/25))/(LN(2)/25)*Calculateur!DB185*Calculateur!DD185*VLOOKUP('Données projet'!$B$13,Paramètres!$A$1:$I$88,3,0)*0.475*44/12</f>
        <v>0</v>
      </c>
      <c r="DH185" s="21">
        <f>EXP(-LN(2)/2)*DH184+(1-EXP(-LN(2)/2))/(LN(2)/2)*DB185*DE185*VLOOKUP('Données projet'!$B$13,Paramètres!$A$1:$I$88,3,0)*0.475*44/12</f>
        <v>7.4835409813246158E-23</v>
      </c>
      <c r="DI185" s="22">
        <f t="shared" si="175"/>
        <v>3.5583055532904639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projet'!$B$14,Paramètres!$A$1:$I$88,3,0)*VLOOKUP('Données projet'!$B$14,Paramètres!$A$1:$I$88,5,0)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projet'!$B$14,Paramètres!$A$1:$I$88,7,0))</f>
        <v>0</v>
      </c>
      <c r="DY185" s="16">
        <f>IF(ISNA(VLOOKUP(A185,'Données projet'!$A$165:$I$185,6,0)),0%,VLOOKUP(A185,'Données projet'!$A$165:$I$185,6,0)*VLOOKUP('Données projet'!$B$14,Paramètres!$A$1:$I$88,7,0))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projet'!$B$14,Paramètres!$A$1:$I$88,3,0)*0.475*44/12</f>
        <v>#N/A</v>
      </c>
      <c r="EB185" s="21" t="e">
        <f>EXP(-LN(2)/25)*EB184+(1-EXP(-LN(2)/25))/(LN(2)/25)*Calculateur!DW185*Calculateur!DY185*VLOOKUP('Données projet'!$B$14,Paramètres!$A$1:$I$88,3,0)*0.475*44/12</f>
        <v>#N/A</v>
      </c>
      <c r="EC185" s="21" t="e">
        <f>EXP(-LN(2)/2)*EC184+(1-EXP(-LN(2)/2))/(LN(2)/2)*DW185*DZ185*VLOOKUP('Données projet'!$B$14,Paramètres!$A$1:$I$88,3,0)*0.475*44/12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projet'!$B$15,Paramètres!$A$1:$I$88,3,0)*VLOOKUP('Données projet'!$B$15,Paramètres!$A$1:$I$88,5,0)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projet'!$B$15,Paramètres!$A$1:$I$88,7,0))</f>
        <v>0</v>
      </c>
      <c r="ET185" s="16">
        <f>IF(ISNA(VLOOKUP(A185,'Données projet'!$A$191:$I$211,6,0)),0%,VLOOKUP(A185,'Données projet'!$A$191:$I$211,6,0)*VLOOKUP('Données projet'!$B$15,Paramètres!$A$1:$I$88,7,0))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projet'!$B$15,Paramètres!$A$1:$I$88,3,0)*0.475*44/12</f>
        <v>#N/A</v>
      </c>
      <c r="EW185" s="21" t="e">
        <f>EXP(-LN(2)/25)*EW184+(1-EXP(-LN(2)/25))/(LN(2)/25)*Calculateur!ER185*Calculateur!ET185*VLOOKUP('Données projet'!$B$15,Paramètres!$A$1:$I$88,3,0)*0.475*44/12</f>
        <v>#N/A</v>
      </c>
      <c r="EX185" s="21" t="e">
        <f>EXP(-LN(2)/2)*EX184+(1-EXP(-LN(2)/2))/(LN(2)/2)*ER185*EU185*VLOOKUP('Données projet'!$B$15,Paramètres!$A$1:$I$88,3,0)*0.475*44/12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projet'!$B$16,Paramètres!$A$1:$I$88,3,0)*VLOOKUP('Données projet'!$B$16,Paramètres!$A$1:$I$88,5,0)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projet'!$B$16,Paramètres!$A$1:$I$88,7,0))</f>
        <v>0</v>
      </c>
      <c r="FO185" s="16">
        <f>IF(ISNA(VLOOKUP(A185,'Données projet'!$A$217:$I$237,6,0)),0%,VLOOKUP(A185,'Données projet'!$A$217:$I$237,6,0)*VLOOKUP('Données projet'!$B$16,Paramètres!$A$1:$I$88,7,0))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projet'!$B$16,Paramètres!$A$1:$I$88,3,0)*0.475*44/12</f>
        <v>#N/A</v>
      </c>
      <c r="FR185" s="21" t="e">
        <f>EXP(-LN(2)/25)*FR184+(1-EXP(-LN(2)/25))/(LN(2)/25)*Calculateur!FM185*Calculateur!FO185*VLOOKUP('Données projet'!$B$16,Paramètres!$A$1:$I$88,3,0)*0.475*44/12</f>
        <v>#N/A</v>
      </c>
      <c r="FS185" s="21" t="e">
        <f>EXP(-LN(2)/2)*FS184+(1-EXP(-LN(2)/2))/(LN(2)/2)*FM185*FP185*VLOOKUP('Données projet'!$B$16,Paramètres!$A$1:$I$88,3,0)*0.475*44/12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projet'!$B$17,Paramètres!$A$1:$I$88,3,0)*VLOOKUP('Données projet'!$B$17,Paramètres!$A$1:$I$88,5,0)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projet'!$B$17,Paramètres!$A$1:$I$88,7,0))</f>
        <v>0</v>
      </c>
      <c r="GJ185" s="16">
        <f>IF(ISNA(VLOOKUP(A185,'Données projet'!$A$243:$I$263,6,0)),0%,VLOOKUP(A185,'Données projet'!$A$243:$I$263,6,0)*VLOOKUP('Données projet'!$B$17,Paramètres!$A$1:$I$88,7,0))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projet'!$B$17,Paramètres!$A$1:$I$88,3,0)*0.475*44/12</f>
        <v>#N/A</v>
      </c>
      <c r="GM185" s="21" t="e">
        <f>EXP(-LN(2)/25)*GM184+(1-EXP(-LN(2)/25))/(LN(2)/25)*Calculateur!GH185*Calculateur!GJ185*VLOOKUP('Données projet'!$B$17,Paramètres!$A$1:$I$88,3,0)*0.475*44/12</f>
        <v>#N/A</v>
      </c>
      <c r="GN185" s="21" t="e">
        <f>EXP(-LN(2)/2)*GN184+(1-EXP(-LN(2)/2))/(LN(2)/2)*GH185*GK185*VLOOKUP('Données projet'!$B$17,Paramètres!$A$1:$I$88,3,0)*0.475*44/12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projet'!$B$18,Paramètres!$A$1:$I$88,3,0)*VLOOKUP('Données projet'!$B$18,Paramètres!$A$1:$I$88,5,0)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projet'!$B$18,Paramètres!$A$1:$I$88,7,0))</f>
        <v>0</v>
      </c>
      <c r="HE185" s="16">
        <f>IF(ISNA(VLOOKUP(A185,'Données projet'!$A$269:$I$289,6,0)),0%,VLOOKUP(A185,'Données projet'!$A$269:$I$289,6,0)*VLOOKUP('Données projet'!$B$18,Paramètres!$A$1:$I$88,7,0))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projet'!$B$18,Paramètres!$A$1:$I$88,3,0)*0.475*44/12</f>
        <v>#N/A</v>
      </c>
      <c r="HH185" s="21" t="e">
        <f>EXP(-LN(2)/25)*HH184+(1-EXP(-LN(2)/25))/(LN(2)/25)*Calculateur!HC185*Calculateur!HE185*VLOOKUP('Données projet'!$B$18,Paramètres!$A$1:$I$88,3,0)*0.475*44/12</f>
        <v>#N/A</v>
      </c>
      <c r="HI185" s="21" t="e">
        <f>EXP(-LN(2)/2)*HI184+(1-EXP(-LN(2)/2))/(LN(2)/2)*HC185*HF185*VLOOKUP('Données projet'!$B$18,Paramètres!$A$1:$I$88,3,0)*0.475*44/12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projet'!$B$9,Paramètres!$A$1:$I$88,3,0)*VLOOKUP('Données projet'!$B$9,Paramètres!$A$1:$I$88,5,0)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195.73441209602686</v>
      </c>
      <c r="T186" s="59">
        <f t="shared" si="142"/>
        <v>219.19129224309006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projet'!$B$9,Paramètres!$A$1:$I$88,7,0))</f>
        <v>0</v>
      </c>
      <c r="X186" s="16">
        <f>IF(ISNA(VLOOKUP(A186,'Données projet'!$A$35:$I$55,6,0)),0%,VLOOKUP(A186,'Données projet'!$A$35:$I$55,6,0)*VLOOKUP('Données projet'!$B$9,Paramètres!$A$1:$I$88,7,0))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projet'!$B$9,Paramètres!$A$1:$I$88,3,0)*0.475*44/12</f>
        <v>0.73689430886628848</v>
      </c>
      <c r="AA186" s="21">
        <f>EXP(-LN(2)/25)*AA185+(1-EXP(-LN(2)/25))/(LN(2)/25)*Calculateur!V186*Calculateur!X186*VLOOKUP('Données projet'!$B$9,Paramètres!$A$1:$I$88,3,0)*0.475*44/12</f>
        <v>0.20355771406162887</v>
      </c>
      <c r="AB186" s="21">
        <f>EXP(-LN(2)/2)*AB185+(1-EXP(-LN(2)/2))/(LN(2)/2)*V186*Y186*VLOOKUP('Données projet'!$B$9,Paramètres!$A$1:$I$88,3,0)*0.475*44/12</f>
        <v>3.7127298406944248E-25</v>
      </c>
      <c r="AC186" s="22">
        <f t="shared" si="163"/>
        <v>0.94045202292791741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-4.5474735088646412E-13</v>
      </c>
      <c r="AJ186" s="13">
        <f>AI186*VLOOKUP('Données projet'!$B$10,Paramètres!$A$1:$I$88,3,0)*VLOOKUP('Données projet'!$B$10,Paramètres!$A$1:$I$88,5,0)</f>
        <v>-2.7193891583010558E-13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246.59447135626942</v>
      </c>
      <c r="AO186" s="59">
        <f t="shared" si="144"/>
        <v>262.00382544285367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projet'!$B$10,Paramètres!$A$1:$I$88,7,0))</f>
        <v>0</v>
      </c>
      <c r="AS186" s="16">
        <f>IF(ISNA(VLOOKUP(A186,'Données projet'!$A$61:$I$81,6,0)),0%,VLOOKUP(A186,'Données projet'!$A$61:$I$81,6,0)*VLOOKUP('Données projet'!$B$10,Paramètres!$A$1:$I$88,7,0))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projet'!$B$10,Paramètres!$A$1:$I$88,3,0)*0.475*44/12</f>
        <v>0</v>
      </c>
      <c r="AV186" s="21">
        <f>EXP(-LN(2)/25)*AV185+(1-EXP(-LN(2)/25))/(LN(2)/25)*Calculateur!AQ186*Calculateur!AS186*VLOOKUP('Données projet'!$B$10,Paramètres!$A$1:$I$88,3,0)*0.475*44/12</f>
        <v>0.18474583812557688</v>
      </c>
      <c r="AW186" s="21">
        <f>EXP(-LN(2)/2)*AW185+(1-EXP(-LN(2)/2))/(LN(2)/2)*AQ186*AT186*VLOOKUP('Données projet'!$B$10,Paramètres!$A$1:$I$88,3,0)*0.475*44/12</f>
        <v>2.2207074753806914E-22</v>
      </c>
      <c r="AX186" s="21">
        <f t="shared" si="166"/>
        <v>0.18474583812557688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-5.6843418860808015E-13</v>
      </c>
      <c r="BE186" s="13">
        <f>BD186*VLOOKUP('Données projet'!$B$11,Paramètres!$A$1:$I$88,3,0)*VLOOKUP('Données projet'!$B$11,Paramètres!$A$1:$I$88,5,0)</f>
        <v>-3.177547114319168E-13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355.96253323046608</v>
      </c>
      <c r="BJ186" s="59">
        <f t="shared" si="146"/>
        <v>366.8380442809696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projet'!$B$11,Paramètres!$A$1:$I$88,7,0))</f>
        <v>0</v>
      </c>
      <c r="BN186" s="16">
        <f>IF(ISNA(VLOOKUP(A186,'Données projet'!$A$87:$I$107,6,0)),0%,VLOOKUP(A186,'Données projet'!$A$87:$I$107,6,0)*VLOOKUP('Données projet'!$B$11,Paramètres!$A$1:$I$88,7,0))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projet'!$B$11,Paramètres!$A$1:$I$88,3,0)*0.475*44/12</f>
        <v>0</v>
      </c>
      <c r="BQ186" s="21">
        <f>EXP(-LN(2)/25)*BQ185+(1-EXP(-LN(2)/25))/(LN(2)/25)*Calculateur!BL186*Calculateur!BN186*VLOOKUP('Données projet'!$B$11,Paramètres!$A$1:$I$88,3,0)*0.475*44/12</f>
        <v>0.32709503291406106</v>
      </c>
      <c r="BR186" s="21">
        <f>EXP(-LN(2)/2)*BR185+(1-EXP(-LN(2)/2))/(LN(2)/2)*BL186*BO186*VLOOKUP('Données projet'!$B$11,Paramètres!$A$1:$I$88,3,0)*0.475*44/12</f>
        <v>3.4335756028172843E-22</v>
      </c>
      <c r="BS186" s="22">
        <f t="shared" si="169"/>
        <v>0.32709503291406106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projet'!$B$12,Paramètres!$A$1:$I$88,3,0)*VLOOKUP('Données projet'!$B$12,Paramètres!$A$1:$I$88,5,0)</f>
        <v>3.7243808037601412E-14</v>
      </c>
      <c r="CA186" s="13">
        <f t="shared" si="170"/>
        <v>6.2767589361185393E-13</v>
      </c>
      <c r="CB186" s="20">
        <f t="shared" si="171"/>
        <v>1.1580684803728015E-12</v>
      </c>
      <c r="CC186" s="59">
        <f t="shared" si="119"/>
        <v>293.33333333333445</v>
      </c>
      <c r="CD186" s="59">
        <f ca="1">AVERAGE(OFFSET($CC$3,0,0,'Données projet'!$E$12+1,1))-AVERAGE(OFFSET($H$3,0,0,'Données projet'!$E$12+1,1))</f>
        <v>180.90147430936133</v>
      </c>
      <c r="CE186" s="59">
        <f t="shared" si="148"/>
        <v>226.87949199830018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projet'!$B$12,Paramètres!$A$1:$I$88,7,0))</f>
        <v>0</v>
      </c>
      <c r="CI186" s="16">
        <f>IF(ISNA(VLOOKUP(A186,'Données projet'!$A$113:$I$133,6,0)),0%,VLOOKUP(A186,'Données projet'!$A$113:$I$133,6,0)*VLOOKUP('Données projet'!$B$12,Paramètres!$A$1:$I$88,7,0))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projet'!$B$12,Paramètres!$A$1:$I$88,3,0)*0.475*44/12</f>
        <v>0</v>
      </c>
      <c r="CL186" s="21">
        <f>EXP(-LN(2)/25)*CL185+(1-EXP(-LN(2)/25))/(LN(2)/25)*Calculateur!CG186*Calculateur!CI186*VLOOKUP('Données projet'!$B$12,Paramètres!$A$1:$I$88,3,0)*0.475*44/12</f>
        <v>9.8784082117248331E-2</v>
      </c>
      <c r="CM186" s="21">
        <f>EXP(-LN(2)/2)*CM185+(1-EXP(-LN(2)/2))/(LN(2)/2)*CG186*CJ186*VLOOKUP('Données projet'!$B$12,Paramètres!$A$1:$I$88,3,0)*0.475*44/12</f>
        <v>8.2939156180382409E-23</v>
      </c>
      <c r="CN186" s="22">
        <f t="shared" si="172"/>
        <v>9.8784082117248331E-2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5.6843418860808015E-14</v>
      </c>
      <c r="CU186" s="17">
        <f>CT186*VLOOKUP('Données projet'!$B$13,Paramètres!$A$1:$I$88,3,0)*VLOOKUP('Données projet'!$B$13,Paramètres!$A$1:$I$88,5,0)</f>
        <v>2.8908289095852525E-14</v>
      </c>
      <c r="CV186" s="13">
        <f t="shared" si="173"/>
        <v>5.0177780569126974E-13</v>
      </c>
      <c r="CW186" s="20">
        <f t="shared" si="174"/>
        <v>9.2427828175423786E-13</v>
      </c>
      <c r="CX186" s="59">
        <f t="shared" si="122"/>
        <v>293.33333333333422</v>
      </c>
      <c r="CY186" s="59">
        <f ca="1">AVERAGE(OFFSET($CX$3,0,0,'Données projet'!$E$13+1,1))-AVERAGE(OFFSET($H$3,0,0,'Données projet'!$E$13+1,1))</f>
        <v>133.08385802816008</v>
      </c>
      <c r="CZ186" s="59">
        <f t="shared" si="150"/>
        <v>316.59112511251385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projet'!$B$13,Paramètres!$A$1:$I$88,7,0))</f>
        <v>0</v>
      </c>
      <c r="DD186" s="16">
        <f>IF(ISNA(VLOOKUP(A186,'Données projet'!$A$139:$I$159,6,0)),0%,VLOOKUP(A186,'Données projet'!$A$139:$I$159,6,0)*VLOOKUP('Données projet'!$B$13,Paramètres!$A$1:$I$88,7,0))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projet'!$B$13,Paramètres!$A$1:$I$88,3,0)*0.475*44/12</f>
        <v>3.4885293517425211</v>
      </c>
      <c r="DG186" s="21">
        <f>EXP(-LN(2)/25)*DG185+(1-EXP(-LN(2)/25))/(LN(2)/25)*Calculateur!DB186*Calculateur!DD186*VLOOKUP('Données projet'!$B$13,Paramètres!$A$1:$I$88,3,0)*0.475*44/12</f>
        <v>0</v>
      </c>
      <c r="DH186" s="21">
        <f>EXP(-LN(2)/2)*DH185+(1-EXP(-LN(2)/2))/(LN(2)/2)*DB186*DE186*VLOOKUP('Données projet'!$B$13,Paramètres!$A$1:$I$88,3,0)*0.475*44/12</f>
        <v>5.2916625751820663E-23</v>
      </c>
      <c r="DI186" s="22">
        <f t="shared" si="175"/>
        <v>3.4885293517425211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projet'!$B$14,Paramètres!$A$1:$I$88,3,0)*VLOOKUP('Données projet'!$B$14,Paramètres!$A$1:$I$88,5,0)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projet'!$B$14,Paramètres!$A$1:$I$88,7,0))</f>
        <v>0</v>
      </c>
      <c r="DY186" s="16">
        <f>IF(ISNA(VLOOKUP(A186,'Données projet'!$A$165:$I$185,6,0)),0%,VLOOKUP(A186,'Données projet'!$A$165:$I$185,6,0)*VLOOKUP('Données projet'!$B$14,Paramètres!$A$1:$I$88,7,0))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projet'!$B$14,Paramètres!$A$1:$I$88,3,0)*0.475*44/12</f>
        <v>#N/A</v>
      </c>
      <c r="EB186" s="21" t="e">
        <f>EXP(-LN(2)/25)*EB185+(1-EXP(-LN(2)/25))/(LN(2)/25)*Calculateur!DW186*Calculateur!DY186*VLOOKUP('Données projet'!$B$14,Paramètres!$A$1:$I$88,3,0)*0.475*44/12</f>
        <v>#N/A</v>
      </c>
      <c r="EC186" s="21" t="e">
        <f>EXP(-LN(2)/2)*EC185+(1-EXP(-LN(2)/2))/(LN(2)/2)*DW186*DZ186*VLOOKUP('Données projet'!$B$14,Paramètres!$A$1:$I$88,3,0)*0.475*44/12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projet'!$B$15,Paramètres!$A$1:$I$88,3,0)*VLOOKUP('Données projet'!$B$15,Paramètres!$A$1:$I$88,5,0)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projet'!$B$15,Paramètres!$A$1:$I$88,7,0))</f>
        <v>0</v>
      </c>
      <c r="ET186" s="16">
        <f>IF(ISNA(VLOOKUP(A186,'Données projet'!$A$191:$I$211,6,0)),0%,VLOOKUP(A186,'Données projet'!$A$191:$I$211,6,0)*VLOOKUP('Données projet'!$B$15,Paramètres!$A$1:$I$88,7,0))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projet'!$B$15,Paramètres!$A$1:$I$88,3,0)*0.475*44/12</f>
        <v>#N/A</v>
      </c>
      <c r="EW186" s="21" t="e">
        <f>EXP(-LN(2)/25)*EW185+(1-EXP(-LN(2)/25))/(LN(2)/25)*Calculateur!ER186*Calculateur!ET186*VLOOKUP('Données projet'!$B$15,Paramètres!$A$1:$I$88,3,0)*0.475*44/12</f>
        <v>#N/A</v>
      </c>
      <c r="EX186" s="21" t="e">
        <f>EXP(-LN(2)/2)*EX185+(1-EXP(-LN(2)/2))/(LN(2)/2)*ER186*EU186*VLOOKUP('Données projet'!$B$15,Paramètres!$A$1:$I$88,3,0)*0.475*44/12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projet'!$B$16,Paramètres!$A$1:$I$88,3,0)*VLOOKUP('Données projet'!$B$16,Paramètres!$A$1:$I$88,5,0)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projet'!$B$16,Paramètres!$A$1:$I$88,7,0))</f>
        <v>0</v>
      </c>
      <c r="FO186" s="16">
        <f>IF(ISNA(VLOOKUP(A186,'Données projet'!$A$217:$I$237,6,0)),0%,VLOOKUP(A186,'Données projet'!$A$217:$I$237,6,0)*VLOOKUP('Données projet'!$B$16,Paramètres!$A$1:$I$88,7,0))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projet'!$B$16,Paramètres!$A$1:$I$88,3,0)*0.475*44/12</f>
        <v>#N/A</v>
      </c>
      <c r="FR186" s="21" t="e">
        <f>EXP(-LN(2)/25)*FR185+(1-EXP(-LN(2)/25))/(LN(2)/25)*Calculateur!FM186*Calculateur!FO186*VLOOKUP('Données projet'!$B$16,Paramètres!$A$1:$I$88,3,0)*0.475*44/12</f>
        <v>#N/A</v>
      </c>
      <c r="FS186" s="21" t="e">
        <f>EXP(-LN(2)/2)*FS185+(1-EXP(-LN(2)/2))/(LN(2)/2)*FM186*FP186*VLOOKUP('Données projet'!$B$16,Paramètres!$A$1:$I$88,3,0)*0.475*44/12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projet'!$B$17,Paramètres!$A$1:$I$88,3,0)*VLOOKUP('Données projet'!$B$17,Paramètres!$A$1:$I$88,5,0)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projet'!$B$17,Paramètres!$A$1:$I$88,7,0))</f>
        <v>0</v>
      </c>
      <c r="GJ186" s="16">
        <f>IF(ISNA(VLOOKUP(A186,'Données projet'!$A$243:$I$263,6,0)),0%,VLOOKUP(A186,'Données projet'!$A$243:$I$263,6,0)*VLOOKUP('Données projet'!$B$17,Paramètres!$A$1:$I$88,7,0))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projet'!$B$17,Paramètres!$A$1:$I$88,3,0)*0.475*44/12</f>
        <v>#N/A</v>
      </c>
      <c r="GM186" s="21" t="e">
        <f>EXP(-LN(2)/25)*GM185+(1-EXP(-LN(2)/25))/(LN(2)/25)*Calculateur!GH186*Calculateur!GJ186*VLOOKUP('Données projet'!$B$17,Paramètres!$A$1:$I$88,3,0)*0.475*44/12</f>
        <v>#N/A</v>
      </c>
      <c r="GN186" s="21" t="e">
        <f>EXP(-LN(2)/2)*GN185+(1-EXP(-LN(2)/2))/(LN(2)/2)*GH186*GK186*VLOOKUP('Données projet'!$B$17,Paramètres!$A$1:$I$88,3,0)*0.475*44/12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projet'!$B$18,Paramètres!$A$1:$I$88,3,0)*VLOOKUP('Données projet'!$B$18,Paramètres!$A$1:$I$88,5,0)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projet'!$B$18,Paramètres!$A$1:$I$88,7,0))</f>
        <v>0</v>
      </c>
      <c r="HE186" s="16">
        <f>IF(ISNA(VLOOKUP(A186,'Données projet'!$A$269:$I$289,6,0)),0%,VLOOKUP(A186,'Données projet'!$A$269:$I$289,6,0)*VLOOKUP('Données projet'!$B$18,Paramètres!$A$1:$I$88,7,0))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projet'!$B$18,Paramètres!$A$1:$I$88,3,0)*0.475*44/12</f>
        <v>#N/A</v>
      </c>
      <c r="HH186" s="21" t="e">
        <f>EXP(-LN(2)/25)*HH185+(1-EXP(-LN(2)/25))/(LN(2)/25)*Calculateur!HC186*Calculateur!HE186*VLOOKUP('Données projet'!$B$18,Paramètres!$A$1:$I$88,3,0)*0.475*44/12</f>
        <v>#N/A</v>
      </c>
      <c r="HI186" s="21" t="e">
        <f>EXP(-LN(2)/2)*HI185+(1-EXP(-LN(2)/2))/(LN(2)/2)*HC186*HF186*VLOOKUP('Données projet'!$B$18,Paramètres!$A$1:$I$88,3,0)*0.475*44/12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projet'!$B$9,Paramètres!$A$1:$I$88,3,0)*VLOOKUP('Données projet'!$B$9,Paramètres!$A$1:$I$88,5,0)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195.73441209602686</v>
      </c>
      <c r="T187" s="59">
        <f t="shared" si="142"/>
        <v>219.19129224309006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projet'!$B$9,Paramètres!$A$1:$I$88,7,0))</f>
        <v>0</v>
      </c>
      <c r="X187" s="16">
        <f>IF(ISNA(VLOOKUP(A187,'Données projet'!$A$35:$I$55,6,0)),0%,VLOOKUP(A187,'Données projet'!$A$35:$I$55,6,0)*VLOOKUP('Données projet'!$B$9,Paramètres!$A$1:$I$88,7,0))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projet'!$B$9,Paramètres!$A$1:$I$88,3,0)*0.475*44/12</f>
        <v>0.72244426093056835</v>
      </c>
      <c r="AA187" s="21">
        <f>EXP(-LN(2)/25)*AA186+(1-EXP(-LN(2)/25))/(LN(2)/25)*Calculateur!V187*Calculateur!X187*VLOOKUP('Données projet'!$B$9,Paramètres!$A$1:$I$88,3,0)*0.475*44/12</f>
        <v>0.19799141766597869</v>
      </c>
      <c r="AB187" s="21">
        <f>EXP(-LN(2)/2)*AB186+(1-EXP(-LN(2)/2))/(LN(2)/2)*V187*Y187*VLOOKUP('Données projet'!$B$9,Paramètres!$A$1:$I$88,3,0)*0.475*44/12</f>
        <v>2.625296447068678E-25</v>
      </c>
      <c r="AC187" s="22">
        <f t="shared" si="163"/>
        <v>0.92043567859654707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-4.5474735088646412E-13</v>
      </c>
      <c r="AJ187" s="13">
        <f>AI187*VLOOKUP('Données projet'!$B$10,Paramètres!$A$1:$I$88,3,0)*VLOOKUP('Données projet'!$B$10,Paramètres!$A$1:$I$88,5,0)</f>
        <v>-2.7193891583010558E-13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246.59447135626942</v>
      </c>
      <c r="AO187" s="59">
        <f t="shared" si="144"/>
        <v>262.00382544285367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projet'!$B$10,Paramètres!$A$1:$I$88,7,0))</f>
        <v>0</v>
      </c>
      <c r="AS187" s="16">
        <f>IF(ISNA(VLOOKUP(A187,'Données projet'!$A$61:$I$81,6,0)),0%,VLOOKUP(A187,'Données projet'!$A$61:$I$81,6,0)*VLOOKUP('Données projet'!$B$10,Paramètres!$A$1:$I$88,7,0))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projet'!$B$10,Paramètres!$A$1:$I$88,3,0)*0.475*44/12</f>
        <v>0</v>
      </c>
      <c r="AV187" s="21">
        <f>EXP(-LN(2)/25)*AV186+(1-EXP(-LN(2)/25))/(LN(2)/25)*Calculateur!AQ187*Calculateur!AS187*VLOOKUP('Données projet'!$B$10,Paramètres!$A$1:$I$88,3,0)*0.475*44/12</f>
        <v>0.17969395346667158</v>
      </c>
      <c r="AW187" s="21">
        <f>EXP(-LN(2)/2)*AW186+(1-EXP(-LN(2)/2))/(LN(2)/2)*AQ187*AT187*VLOOKUP('Données projet'!$B$10,Paramètres!$A$1:$I$88,3,0)*0.475*44/12</f>
        <v>1.570277314873345E-22</v>
      </c>
      <c r="AX187" s="21">
        <f t="shared" si="166"/>
        <v>0.17969395346667158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-5.6843418860808015E-13</v>
      </c>
      <c r="BE187" s="13">
        <f>BD187*VLOOKUP('Données projet'!$B$11,Paramètres!$A$1:$I$88,3,0)*VLOOKUP('Données projet'!$B$11,Paramètres!$A$1:$I$88,5,0)</f>
        <v>-3.177547114319168E-13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355.96253323046608</v>
      </c>
      <c r="BJ187" s="59">
        <f t="shared" si="146"/>
        <v>366.8380442809696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projet'!$B$11,Paramètres!$A$1:$I$88,7,0))</f>
        <v>0</v>
      </c>
      <c r="BN187" s="16">
        <f>IF(ISNA(VLOOKUP(A187,'Données projet'!$A$87:$I$107,6,0)),0%,VLOOKUP(A187,'Données projet'!$A$87:$I$107,6,0)*VLOOKUP('Données projet'!$B$11,Paramètres!$A$1:$I$88,7,0))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projet'!$B$11,Paramètres!$A$1:$I$88,3,0)*0.475*44/12</f>
        <v>0</v>
      </c>
      <c r="BQ187" s="21">
        <f>EXP(-LN(2)/25)*BQ186+(1-EXP(-LN(2)/25))/(LN(2)/25)*Calculateur!BL187*Calculateur!BN187*VLOOKUP('Données projet'!$B$11,Paramètres!$A$1:$I$88,3,0)*0.475*44/12</f>
        <v>0.31815060203784584</v>
      </c>
      <c r="BR187" s="21">
        <f>EXP(-LN(2)/2)*BR186+(1-EXP(-LN(2)/2))/(LN(2)/2)*BL187*BO187*VLOOKUP('Données projet'!$B$11,Paramètres!$A$1:$I$88,3,0)*0.475*44/12</f>
        <v>2.4279045924687894E-22</v>
      </c>
      <c r="BS187" s="22">
        <f t="shared" si="169"/>
        <v>0.31815060203784584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projet'!$B$12,Paramètres!$A$1:$I$88,3,0)*VLOOKUP('Données projet'!$B$12,Paramètres!$A$1:$I$88,5,0)</f>
        <v>3.7243808037601412E-14</v>
      </c>
      <c r="CA187" s="13">
        <f t="shared" si="170"/>
        <v>6.2767589361185393E-13</v>
      </c>
      <c r="CB187" s="20">
        <f t="shared" si="171"/>
        <v>1.1580684803728015E-12</v>
      </c>
      <c r="CC187" s="59">
        <f t="shared" si="119"/>
        <v>293.33333333333445</v>
      </c>
      <c r="CD187" s="59">
        <f ca="1">AVERAGE(OFFSET($CC$3,0,0,'Données projet'!$E$12+1,1))-AVERAGE(OFFSET($H$3,0,0,'Données projet'!$E$12+1,1))</f>
        <v>180.90147430936133</v>
      </c>
      <c r="CE187" s="59">
        <f t="shared" si="148"/>
        <v>226.87949199830018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projet'!$B$12,Paramètres!$A$1:$I$88,7,0))</f>
        <v>0</v>
      </c>
      <c r="CI187" s="16">
        <f>IF(ISNA(VLOOKUP(A187,'Données projet'!$A$113:$I$133,6,0)),0%,VLOOKUP(A187,'Données projet'!$A$113:$I$133,6,0)*VLOOKUP('Données projet'!$B$12,Paramètres!$A$1:$I$88,7,0))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projet'!$B$12,Paramètres!$A$1:$I$88,3,0)*0.475*44/12</f>
        <v>0</v>
      </c>
      <c r="CL187" s="21">
        <f>EXP(-LN(2)/25)*CL186+(1-EXP(-LN(2)/25))/(LN(2)/25)*Calculateur!CG187*Calculateur!CI187*VLOOKUP('Données projet'!$B$12,Paramètres!$A$1:$I$88,3,0)*0.475*44/12</f>
        <v>9.6082826196923071E-2</v>
      </c>
      <c r="CM187" s="21">
        <f>EXP(-LN(2)/2)*CM186+(1-EXP(-LN(2)/2))/(LN(2)/2)*CG187*CJ187*VLOOKUP('Données projet'!$B$12,Paramètres!$A$1:$I$88,3,0)*0.475*44/12</f>
        <v>5.8646839761038553E-23</v>
      </c>
      <c r="CN187" s="22">
        <f t="shared" si="172"/>
        <v>9.6082826196923071E-2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5.6843418860808015E-14</v>
      </c>
      <c r="CU187" s="17">
        <f>CT187*VLOOKUP('Données projet'!$B$13,Paramètres!$A$1:$I$88,3,0)*VLOOKUP('Données projet'!$B$13,Paramètres!$A$1:$I$88,5,0)</f>
        <v>2.8908289095852525E-14</v>
      </c>
      <c r="CV187" s="13">
        <f t="shared" si="173"/>
        <v>5.0177780569126974E-13</v>
      </c>
      <c r="CW187" s="20">
        <f t="shared" si="174"/>
        <v>9.2427828175423786E-13</v>
      </c>
      <c r="CX187" s="59">
        <f t="shared" si="122"/>
        <v>293.33333333333422</v>
      </c>
      <c r="CY187" s="59">
        <f ca="1">AVERAGE(OFFSET($CX$3,0,0,'Données projet'!$E$13+1,1))-AVERAGE(OFFSET($H$3,0,0,'Données projet'!$E$13+1,1))</f>
        <v>133.08385802816008</v>
      </c>
      <c r="CZ187" s="59">
        <f t="shared" si="150"/>
        <v>316.59112511251385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projet'!$B$13,Paramètres!$A$1:$I$88,7,0))</f>
        <v>0</v>
      </c>
      <c r="DD187" s="16">
        <f>IF(ISNA(VLOOKUP(A187,'Données projet'!$A$139:$I$159,6,0)),0%,VLOOKUP(A187,'Données projet'!$A$139:$I$159,6,0)*VLOOKUP('Données projet'!$B$13,Paramètres!$A$1:$I$88,7,0))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projet'!$B$13,Paramètres!$A$1:$I$88,3,0)*0.475*44/12</f>
        <v>3.4201214189476525</v>
      </c>
      <c r="DG187" s="21">
        <f>EXP(-LN(2)/25)*DG186+(1-EXP(-LN(2)/25))/(LN(2)/25)*Calculateur!DB187*Calculateur!DD187*VLOOKUP('Données projet'!$B$13,Paramètres!$A$1:$I$88,3,0)*0.475*44/12</f>
        <v>0</v>
      </c>
      <c r="DH187" s="21">
        <f>EXP(-LN(2)/2)*DH186+(1-EXP(-LN(2)/2))/(LN(2)/2)*DB187*DE187*VLOOKUP('Données projet'!$B$13,Paramètres!$A$1:$I$88,3,0)*0.475*44/12</f>
        <v>3.7417704906623085E-23</v>
      </c>
      <c r="DI187" s="22">
        <f t="shared" si="175"/>
        <v>3.4201214189476525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projet'!$B$14,Paramètres!$A$1:$I$88,3,0)*VLOOKUP('Données projet'!$B$14,Paramètres!$A$1:$I$88,5,0)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projet'!$B$14,Paramètres!$A$1:$I$88,7,0))</f>
        <v>0</v>
      </c>
      <c r="DY187" s="16">
        <f>IF(ISNA(VLOOKUP(A187,'Données projet'!$A$165:$I$185,6,0)),0%,VLOOKUP(A187,'Données projet'!$A$165:$I$185,6,0)*VLOOKUP('Données projet'!$B$14,Paramètres!$A$1:$I$88,7,0))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projet'!$B$14,Paramètres!$A$1:$I$88,3,0)*0.475*44/12</f>
        <v>#N/A</v>
      </c>
      <c r="EB187" s="21" t="e">
        <f>EXP(-LN(2)/25)*EB186+(1-EXP(-LN(2)/25))/(LN(2)/25)*Calculateur!DW187*Calculateur!DY187*VLOOKUP('Données projet'!$B$14,Paramètres!$A$1:$I$88,3,0)*0.475*44/12</f>
        <v>#N/A</v>
      </c>
      <c r="EC187" s="21" t="e">
        <f>EXP(-LN(2)/2)*EC186+(1-EXP(-LN(2)/2))/(LN(2)/2)*DW187*DZ187*VLOOKUP('Données projet'!$B$14,Paramètres!$A$1:$I$88,3,0)*0.475*44/12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projet'!$B$15,Paramètres!$A$1:$I$88,3,0)*VLOOKUP('Données projet'!$B$15,Paramètres!$A$1:$I$88,5,0)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projet'!$B$15,Paramètres!$A$1:$I$88,7,0))</f>
        <v>0</v>
      </c>
      <c r="ET187" s="16">
        <f>IF(ISNA(VLOOKUP(A187,'Données projet'!$A$191:$I$211,6,0)),0%,VLOOKUP(A187,'Données projet'!$A$191:$I$211,6,0)*VLOOKUP('Données projet'!$B$15,Paramètres!$A$1:$I$88,7,0))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projet'!$B$15,Paramètres!$A$1:$I$88,3,0)*0.475*44/12</f>
        <v>#N/A</v>
      </c>
      <c r="EW187" s="21" t="e">
        <f>EXP(-LN(2)/25)*EW186+(1-EXP(-LN(2)/25))/(LN(2)/25)*Calculateur!ER187*Calculateur!ET187*VLOOKUP('Données projet'!$B$15,Paramètres!$A$1:$I$88,3,0)*0.475*44/12</f>
        <v>#N/A</v>
      </c>
      <c r="EX187" s="21" t="e">
        <f>EXP(-LN(2)/2)*EX186+(1-EXP(-LN(2)/2))/(LN(2)/2)*ER187*EU187*VLOOKUP('Données projet'!$B$15,Paramètres!$A$1:$I$88,3,0)*0.475*44/12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projet'!$B$16,Paramètres!$A$1:$I$88,3,0)*VLOOKUP('Données projet'!$B$16,Paramètres!$A$1:$I$88,5,0)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projet'!$B$16,Paramètres!$A$1:$I$88,7,0))</f>
        <v>0</v>
      </c>
      <c r="FO187" s="16">
        <f>IF(ISNA(VLOOKUP(A187,'Données projet'!$A$217:$I$237,6,0)),0%,VLOOKUP(A187,'Données projet'!$A$217:$I$237,6,0)*VLOOKUP('Données projet'!$B$16,Paramètres!$A$1:$I$88,7,0))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projet'!$B$16,Paramètres!$A$1:$I$88,3,0)*0.475*44/12</f>
        <v>#N/A</v>
      </c>
      <c r="FR187" s="21" t="e">
        <f>EXP(-LN(2)/25)*FR186+(1-EXP(-LN(2)/25))/(LN(2)/25)*Calculateur!FM187*Calculateur!FO187*VLOOKUP('Données projet'!$B$16,Paramètres!$A$1:$I$88,3,0)*0.475*44/12</f>
        <v>#N/A</v>
      </c>
      <c r="FS187" s="21" t="e">
        <f>EXP(-LN(2)/2)*FS186+(1-EXP(-LN(2)/2))/(LN(2)/2)*FM187*FP187*VLOOKUP('Données projet'!$B$16,Paramètres!$A$1:$I$88,3,0)*0.475*44/12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projet'!$B$17,Paramètres!$A$1:$I$88,3,0)*VLOOKUP('Données projet'!$B$17,Paramètres!$A$1:$I$88,5,0)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projet'!$B$17,Paramètres!$A$1:$I$88,7,0))</f>
        <v>0</v>
      </c>
      <c r="GJ187" s="16">
        <f>IF(ISNA(VLOOKUP(A187,'Données projet'!$A$243:$I$263,6,0)),0%,VLOOKUP(A187,'Données projet'!$A$243:$I$263,6,0)*VLOOKUP('Données projet'!$B$17,Paramètres!$A$1:$I$88,7,0))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projet'!$B$17,Paramètres!$A$1:$I$88,3,0)*0.475*44/12</f>
        <v>#N/A</v>
      </c>
      <c r="GM187" s="21" t="e">
        <f>EXP(-LN(2)/25)*GM186+(1-EXP(-LN(2)/25))/(LN(2)/25)*Calculateur!GH187*Calculateur!GJ187*VLOOKUP('Données projet'!$B$17,Paramètres!$A$1:$I$88,3,0)*0.475*44/12</f>
        <v>#N/A</v>
      </c>
      <c r="GN187" s="21" t="e">
        <f>EXP(-LN(2)/2)*GN186+(1-EXP(-LN(2)/2))/(LN(2)/2)*GH187*GK187*VLOOKUP('Données projet'!$B$17,Paramètres!$A$1:$I$88,3,0)*0.475*44/12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projet'!$B$18,Paramètres!$A$1:$I$88,3,0)*VLOOKUP('Données projet'!$B$18,Paramètres!$A$1:$I$88,5,0)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projet'!$B$18,Paramètres!$A$1:$I$88,7,0))</f>
        <v>0</v>
      </c>
      <c r="HE187" s="16">
        <f>IF(ISNA(VLOOKUP(A187,'Données projet'!$A$269:$I$289,6,0)),0%,VLOOKUP(A187,'Données projet'!$A$269:$I$289,6,0)*VLOOKUP('Données projet'!$B$18,Paramètres!$A$1:$I$88,7,0))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projet'!$B$18,Paramètres!$A$1:$I$88,3,0)*0.475*44/12</f>
        <v>#N/A</v>
      </c>
      <c r="HH187" s="21" t="e">
        <f>EXP(-LN(2)/25)*HH186+(1-EXP(-LN(2)/25))/(LN(2)/25)*Calculateur!HC187*Calculateur!HE187*VLOOKUP('Données projet'!$B$18,Paramètres!$A$1:$I$88,3,0)*0.475*44/12</f>
        <v>#N/A</v>
      </c>
      <c r="HI187" s="21" t="e">
        <f>EXP(-LN(2)/2)*HI186+(1-EXP(-LN(2)/2))/(LN(2)/2)*HC187*HF187*VLOOKUP('Données projet'!$B$18,Paramètres!$A$1:$I$88,3,0)*0.475*44/12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projet'!$B$9,Paramètres!$A$1:$I$88,3,0)*VLOOKUP('Données projet'!$B$9,Paramètres!$A$1:$I$88,5,0)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195.73441209602686</v>
      </c>
      <c r="T188" s="59">
        <f t="shared" si="142"/>
        <v>219.19129224309006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projet'!$B$9,Paramètres!$A$1:$I$88,7,0))</f>
        <v>0</v>
      </c>
      <c r="X188" s="16">
        <f>IF(ISNA(VLOOKUP(A188,'Données projet'!$A$35:$I$55,6,0)),0%,VLOOKUP(A188,'Données projet'!$A$35:$I$55,6,0)*VLOOKUP('Données projet'!$B$9,Paramètres!$A$1:$I$88,7,0))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projet'!$B$9,Paramètres!$A$1:$I$88,3,0)*0.475*44/12</f>
        <v>0.70827756962120869</v>
      </c>
      <c r="AA188" s="21">
        <f>EXP(-LN(2)/25)*AA187+(1-EXP(-LN(2)/25))/(LN(2)/25)*Calculateur!V188*Calculateur!X188*VLOOKUP('Données projet'!$B$9,Paramètres!$A$1:$I$88,3,0)*0.475*44/12</f>
        <v>0.19257733193798637</v>
      </c>
      <c r="AB188" s="21">
        <f>EXP(-LN(2)/2)*AB187+(1-EXP(-LN(2)/2))/(LN(2)/2)*V188*Y188*VLOOKUP('Données projet'!$B$9,Paramètres!$A$1:$I$88,3,0)*0.475*44/12</f>
        <v>1.8563649203472124E-25</v>
      </c>
      <c r="AC188" s="22">
        <f t="shared" si="163"/>
        <v>0.90085490155919512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-4.5474735088646412E-13</v>
      </c>
      <c r="AJ188" s="13">
        <f>AI188*VLOOKUP('Données projet'!$B$10,Paramètres!$A$1:$I$88,3,0)*VLOOKUP('Données projet'!$B$10,Paramètres!$A$1:$I$88,5,0)</f>
        <v>-2.7193891583010558E-13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246.59447135626942</v>
      </c>
      <c r="AO188" s="59">
        <f t="shared" si="144"/>
        <v>262.00382544285367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projet'!$B$10,Paramètres!$A$1:$I$88,7,0))</f>
        <v>0</v>
      </c>
      <c r="AS188" s="16">
        <f>IF(ISNA(VLOOKUP(A188,'Données projet'!$A$61:$I$81,6,0)),0%,VLOOKUP(A188,'Données projet'!$A$61:$I$81,6,0)*VLOOKUP('Données projet'!$B$10,Paramètres!$A$1:$I$88,7,0))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projet'!$B$10,Paramètres!$A$1:$I$88,3,0)*0.475*44/12</f>
        <v>0</v>
      </c>
      <c r="AV188" s="21">
        <f>EXP(-LN(2)/25)*AV187+(1-EXP(-LN(2)/25))/(LN(2)/25)*Calculateur!AQ188*Calculateur!AS188*VLOOKUP('Données projet'!$B$10,Paramètres!$A$1:$I$88,3,0)*0.475*44/12</f>
        <v>0.17478021285943113</v>
      </c>
      <c r="AW188" s="21">
        <f>EXP(-LN(2)/2)*AW187+(1-EXP(-LN(2)/2))/(LN(2)/2)*AQ188*AT188*VLOOKUP('Données projet'!$B$10,Paramètres!$A$1:$I$88,3,0)*0.475*44/12</f>
        <v>1.1103537376903457E-22</v>
      </c>
      <c r="AX188" s="21">
        <f t="shared" si="166"/>
        <v>0.17478021285943113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-5.6843418860808015E-13</v>
      </c>
      <c r="BE188" s="13">
        <f>BD188*VLOOKUP('Données projet'!$B$11,Paramètres!$A$1:$I$88,3,0)*VLOOKUP('Données projet'!$B$11,Paramètres!$A$1:$I$88,5,0)</f>
        <v>-3.177547114319168E-13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355.96253323046608</v>
      </c>
      <c r="BJ188" s="59">
        <f t="shared" si="146"/>
        <v>366.8380442809696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projet'!$B$11,Paramètres!$A$1:$I$88,7,0))</f>
        <v>0</v>
      </c>
      <c r="BN188" s="16">
        <f>IF(ISNA(VLOOKUP(A188,'Données projet'!$A$87:$I$107,6,0)),0%,VLOOKUP(A188,'Données projet'!$A$87:$I$107,6,0)*VLOOKUP('Données projet'!$B$11,Paramètres!$A$1:$I$88,7,0))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projet'!$B$11,Paramètres!$A$1:$I$88,3,0)*0.475*44/12</f>
        <v>0</v>
      </c>
      <c r="BQ188" s="21">
        <f>EXP(-LN(2)/25)*BQ187+(1-EXP(-LN(2)/25))/(LN(2)/25)*Calculateur!BL188*Calculateur!BN188*VLOOKUP('Données projet'!$B$11,Paramètres!$A$1:$I$88,3,0)*0.475*44/12</f>
        <v>0.30945075709430792</v>
      </c>
      <c r="BR188" s="21">
        <f>EXP(-LN(2)/2)*BR187+(1-EXP(-LN(2)/2))/(LN(2)/2)*BL188*BO188*VLOOKUP('Données projet'!$B$11,Paramètres!$A$1:$I$88,3,0)*0.475*44/12</f>
        <v>1.7167878014086421E-22</v>
      </c>
      <c r="BS188" s="22">
        <f t="shared" si="169"/>
        <v>0.30945075709430792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projet'!$B$12,Paramètres!$A$1:$I$88,3,0)*VLOOKUP('Données projet'!$B$12,Paramètres!$A$1:$I$88,5,0)</f>
        <v>3.7243808037601412E-14</v>
      </c>
      <c r="CA188" s="13">
        <f t="shared" si="170"/>
        <v>6.2767589361185393E-13</v>
      </c>
      <c r="CB188" s="20">
        <f t="shared" si="171"/>
        <v>1.1580684803728015E-12</v>
      </c>
      <c r="CC188" s="59">
        <f t="shared" si="119"/>
        <v>293.33333333333445</v>
      </c>
      <c r="CD188" s="59">
        <f ca="1">AVERAGE(OFFSET($CC$3,0,0,'Données projet'!$E$12+1,1))-AVERAGE(OFFSET($H$3,0,0,'Données projet'!$E$12+1,1))</f>
        <v>180.90147430936133</v>
      </c>
      <c r="CE188" s="59">
        <f t="shared" si="148"/>
        <v>226.87949199830018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projet'!$B$12,Paramètres!$A$1:$I$88,7,0))</f>
        <v>0</v>
      </c>
      <c r="CI188" s="16">
        <f>IF(ISNA(VLOOKUP(A188,'Données projet'!$A$113:$I$133,6,0)),0%,VLOOKUP(A188,'Données projet'!$A$113:$I$133,6,0)*VLOOKUP('Données projet'!$B$12,Paramètres!$A$1:$I$88,7,0))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projet'!$B$12,Paramètres!$A$1:$I$88,3,0)*0.475*44/12</f>
        <v>0</v>
      </c>
      <c r="CL188" s="21">
        <f>EXP(-LN(2)/25)*CL187+(1-EXP(-LN(2)/25))/(LN(2)/25)*Calculateur!CG188*Calculateur!CI188*VLOOKUP('Données projet'!$B$12,Paramètres!$A$1:$I$88,3,0)*0.475*44/12</f>
        <v>9.345543626179198E-2</v>
      </c>
      <c r="CM188" s="21">
        <f>EXP(-LN(2)/2)*CM187+(1-EXP(-LN(2)/2))/(LN(2)/2)*CG188*CJ188*VLOOKUP('Données projet'!$B$12,Paramètres!$A$1:$I$88,3,0)*0.475*44/12</f>
        <v>4.1469578090191205E-23</v>
      </c>
      <c r="CN188" s="22">
        <f t="shared" si="172"/>
        <v>9.345543626179198E-2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5.6843418860808015E-14</v>
      </c>
      <c r="CU188" s="17">
        <f>CT188*VLOOKUP('Données projet'!$B$13,Paramètres!$A$1:$I$88,3,0)*VLOOKUP('Données projet'!$B$13,Paramètres!$A$1:$I$88,5,0)</f>
        <v>2.8908289095852525E-14</v>
      </c>
      <c r="CV188" s="13">
        <f t="shared" si="173"/>
        <v>5.0177780569126974E-13</v>
      </c>
      <c r="CW188" s="20">
        <f t="shared" si="174"/>
        <v>9.2427828175423786E-13</v>
      </c>
      <c r="CX188" s="59">
        <f t="shared" si="122"/>
        <v>293.33333333333422</v>
      </c>
      <c r="CY188" s="59">
        <f ca="1">AVERAGE(OFFSET($CX$3,0,0,'Données projet'!$E$13+1,1))-AVERAGE(OFFSET($H$3,0,0,'Données projet'!$E$13+1,1))</f>
        <v>133.08385802816008</v>
      </c>
      <c r="CZ188" s="59">
        <f t="shared" si="150"/>
        <v>316.59112511251385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projet'!$B$13,Paramètres!$A$1:$I$88,7,0))</f>
        <v>0</v>
      </c>
      <c r="DD188" s="16">
        <f>IF(ISNA(VLOOKUP(A188,'Données projet'!$A$139:$I$159,6,0)),0%,VLOOKUP(A188,'Données projet'!$A$139:$I$159,6,0)*VLOOKUP('Données projet'!$B$13,Paramètres!$A$1:$I$88,7,0))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projet'!$B$13,Paramètres!$A$1:$I$88,3,0)*0.475*44/12</f>
        <v>3.3530549239901726</v>
      </c>
      <c r="DG188" s="21">
        <f>EXP(-LN(2)/25)*DG187+(1-EXP(-LN(2)/25))/(LN(2)/25)*Calculateur!DB188*Calculateur!DD188*VLOOKUP('Données projet'!$B$13,Paramètres!$A$1:$I$88,3,0)*0.475*44/12</f>
        <v>0</v>
      </c>
      <c r="DH188" s="21">
        <f>EXP(-LN(2)/2)*DH187+(1-EXP(-LN(2)/2))/(LN(2)/2)*DB188*DE188*VLOOKUP('Données projet'!$B$13,Paramètres!$A$1:$I$88,3,0)*0.475*44/12</f>
        <v>2.6458312875910337E-23</v>
      </c>
      <c r="DI188" s="22">
        <f t="shared" si="175"/>
        <v>3.3530549239901726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projet'!$B$14,Paramètres!$A$1:$I$88,3,0)*VLOOKUP('Données projet'!$B$14,Paramètres!$A$1:$I$88,5,0)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projet'!$B$14,Paramètres!$A$1:$I$88,7,0))</f>
        <v>0</v>
      </c>
      <c r="DY188" s="16">
        <f>IF(ISNA(VLOOKUP(A188,'Données projet'!$A$165:$I$185,6,0)),0%,VLOOKUP(A188,'Données projet'!$A$165:$I$185,6,0)*VLOOKUP('Données projet'!$B$14,Paramètres!$A$1:$I$88,7,0))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projet'!$B$14,Paramètres!$A$1:$I$88,3,0)*0.475*44/12</f>
        <v>#N/A</v>
      </c>
      <c r="EB188" s="21" t="e">
        <f>EXP(-LN(2)/25)*EB187+(1-EXP(-LN(2)/25))/(LN(2)/25)*Calculateur!DW188*Calculateur!DY188*VLOOKUP('Données projet'!$B$14,Paramètres!$A$1:$I$88,3,0)*0.475*44/12</f>
        <v>#N/A</v>
      </c>
      <c r="EC188" s="21" t="e">
        <f>EXP(-LN(2)/2)*EC187+(1-EXP(-LN(2)/2))/(LN(2)/2)*DW188*DZ188*VLOOKUP('Données projet'!$B$14,Paramètres!$A$1:$I$88,3,0)*0.475*44/12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projet'!$B$15,Paramètres!$A$1:$I$88,3,0)*VLOOKUP('Données projet'!$B$15,Paramètres!$A$1:$I$88,5,0)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projet'!$B$15,Paramètres!$A$1:$I$88,7,0))</f>
        <v>0</v>
      </c>
      <c r="ET188" s="16">
        <f>IF(ISNA(VLOOKUP(A188,'Données projet'!$A$191:$I$211,6,0)),0%,VLOOKUP(A188,'Données projet'!$A$191:$I$211,6,0)*VLOOKUP('Données projet'!$B$15,Paramètres!$A$1:$I$88,7,0))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projet'!$B$15,Paramètres!$A$1:$I$88,3,0)*0.475*44/12</f>
        <v>#N/A</v>
      </c>
      <c r="EW188" s="21" t="e">
        <f>EXP(-LN(2)/25)*EW187+(1-EXP(-LN(2)/25))/(LN(2)/25)*Calculateur!ER188*Calculateur!ET188*VLOOKUP('Données projet'!$B$15,Paramètres!$A$1:$I$88,3,0)*0.475*44/12</f>
        <v>#N/A</v>
      </c>
      <c r="EX188" s="21" t="e">
        <f>EXP(-LN(2)/2)*EX187+(1-EXP(-LN(2)/2))/(LN(2)/2)*ER188*EU188*VLOOKUP('Données projet'!$B$15,Paramètres!$A$1:$I$88,3,0)*0.475*44/12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projet'!$B$16,Paramètres!$A$1:$I$88,3,0)*VLOOKUP('Données projet'!$B$16,Paramètres!$A$1:$I$88,5,0)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projet'!$B$16,Paramètres!$A$1:$I$88,7,0))</f>
        <v>0</v>
      </c>
      <c r="FO188" s="16">
        <f>IF(ISNA(VLOOKUP(A188,'Données projet'!$A$217:$I$237,6,0)),0%,VLOOKUP(A188,'Données projet'!$A$217:$I$237,6,0)*VLOOKUP('Données projet'!$B$16,Paramètres!$A$1:$I$88,7,0))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projet'!$B$16,Paramètres!$A$1:$I$88,3,0)*0.475*44/12</f>
        <v>#N/A</v>
      </c>
      <c r="FR188" s="21" t="e">
        <f>EXP(-LN(2)/25)*FR187+(1-EXP(-LN(2)/25))/(LN(2)/25)*Calculateur!FM188*Calculateur!FO188*VLOOKUP('Données projet'!$B$16,Paramètres!$A$1:$I$88,3,0)*0.475*44/12</f>
        <v>#N/A</v>
      </c>
      <c r="FS188" s="21" t="e">
        <f>EXP(-LN(2)/2)*FS187+(1-EXP(-LN(2)/2))/(LN(2)/2)*FM188*FP188*VLOOKUP('Données projet'!$B$16,Paramètres!$A$1:$I$88,3,0)*0.475*44/12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projet'!$B$17,Paramètres!$A$1:$I$88,3,0)*VLOOKUP('Données projet'!$B$17,Paramètres!$A$1:$I$88,5,0)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projet'!$B$17,Paramètres!$A$1:$I$88,7,0))</f>
        <v>0</v>
      </c>
      <c r="GJ188" s="16">
        <f>IF(ISNA(VLOOKUP(A188,'Données projet'!$A$243:$I$263,6,0)),0%,VLOOKUP(A188,'Données projet'!$A$243:$I$263,6,0)*VLOOKUP('Données projet'!$B$17,Paramètres!$A$1:$I$88,7,0))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projet'!$B$17,Paramètres!$A$1:$I$88,3,0)*0.475*44/12</f>
        <v>#N/A</v>
      </c>
      <c r="GM188" s="21" t="e">
        <f>EXP(-LN(2)/25)*GM187+(1-EXP(-LN(2)/25))/(LN(2)/25)*Calculateur!GH188*Calculateur!GJ188*VLOOKUP('Données projet'!$B$17,Paramètres!$A$1:$I$88,3,0)*0.475*44/12</f>
        <v>#N/A</v>
      </c>
      <c r="GN188" s="21" t="e">
        <f>EXP(-LN(2)/2)*GN187+(1-EXP(-LN(2)/2))/(LN(2)/2)*GH188*GK188*VLOOKUP('Données projet'!$B$17,Paramètres!$A$1:$I$88,3,0)*0.475*44/12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projet'!$B$18,Paramètres!$A$1:$I$88,3,0)*VLOOKUP('Données projet'!$B$18,Paramètres!$A$1:$I$88,5,0)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projet'!$B$18,Paramètres!$A$1:$I$88,7,0))</f>
        <v>0</v>
      </c>
      <c r="HE188" s="16">
        <f>IF(ISNA(VLOOKUP(A188,'Données projet'!$A$269:$I$289,6,0)),0%,VLOOKUP(A188,'Données projet'!$A$269:$I$289,6,0)*VLOOKUP('Données projet'!$B$18,Paramètres!$A$1:$I$88,7,0))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projet'!$B$18,Paramètres!$A$1:$I$88,3,0)*0.475*44/12</f>
        <v>#N/A</v>
      </c>
      <c r="HH188" s="21" t="e">
        <f>EXP(-LN(2)/25)*HH187+(1-EXP(-LN(2)/25))/(LN(2)/25)*Calculateur!HC188*Calculateur!HE188*VLOOKUP('Données projet'!$B$18,Paramètres!$A$1:$I$88,3,0)*0.475*44/12</f>
        <v>#N/A</v>
      </c>
      <c r="HI188" s="21" t="e">
        <f>EXP(-LN(2)/2)*HI187+(1-EXP(-LN(2)/2))/(LN(2)/2)*HC188*HF188*VLOOKUP('Données projet'!$B$18,Paramètres!$A$1:$I$88,3,0)*0.475*44/12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projet'!$B$9,Paramètres!$A$1:$I$88,3,0)*VLOOKUP('Données projet'!$B$9,Paramètres!$A$1:$I$88,5,0)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195.73441209602686</v>
      </c>
      <c r="T189" s="59">
        <f t="shared" si="142"/>
        <v>219.19129224309006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projet'!$B$9,Paramètres!$A$1:$I$88,7,0))</f>
        <v>0</v>
      </c>
      <c r="X189" s="16">
        <f>IF(ISNA(VLOOKUP(A189,'Données projet'!$A$35:$I$55,6,0)),0%,VLOOKUP(A189,'Données projet'!$A$35:$I$55,6,0)*VLOOKUP('Données projet'!$B$9,Paramètres!$A$1:$I$88,7,0))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projet'!$B$9,Paramètres!$A$1:$I$88,3,0)*0.475*44/12</f>
        <v>0.69438867848759711</v>
      </c>
      <c r="AA189" s="21">
        <f>EXP(-LN(2)/25)*AA188+(1-EXP(-LN(2)/25))/(LN(2)/25)*Calculateur!V189*Calculateur!X189*VLOOKUP('Données projet'!$B$9,Paramètres!$A$1:$I$88,3,0)*0.475*44/12</f>
        <v>0.18731129466894039</v>
      </c>
      <c r="AB189" s="21">
        <f>EXP(-LN(2)/2)*AB188+(1-EXP(-LN(2)/2))/(LN(2)/2)*V189*Y189*VLOOKUP('Données projet'!$B$9,Paramètres!$A$1:$I$88,3,0)*0.475*44/12</f>
        <v>1.312648223534339E-25</v>
      </c>
      <c r="AC189" s="22">
        <f t="shared" si="163"/>
        <v>0.88169997315653748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-4.5474735088646412E-13</v>
      </c>
      <c r="AJ189" s="13">
        <f>AI189*VLOOKUP('Données projet'!$B$10,Paramètres!$A$1:$I$88,3,0)*VLOOKUP('Données projet'!$B$10,Paramètres!$A$1:$I$88,5,0)</f>
        <v>-2.7193891583010558E-13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246.59447135626942</v>
      </c>
      <c r="AO189" s="59">
        <f t="shared" si="144"/>
        <v>262.00382544285367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projet'!$B$10,Paramètres!$A$1:$I$88,7,0))</f>
        <v>0</v>
      </c>
      <c r="AS189" s="16">
        <f>IF(ISNA(VLOOKUP(A189,'Données projet'!$A$61:$I$81,6,0)),0%,VLOOKUP(A189,'Données projet'!$A$61:$I$81,6,0)*VLOOKUP('Données projet'!$B$10,Paramètres!$A$1:$I$88,7,0))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projet'!$B$10,Paramètres!$A$1:$I$88,3,0)*0.475*44/12</f>
        <v>0</v>
      </c>
      <c r="AV189" s="21">
        <f>EXP(-LN(2)/25)*AV188+(1-EXP(-LN(2)/25))/(LN(2)/25)*Calculateur!AQ189*Calculateur!AS189*VLOOKUP('Données projet'!$B$10,Paramètres!$A$1:$I$88,3,0)*0.475*44/12</f>
        <v>0.17000083874749805</v>
      </c>
      <c r="AW189" s="21">
        <f>EXP(-LN(2)/2)*AW188+(1-EXP(-LN(2)/2))/(LN(2)/2)*AQ189*AT189*VLOOKUP('Données projet'!$B$10,Paramètres!$A$1:$I$88,3,0)*0.475*44/12</f>
        <v>7.8513865743667249E-23</v>
      </c>
      <c r="AX189" s="21">
        <f t="shared" si="166"/>
        <v>0.17000083874749805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-5.6843418860808015E-13</v>
      </c>
      <c r="BE189" s="13">
        <f>BD189*VLOOKUP('Données projet'!$B$11,Paramètres!$A$1:$I$88,3,0)*VLOOKUP('Données projet'!$B$11,Paramètres!$A$1:$I$88,5,0)</f>
        <v>-3.177547114319168E-13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355.96253323046608</v>
      </c>
      <c r="BJ189" s="59">
        <f t="shared" si="146"/>
        <v>366.8380442809696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projet'!$B$11,Paramètres!$A$1:$I$88,7,0))</f>
        <v>0</v>
      </c>
      <c r="BN189" s="16">
        <f>IF(ISNA(VLOOKUP(A189,'Données projet'!$A$87:$I$107,6,0)),0%,VLOOKUP(A189,'Données projet'!$A$87:$I$107,6,0)*VLOOKUP('Données projet'!$B$11,Paramètres!$A$1:$I$88,7,0))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projet'!$B$11,Paramètres!$A$1:$I$88,3,0)*0.475*44/12</f>
        <v>0</v>
      </c>
      <c r="BQ189" s="21">
        <f>EXP(-LN(2)/25)*BQ188+(1-EXP(-LN(2)/25))/(LN(2)/25)*Calculateur!BL189*Calculateur!BN189*VLOOKUP('Données projet'!$B$11,Paramètres!$A$1:$I$88,3,0)*0.475*44/12</f>
        <v>0.30098880986825599</v>
      </c>
      <c r="BR189" s="21">
        <f>EXP(-LN(2)/2)*BR188+(1-EXP(-LN(2)/2))/(LN(2)/2)*BL189*BO189*VLOOKUP('Données projet'!$B$11,Paramètres!$A$1:$I$88,3,0)*0.475*44/12</f>
        <v>1.2139522962343947E-22</v>
      </c>
      <c r="BS189" s="22">
        <f t="shared" si="169"/>
        <v>0.30098880986825599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projet'!$B$12,Paramètres!$A$1:$I$88,3,0)*VLOOKUP('Données projet'!$B$12,Paramètres!$A$1:$I$88,5,0)</f>
        <v>3.7243808037601412E-14</v>
      </c>
      <c r="CA189" s="13">
        <f t="shared" si="170"/>
        <v>6.2767589361185393E-13</v>
      </c>
      <c r="CB189" s="20">
        <f t="shared" si="171"/>
        <v>1.1580684803728015E-12</v>
      </c>
      <c r="CC189" s="59">
        <f t="shared" si="119"/>
        <v>293.33333333333445</v>
      </c>
      <c r="CD189" s="59">
        <f ca="1">AVERAGE(OFFSET($CC$3,0,0,'Données projet'!$E$12+1,1))-AVERAGE(OFFSET($H$3,0,0,'Données projet'!$E$12+1,1))</f>
        <v>180.90147430936133</v>
      </c>
      <c r="CE189" s="59">
        <f t="shared" si="148"/>
        <v>226.87949199830018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projet'!$B$12,Paramètres!$A$1:$I$88,7,0))</f>
        <v>0</v>
      </c>
      <c r="CI189" s="16">
        <f>IF(ISNA(VLOOKUP(A189,'Données projet'!$A$113:$I$133,6,0)),0%,VLOOKUP(A189,'Données projet'!$A$113:$I$133,6,0)*VLOOKUP('Données projet'!$B$12,Paramètres!$A$1:$I$88,7,0))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projet'!$B$12,Paramètres!$A$1:$I$88,3,0)*0.475*44/12</f>
        <v>0</v>
      </c>
      <c r="CL189" s="21">
        <f>EXP(-LN(2)/25)*CL188+(1-EXP(-LN(2)/25))/(LN(2)/25)*Calculateur!CG189*Calculateur!CI189*VLOOKUP('Données projet'!$B$12,Paramètres!$A$1:$I$88,3,0)*0.475*44/12</f>
        <v>9.0899892442605476E-2</v>
      </c>
      <c r="CM189" s="21">
        <f>EXP(-LN(2)/2)*CM188+(1-EXP(-LN(2)/2))/(LN(2)/2)*CG189*CJ189*VLOOKUP('Données projet'!$B$12,Paramètres!$A$1:$I$88,3,0)*0.475*44/12</f>
        <v>2.9323419880519277E-23</v>
      </c>
      <c r="CN189" s="22">
        <f t="shared" si="172"/>
        <v>9.0899892442605476E-2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5.6843418860808015E-14</v>
      </c>
      <c r="CU189" s="17">
        <f>CT189*VLOOKUP('Données projet'!$B$13,Paramètres!$A$1:$I$88,3,0)*VLOOKUP('Données projet'!$B$13,Paramètres!$A$1:$I$88,5,0)</f>
        <v>2.8908289095852525E-14</v>
      </c>
      <c r="CV189" s="13">
        <f t="shared" si="173"/>
        <v>5.0177780569126974E-13</v>
      </c>
      <c r="CW189" s="20">
        <f t="shared" si="174"/>
        <v>9.2427828175423786E-13</v>
      </c>
      <c r="CX189" s="59">
        <f t="shared" si="122"/>
        <v>293.33333333333422</v>
      </c>
      <c r="CY189" s="59">
        <f ca="1">AVERAGE(OFFSET($CX$3,0,0,'Données projet'!$E$13+1,1))-AVERAGE(OFFSET($H$3,0,0,'Données projet'!$E$13+1,1))</f>
        <v>133.08385802816008</v>
      </c>
      <c r="CZ189" s="59">
        <f t="shared" si="150"/>
        <v>316.59112511251385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projet'!$B$13,Paramètres!$A$1:$I$88,7,0))</f>
        <v>0</v>
      </c>
      <c r="DD189" s="16">
        <f>IF(ISNA(VLOOKUP(A189,'Données projet'!$A$139:$I$159,6,0)),0%,VLOOKUP(A189,'Données projet'!$A$139:$I$159,6,0)*VLOOKUP('Données projet'!$B$13,Paramètres!$A$1:$I$88,7,0))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projet'!$B$13,Paramètres!$A$1:$I$88,3,0)*0.475*44/12</f>
        <v>3.2873035620922861</v>
      </c>
      <c r="DG189" s="21">
        <f>EXP(-LN(2)/25)*DG188+(1-EXP(-LN(2)/25))/(LN(2)/25)*Calculateur!DB189*Calculateur!DD189*VLOOKUP('Données projet'!$B$13,Paramètres!$A$1:$I$88,3,0)*0.475*44/12</f>
        <v>0</v>
      </c>
      <c r="DH189" s="21">
        <f>EXP(-LN(2)/2)*DH188+(1-EXP(-LN(2)/2))/(LN(2)/2)*DB189*DE189*VLOOKUP('Données projet'!$B$13,Paramètres!$A$1:$I$88,3,0)*0.475*44/12</f>
        <v>1.8708852453311545E-23</v>
      </c>
      <c r="DI189" s="22">
        <f t="shared" si="175"/>
        <v>3.2873035620922861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projet'!$B$14,Paramètres!$A$1:$I$88,3,0)*VLOOKUP('Données projet'!$B$14,Paramètres!$A$1:$I$88,5,0)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projet'!$B$14,Paramètres!$A$1:$I$88,7,0))</f>
        <v>0</v>
      </c>
      <c r="DY189" s="16">
        <f>IF(ISNA(VLOOKUP(A189,'Données projet'!$A$165:$I$185,6,0)),0%,VLOOKUP(A189,'Données projet'!$A$165:$I$185,6,0)*VLOOKUP('Données projet'!$B$14,Paramètres!$A$1:$I$88,7,0))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projet'!$B$14,Paramètres!$A$1:$I$88,3,0)*0.475*44/12</f>
        <v>#N/A</v>
      </c>
      <c r="EB189" s="21" t="e">
        <f>EXP(-LN(2)/25)*EB188+(1-EXP(-LN(2)/25))/(LN(2)/25)*Calculateur!DW189*Calculateur!DY189*VLOOKUP('Données projet'!$B$14,Paramètres!$A$1:$I$88,3,0)*0.475*44/12</f>
        <v>#N/A</v>
      </c>
      <c r="EC189" s="21" t="e">
        <f>EXP(-LN(2)/2)*EC188+(1-EXP(-LN(2)/2))/(LN(2)/2)*DW189*DZ189*VLOOKUP('Données projet'!$B$14,Paramètres!$A$1:$I$88,3,0)*0.475*44/12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projet'!$B$15,Paramètres!$A$1:$I$88,3,0)*VLOOKUP('Données projet'!$B$15,Paramètres!$A$1:$I$88,5,0)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projet'!$B$15,Paramètres!$A$1:$I$88,7,0))</f>
        <v>0</v>
      </c>
      <c r="ET189" s="16">
        <f>IF(ISNA(VLOOKUP(A189,'Données projet'!$A$191:$I$211,6,0)),0%,VLOOKUP(A189,'Données projet'!$A$191:$I$211,6,0)*VLOOKUP('Données projet'!$B$15,Paramètres!$A$1:$I$88,7,0))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projet'!$B$15,Paramètres!$A$1:$I$88,3,0)*0.475*44/12</f>
        <v>#N/A</v>
      </c>
      <c r="EW189" s="21" t="e">
        <f>EXP(-LN(2)/25)*EW188+(1-EXP(-LN(2)/25))/(LN(2)/25)*Calculateur!ER189*Calculateur!ET189*VLOOKUP('Données projet'!$B$15,Paramètres!$A$1:$I$88,3,0)*0.475*44/12</f>
        <v>#N/A</v>
      </c>
      <c r="EX189" s="21" t="e">
        <f>EXP(-LN(2)/2)*EX188+(1-EXP(-LN(2)/2))/(LN(2)/2)*ER189*EU189*VLOOKUP('Données projet'!$B$15,Paramètres!$A$1:$I$88,3,0)*0.475*44/12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projet'!$B$16,Paramètres!$A$1:$I$88,3,0)*VLOOKUP('Données projet'!$B$16,Paramètres!$A$1:$I$88,5,0)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projet'!$B$16,Paramètres!$A$1:$I$88,7,0))</f>
        <v>0</v>
      </c>
      <c r="FO189" s="16">
        <f>IF(ISNA(VLOOKUP(A189,'Données projet'!$A$217:$I$237,6,0)),0%,VLOOKUP(A189,'Données projet'!$A$217:$I$237,6,0)*VLOOKUP('Données projet'!$B$16,Paramètres!$A$1:$I$88,7,0))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projet'!$B$16,Paramètres!$A$1:$I$88,3,0)*0.475*44/12</f>
        <v>#N/A</v>
      </c>
      <c r="FR189" s="21" t="e">
        <f>EXP(-LN(2)/25)*FR188+(1-EXP(-LN(2)/25))/(LN(2)/25)*Calculateur!FM189*Calculateur!FO189*VLOOKUP('Données projet'!$B$16,Paramètres!$A$1:$I$88,3,0)*0.475*44/12</f>
        <v>#N/A</v>
      </c>
      <c r="FS189" s="21" t="e">
        <f>EXP(-LN(2)/2)*FS188+(1-EXP(-LN(2)/2))/(LN(2)/2)*FM189*FP189*VLOOKUP('Données projet'!$B$16,Paramètres!$A$1:$I$88,3,0)*0.475*44/12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projet'!$B$17,Paramètres!$A$1:$I$88,3,0)*VLOOKUP('Données projet'!$B$17,Paramètres!$A$1:$I$88,5,0)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projet'!$B$17,Paramètres!$A$1:$I$88,7,0))</f>
        <v>0</v>
      </c>
      <c r="GJ189" s="16">
        <f>IF(ISNA(VLOOKUP(A189,'Données projet'!$A$243:$I$263,6,0)),0%,VLOOKUP(A189,'Données projet'!$A$243:$I$263,6,0)*VLOOKUP('Données projet'!$B$17,Paramètres!$A$1:$I$88,7,0))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projet'!$B$17,Paramètres!$A$1:$I$88,3,0)*0.475*44/12</f>
        <v>#N/A</v>
      </c>
      <c r="GM189" s="21" t="e">
        <f>EXP(-LN(2)/25)*GM188+(1-EXP(-LN(2)/25))/(LN(2)/25)*Calculateur!GH189*Calculateur!GJ189*VLOOKUP('Données projet'!$B$17,Paramètres!$A$1:$I$88,3,0)*0.475*44/12</f>
        <v>#N/A</v>
      </c>
      <c r="GN189" s="21" t="e">
        <f>EXP(-LN(2)/2)*GN188+(1-EXP(-LN(2)/2))/(LN(2)/2)*GH189*GK189*VLOOKUP('Données projet'!$B$17,Paramètres!$A$1:$I$88,3,0)*0.475*44/12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projet'!$B$18,Paramètres!$A$1:$I$88,3,0)*VLOOKUP('Données projet'!$B$18,Paramètres!$A$1:$I$88,5,0)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projet'!$B$18,Paramètres!$A$1:$I$88,7,0))</f>
        <v>0</v>
      </c>
      <c r="HE189" s="16">
        <f>IF(ISNA(VLOOKUP(A189,'Données projet'!$A$269:$I$289,6,0)),0%,VLOOKUP(A189,'Données projet'!$A$269:$I$289,6,0)*VLOOKUP('Données projet'!$B$18,Paramètres!$A$1:$I$88,7,0))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projet'!$B$18,Paramètres!$A$1:$I$88,3,0)*0.475*44/12</f>
        <v>#N/A</v>
      </c>
      <c r="HH189" s="21" t="e">
        <f>EXP(-LN(2)/25)*HH188+(1-EXP(-LN(2)/25))/(LN(2)/25)*Calculateur!HC189*Calculateur!HE189*VLOOKUP('Données projet'!$B$18,Paramètres!$A$1:$I$88,3,0)*0.475*44/12</f>
        <v>#N/A</v>
      </c>
      <c r="HI189" s="21" t="e">
        <f>EXP(-LN(2)/2)*HI188+(1-EXP(-LN(2)/2))/(LN(2)/2)*HC189*HF189*VLOOKUP('Données projet'!$B$18,Paramètres!$A$1:$I$88,3,0)*0.475*44/12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projet'!$B$9,Paramètres!$A$1:$I$88,3,0)*VLOOKUP('Données projet'!$B$9,Paramètres!$A$1:$I$88,5,0)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195.73441209602686</v>
      </c>
      <c r="T190" s="59">
        <f t="shared" si="142"/>
        <v>219.19129224309006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projet'!$B$9,Paramètres!$A$1:$I$88,7,0))</f>
        <v>0</v>
      </c>
      <c r="X190" s="16">
        <f>IF(ISNA(VLOOKUP(A190,'Données projet'!$A$35:$I$55,6,0)),0%,VLOOKUP(A190,'Données projet'!$A$35:$I$55,6,0)*VLOOKUP('Données projet'!$B$9,Paramètres!$A$1:$I$88,7,0))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projet'!$B$9,Paramètres!$A$1:$I$88,3,0)*0.475*44/12</f>
        <v>0.68077214003772857</v>
      </c>
      <c r="AA190" s="21">
        <f>EXP(-LN(2)/25)*AA189+(1-EXP(-LN(2)/25))/(LN(2)/25)*Calculateur!V190*Calculateur!X190*VLOOKUP('Données projet'!$B$9,Paramètres!$A$1:$I$88,3,0)*0.475*44/12</f>
        <v>0.18218925746594533</v>
      </c>
      <c r="AB190" s="21">
        <f>EXP(-LN(2)/2)*AB189+(1-EXP(-LN(2)/2))/(LN(2)/2)*V190*Y190*VLOOKUP('Données projet'!$B$9,Paramètres!$A$1:$I$88,3,0)*0.475*44/12</f>
        <v>9.2818246017360619E-26</v>
      </c>
      <c r="AC190" s="22">
        <f t="shared" si="163"/>
        <v>0.86296139750367384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-4.5474735088646412E-13</v>
      </c>
      <c r="AJ190" s="13">
        <f>AI190*VLOOKUP('Données projet'!$B$10,Paramètres!$A$1:$I$88,3,0)*VLOOKUP('Données projet'!$B$10,Paramètres!$A$1:$I$88,5,0)</f>
        <v>-2.7193891583010558E-13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246.59447135626942</v>
      </c>
      <c r="AO190" s="59">
        <f t="shared" si="144"/>
        <v>262.00382544285367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projet'!$B$10,Paramètres!$A$1:$I$88,7,0))</f>
        <v>0</v>
      </c>
      <c r="AS190" s="16">
        <f>IF(ISNA(VLOOKUP(A190,'Données projet'!$A$61:$I$81,6,0)),0%,VLOOKUP(A190,'Données projet'!$A$61:$I$81,6,0)*VLOOKUP('Données projet'!$B$10,Paramètres!$A$1:$I$88,7,0))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projet'!$B$10,Paramètres!$A$1:$I$88,3,0)*0.475*44/12</f>
        <v>0</v>
      </c>
      <c r="AV190" s="21">
        <f>EXP(-LN(2)/25)*AV189+(1-EXP(-LN(2)/25))/(LN(2)/25)*Calculateur!AQ190*Calculateur!AS190*VLOOKUP('Données projet'!$B$10,Paramètres!$A$1:$I$88,3,0)*0.475*44/12</f>
        <v>0.16535215687199215</v>
      </c>
      <c r="AW190" s="21">
        <f>EXP(-LN(2)/2)*AW189+(1-EXP(-LN(2)/2))/(LN(2)/2)*AQ190*AT190*VLOOKUP('Données projet'!$B$10,Paramètres!$A$1:$I$88,3,0)*0.475*44/12</f>
        <v>5.5517686884517286E-23</v>
      </c>
      <c r="AX190" s="21">
        <f t="shared" si="166"/>
        <v>0.16535215687199215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-5.6843418860808015E-13</v>
      </c>
      <c r="BE190" s="13">
        <f>BD190*VLOOKUP('Données projet'!$B$11,Paramètres!$A$1:$I$88,3,0)*VLOOKUP('Données projet'!$B$11,Paramètres!$A$1:$I$88,5,0)</f>
        <v>-3.177547114319168E-13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355.96253323046608</v>
      </c>
      <c r="BJ190" s="59">
        <f t="shared" si="146"/>
        <v>366.8380442809696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projet'!$B$11,Paramètres!$A$1:$I$88,7,0))</f>
        <v>0</v>
      </c>
      <c r="BN190" s="16">
        <f>IF(ISNA(VLOOKUP(A190,'Données projet'!$A$87:$I$107,6,0)),0%,VLOOKUP(A190,'Données projet'!$A$87:$I$107,6,0)*VLOOKUP('Données projet'!$B$11,Paramètres!$A$1:$I$88,7,0))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projet'!$B$11,Paramètres!$A$1:$I$88,3,0)*0.475*44/12</f>
        <v>0</v>
      </c>
      <c r="BQ190" s="21">
        <f>EXP(-LN(2)/25)*BQ189+(1-EXP(-LN(2)/25))/(LN(2)/25)*Calculateur!BL190*Calculateur!BN190*VLOOKUP('Données projet'!$B$11,Paramètres!$A$1:$I$88,3,0)*0.475*44/12</f>
        <v>0.29275825503409492</v>
      </c>
      <c r="BR190" s="21">
        <f>EXP(-LN(2)/2)*BR189+(1-EXP(-LN(2)/2))/(LN(2)/2)*BL190*BO190*VLOOKUP('Données projet'!$B$11,Paramètres!$A$1:$I$88,3,0)*0.475*44/12</f>
        <v>8.5839390070432107E-23</v>
      </c>
      <c r="BS190" s="22">
        <f t="shared" si="169"/>
        <v>0.29275825503409492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projet'!$B$12,Paramètres!$A$1:$I$88,3,0)*VLOOKUP('Données projet'!$B$12,Paramètres!$A$1:$I$88,5,0)</f>
        <v>3.7243808037601412E-14</v>
      </c>
      <c r="CA190" s="13">
        <f t="shared" si="170"/>
        <v>6.2767589361185393E-13</v>
      </c>
      <c r="CB190" s="20">
        <f t="shared" si="171"/>
        <v>1.1580684803728015E-12</v>
      </c>
      <c r="CC190" s="59">
        <f t="shared" si="119"/>
        <v>293.33333333333445</v>
      </c>
      <c r="CD190" s="59">
        <f ca="1">AVERAGE(OFFSET($CC$3,0,0,'Données projet'!$E$12+1,1))-AVERAGE(OFFSET($H$3,0,0,'Données projet'!$E$12+1,1))</f>
        <v>180.90147430936133</v>
      </c>
      <c r="CE190" s="59">
        <f t="shared" si="148"/>
        <v>226.87949199830018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projet'!$B$12,Paramètres!$A$1:$I$88,7,0))</f>
        <v>0</v>
      </c>
      <c r="CI190" s="16">
        <f>IF(ISNA(VLOOKUP(A190,'Données projet'!$A$113:$I$133,6,0)),0%,VLOOKUP(A190,'Données projet'!$A$113:$I$133,6,0)*VLOOKUP('Données projet'!$B$12,Paramètres!$A$1:$I$88,7,0))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projet'!$B$12,Paramètres!$A$1:$I$88,3,0)*0.475*44/12</f>
        <v>0</v>
      </c>
      <c r="CL190" s="21">
        <f>EXP(-LN(2)/25)*CL189+(1-EXP(-LN(2)/25))/(LN(2)/25)*Calculateur!CG190*Calculateur!CI190*VLOOKUP('Données projet'!$B$12,Paramètres!$A$1:$I$88,3,0)*0.475*44/12</f>
        <v>8.8414230103544836E-2</v>
      </c>
      <c r="CM190" s="21">
        <f>EXP(-LN(2)/2)*CM189+(1-EXP(-LN(2)/2))/(LN(2)/2)*CG190*CJ190*VLOOKUP('Données projet'!$B$12,Paramètres!$A$1:$I$88,3,0)*0.475*44/12</f>
        <v>2.0734789045095602E-23</v>
      </c>
      <c r="CN190" s="22">
        <f t="shared" si="172"/>
        <v>8.8414230103544836E-2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5.6843418860808015E-14</v>
      </c>
      <c r="CU190" s="17">
        <f>CT190*VLOOKUP('Données projet'!$B$13,Paramètres!$A$1:$I$88,3,0)*VLOOKUP('Données projet'!$B$13,Paramètres!$A$1:$I$88,5,0)</f>
        <v>2.8908289095852525E-14</v>
      </c>
      <c r="CV190" s="13">
        <f t="shared" si="173"/>
        <v>5.0177780569126974E-13</v>
      </c>
      <c r="CW190" s="20">
        <f t="shared" si="174"/>
        <v>9.2427828175423786E-13</v>
      </c>
      <c r="CX190" s="59">
        <f t="shared" si="122"/>
        <v>293.33333333333422</v>
      </c>
      <c r="CY190" s="59">
        <f ca="1">AVERAGE(OFFSET($CX$3,0,0,'Données projet'!$E$13+1,1))-AVERAGE(OFFSET($H$3,0,0,'Données projet'!$E$13+1,1))</f>
        <v>133.08385802816008</v>
      </c>
      <c r="CZ190" s="59">
        <f t="shared" si="150"/>
        <v>316.59112511251385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projet'!$B$13,Paramètres!$A$1:$I$88,7,0))</f>
        <v>0</v>
      </c>
      <c r="DD190" s="16">
        <f>IF(ISNA(VLOOKUP(A190,'Données projet'!$A$139:$I$159,6,0)),0%,VLOOKUP(A190,'Données projet'!$A$139:$I$159,6,0)*VLOOKUP('Données projet'!$B$13,Paramètres!$A$1:$I$88,7,0))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projet'!$B$13,Paramètres!$A$1:$I$88,3,0)*0.475*44/12</f>
        <v>3.2228415442968461</v>
      </c>
      <c r="DG190" s="21">
        <f>EXP(-LN(2)/25)*DG189+(1-EXP(-LN(2)/25))/(LN(2)/25)*Calculateur!DB190*Calculateur!DD190*VLOOKUP('Données projet'!$B$13,Paramètres!$A$1:$I$88,3,0)*0.475*44/12</f>
        <v>0</v>
      </c>
      <c r="DH190" s="21">
        <f>EXP(-LN(2)/2)*DH189+(1-EXP(-LN(2)/2))/(LN(2)/2)*DB190*DE190*VLOOKUP('Données projet'!$B$13,Paramètres!$A$1:$I$88,3,0)*0.475*44/12</f>
        <v>1.322915643795517E-23</v>
      </c>
      <c r="DI190" s="22">
        <f t="shared" si="175"/>
        <v>3.2228415442968461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projet'!$B$14,Paramètres!$A$1:$I$88,3,0)*VLOOKUP('Données projet'!$B$14,Paramètres!$A$1:$I$88,5,0)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projet'!$B$14,Paramètres!$A$1:$I$88,7,0))</f>
        <v>0</v>
      </c>
      <c r="DY190" s="16">
        <f>IF(ISNA(VLOOKUP(A190,'Données projet'!$A$165:$I$185,6,0)),0%,VLOOKUP(A190,'Données projet'!$A$165:$I$185,6,0)*VLOOKUP('Données projet'!$B$14,Paramètres!$A$1:$I$88,7,0))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projet'!$B$14,Paramètres!$A$1:$I$88,3,0)*0.475*44/12</f>
        <v>#N/A</v>
      </c>
      <c r="EB190" s="21" t="e">
        <f>EXP(-LN(2)/25)*EB189+(1-EXP(-LN(2)/25))/(LN(2)/25)*Calculateur!DW190*Calculateur!DY190*VLOOKUP('Données projet'!$B$14,Paramètres!$A$1:$I$88,3,0)*0.475*44/12</f>
        <v>#N/A</v>
      </c>
      <c r="EC190" s="21" t="e">
        <f>EXP(-LN(2)/2)*EC189+(1-EXP(-LN(2)/2))/(LN(2)/2)*DW190*DZ190*VLOOKUP('Données projet'!$B$14,Paramètres!$A$1:$I$88,3,0)*0.475*44/12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projet'!$B$15,Paramètres!$A$1:$I$88,3,0)*VLOOKUP('Données projet'!$B$15,Paramètres!$A$1:$I$88,5,0)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projet'!$B$15,Paramètres!$A$1:$I$88,7,0))</f>
        <v>0</v>
      </c>
      <c r="ET190" s="16">
        <f>IF(ISNA(VLOOKUP(A190,'Données projet'!$A$191:$I$211,6,0)),0%,VLOOKUP(A190,'Données projet'!$A$191:$I$211,6,0)*VLOOKUP('Données projet'!$B$15,Paramètres!$A$1:$I$88,7,0))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projet'!$B$15,Paramètres!$A$1:$I$88,3,0)*0.475*44/12</f>
        <v>#N/A</v>
      </c>
      <c r="EW190" s="21" t="e">
        <f>EXP(-LN(2)/25)*EW189+(1-EXP(-LN(2)/25))/(LN(2)/25)*Calculateur!ER190*Calculateur!ET190*VLOOKUP('Données projet'!$B$15,Paramètres!$A$1:$I$88,3,0)*0.475*44/12</f>
        <v>#N/A</v>
      </c>
      <c r="EX190" s="21" t="e">
        <f>EXP(-LN(2)/2)*EX189+(1-EXP(-LN(2)/2))/(LN(2)/2)*ER190*EU190*VLOOKUP('Données projet'!$B$15,Paramètres!$A$1:$I$88,3,0)*0.475*44/12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projet'!$B$16,Paramètres!$A$1:$I$88,3,0)*VLOOKUP('Données projet'!$B$16,Paramètres!$A$1:$I$88,5,0)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projet'!$B$16,Paramètres!$A$1:$I$88,7,0))</f>
        <v>0</v>
      </c>
      <c r="FO190" s="16">
        <f>IF(ISNA(VLOOKUP(A190,'Données projet'!$A$217:$I$237,6,0)),0%,VLOOKUP(A190,'Données projet'!$A$217:$I$237,6,0)*VLOOKUP('Données projet'!$B$16,Paramètres!$A$1:$I$88,7,0))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projet'!$B$16,Paramètres!$A$1:$I$88,3,0)*0.475*44/12</f>
        <v>#N/A</v>
      </c>
      <c r="FR190" s="21" t="e">
        <f>EXP(-LN(2)/25)*FR189+(1-EXP(-LN(2)/25))/(LN(2)/25)*Calculateur!FM190*Calculateur!FO190*VLOOKUP('Données projet'!$B$16,Paramètres!$A$1:$I$88,3,0)*0.475*44/12</f>
        <v>#N/A</v>
      </c>
      <c r="FS190" s="21" t="e">
        <f>EXP(-LN(2)/2)*FS189+(1-EXP(-LN(2)/2))/(LN(2)/2)*FM190*FP190*VLOOKUP('Données projet'!$B$16,Paramètres!$A$1:$I$88,3,0)*0.475*44/12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projet'!$B$17,Paramètres!$A$1:$I$88,3,0)*VLOOKUP('Données projet'!$B$17,Paramètres!$A$1:$I$88,5,0)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projet'!$B$17,Paramètres!$A$1:$I$88,7,0))</f>
        <v>0</v>
      </c>
      <c r="GJ190" s="16">
        <f>IF(ISNA(VLOOKUP(A190,'Données projet'!$A$243:$I$263,6,0)),0%,VLOOKUP(A190,'Données projet'!$A$243:$I$263,6,0)*VLOOKUP('Données projet'!$B$17,Paramètres!$A$1:$I$88,7,0))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projet'!$B$17,Paramètres!$A$1:$I$88,3,0)*0.475*44/12</f>
        <v>#N/A</v>
      </c>
      <c r="GM190" s="21" t="e">
        <f>EXP(-LN(2)/25)*GM189+(1-EXP(-LN(2)/25))/(LN(2)/25)*Calculateur!GH190*Calculateur!GJ190*VLOOKUP('Données projet'!$B$17,Paramètres!$A$1:$I$88,3,0)*0.475*44/12</f>
        <v>#N/A</v>
      </c>
      <c r="GN190" s="21" t="e">
        <f>EXP(-LN(2)/2)*GN189+(1-EXP(-LN(2)/2))/(LN(2)/2)*GH190*GK190*VLOOKUP('Données projet'!$B$17,Paramètres!$A$1:$I$88,3,0)*0.475*44/12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projet'!$B$18,Paramètres!$A$1:$I$88,3,0)*VLOOKUP('Données projet'!$B$18,Paramètres!$A$1:$I$88,5,0)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projet'!$B$18,Paramètres!$A$1:$I$88,7,0))</f>
        <v>0</v>
      </c>
      <c r="HE190" s="16">
        <f>IF(ISNA(VLOOKUP(A190,'Données projet'!$A$269:$I$289,6,0)),0%,VLOOKUP(A190,'Données projet'!$A$269:$I$289,6,0)*VLOOKUP('Données projet'!$B$18,Paramètres!$A$1:$I$88,7,0))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projet'!$B$18,Paramètres!$A$1:$I$88,3,0)*0.475*44/12</f>
        <v>#N/A</v>
      </c>
      <c r="HH190" s="21" t="e">
        <f>EXP(-LN(2)/25)*HH189+(1-EXP(-LN(2)/25))/(LN(2)/25)*Calculateur!HC190*Calculateur!HE190*VLOOKUP('Données projet'!$B$18,Paramètres!$A$1:$I$88,3,0)*0.475*44/12</f>
        <v>#N/A</v>
      </c>
      <c r="HI190" s="21" t="e">
        <f>EXP(-LN(2)/2)*HI189+(1-EXP(-LN(2)/2))/(LN(2)/2)*HC190*HF190*VLOOKUP('Données projet'!$B$18,Paramètres!$A$1:$I$88,3,0)*0.475*44/12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projet'!$B$9,Paramètres!$A$1:$I$88,3,0)*VLOOKUP('Données projet'!$B$9,Paramètres!$A$1:$I$88,5,0)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195.73441209602686</v>
      </c>
      <c r="T191" s="59">
        <f t="shared" si="142"/>
        <v>219.19129224309006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projet'!$B$9,Paramètres!$A$1:$I$88,7,0))</f>
        <v>0</v>
      </c>
      <c r="X191" s="16">
        <f>IF(ISNA(VLOOKUP(A191,'Données projet'!$A$35:$I$55,6,0)),0%,VLOOKUP(A191,'Données projet'!$A$35:$I$55,6,0)*VLOOKUP('Données projet'!$B$9,Paramètres!$A$1:$I$88,7,0))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projet'!$B$9,Paramètres!$A$1:$I$88,3,0)*0.475*44/12</f>
        <v>0.66742261360159361</v>
      </c>
      <c r="AA191" s="21">
        <f>EXP(-LN(2)/25)*AA190+(1-EXP(-LN(2)/25))/(LN(2)/25)*Calculateur!V191*Calculateur!X191*VLOOKUP('Données projet'!$B$9,Paramètres!$A$1:$I$88,3,0)*0.475*44/12</f>
        <v>0.1772072826396224</v>
      </c>
      <c r="AB191" s="21">
        <f>EXP(-LN(2)/2)*AB190+(1-EXP(-LN(2)/2))/(LN(2)/2)*V191*Y191*VLOOKUP('Données projet'!$B$9,Paramètres!$A$1:$I$88,3,0)*0.475*44/12</f>
        <v>6.5632411176716951E-26</v>
      </c>
      <c r="AC191" s="22">
        <f t="shared" si="163"/>
        <v>0.84462989624121598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-4.5474735088646412E-13</v>
      </c>
      <c r="AJ191" s="13">
        <f>AI191*VLOOKUP('Données projet'!$B$10,Paramètres!$A$1:$I$88,3,0)*VLOOKUP('Données projet'!$B$10,Paramètres!$A$1:$I$88,5,0)</f>
        <v>-2.7193891583010558E-13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246.59447135626942</v>
      </c>
      <c r="AO191" s="59">
        <f t="shared" si="144"/>
        <v>262.00382544285367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projet'!$B$10,Paramètres!$A$1:$I$88,7,0))</f>
        <v>0</v>
      </c>
      <c r="AS191" s="16">
        <f>IF(ISNA(VLOOKUP(A191,'Données projet'!$A$61:$I$81,6,0)),0%,VLOOKUP(A191,'Données projet'!$A$61:$I$81,6,0)*VLOOKUP('Données projet'!$B$10,Paramètres!$A$1:$I$88,7,0))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projet'!$B$10,Paramètres!$A$1:$I$88,3,0)*0.475*44/12</f>
        <v>0</v>
      </c>
      <c r="AV191" s="21">
        <f>EXP(-LN(2)/25)*AV190+(1-EXP(-LN(2)/25))/(LN(2)/25)*Calculateur!AQ191*Calculateur!AS191*VLOOKUP('Données projet'!$B$10,Paramètres!$A$1:$I$88,3,0)*0.475*44/12</f>
        <v>0.16083059344683551</v>
      </c>
      <c r="AW191" s="21">
        <f>EXP(-LN(2)/2)*AW190+(1-EXP(-LN(2)/2))/(LN(2)/2)*AQ191*AT191*VLOOKUP('Données projet'!$B$10,Paramètres!$A$1:$I$88,3,0)*0.475*44/12</f>
        <v>3.9256932871833625E-23</v>
      </c>
      <c r="AX191" s="21">
        <f t="shared" si="166"/>
        <v>0.16083059344683551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-5.6843418860808015E-13</v>
      </c>
      <c r="BE191" s="13">
        <f>BD191*VLOOKUP('Données projet'!$B$11,Paramètres!$A$1:$I$88,3,0)*VLOOKUP('Données projet'!$B$11,Paramètres!$A$1:$I$88,5,0)</f>
        <v>-3.177547114319168E-13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355.96253323046608</v>
      </c>
      <c r="BJ191" s="59">
        <f t="shared" si="146"/>
        <v>366.8380442809696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projet'!$B$11,Paramètres!$A$1:$I$88,7,0))</f>
        <v>0</v>
      </c>
      <c r="BN191" s="16">
        <f>IF(ISNA(VLOOKUP(A191,'Données projet'!$A$87:$I$107,6,0)),0%,VLOOKUP(A191,'Données projet'!$A$87:$I$107,6,0)*VLOOKUP('Données projet'!$B$11,Paramètres!$A$1:$I$88,7,0))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projet'!$B$11,Paramètres!$A$1:$I$88,3,0)*0.475*44/12</f>
        <v>0</v>
      </c>
      <c r="BQ191" s="21">
        <f>EXP(-LN(2)/25)*BQ190+(1-EXP(-LN(2)/25))/(LN(2)/25)*Calculateur!BL191*Calculateur!BN191*VLOOKUP('Données projet'!$B$11,Paramètres!$A$1:$I$88,3,0)*0.475*44/12</f>
        <v>0.28475276515470005</v>
      </c>
      <c r="BR191" s="21">
        <f>EXP(-LN(2)/2)*BR190+(1-EXP(-LN(2)/2))/(LN(2)/2)*BL191*BO191*VLOOKUP('Données projet'!$B$11,Paramètres!$A$1:$I$88,3,0)*0.475*44/12</f>
        <v>6.0697614811719735E-23</v>
      </c>
      <c r="BS191" s="22">
        <f t="shared" si="169"/>
        <v>0.28475276515470005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projet'!$B$12,Paramètres!$A$1:$I$88,3,0)*VLOOKUP('Données projet'!$B$12,Paramètres!$A$1:$I$88,5,0)</f>
        <v>3.7243808037601412E-14</v>
      </c>
      <c r="CA191" s="13">
        <f t="shared" si="170"/>
        <v>6.2767589361185393E-13</v>
      </c>
      <c r="CB191" s="20">
        <f t="shared" si="171"/>
        <v>1.1580684803728015E-12</v>
      </c>
      <c r="CC191" s="59">
        <f t="shared" si="119"/>
        <v>293.33333333333445</v>
      </c>
      <c r="CD191" s="59">
        <f ca="1">AVERAGE(OFFSET($CC$3,0,0,'Données projet'!$E$12+1,1))-AVERAGE(OFFSET($H$3,0,0,'Données projet'!$E$12+1,1))</f>
        <v>180.90147430936133</v>
      </c>
      <c r="CE191" s="59">
        <f t="shared" si="148"/>
        <v>226.87949199830018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projet'!$B$12,Paramètres!$A$1:$I$88,7,0))</f>
        <v>0</v>
      </c>
      <c r="CI191" s="16">
        <f>IF(ISNA(VLOOKUP(A191,'Données projet'!$A$113:$I$133,6,0)),0%,VLOOKUP(A191,'Données projet'!$A$113:$I$133,6,0)*VLOOKUP('Données projet'!$B$12,Paramètres!$A$1:$I$88,7,0))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projet'!$B$12,Paramètres!$A$1:$I$88,3,0)*0.475*44/12</f>
        <v>0</v>
      </c>
      <c r="CL191" s="21">
        <f>EXP(-LN(2)/25)*CL190+(1-EXP(-LN(2)/25))/(LN(2)/25)*Calculateur!CG191*Calculateur!CI191*VLOOKUP('Données projet'!$B$12,Paramètres!$A$1:$I$88,3,0)*0.475*44/12</f>
        <v>8.5996538331861119E-2</v>
      </c>
      <c r="CM191" s="21">
        <f>EXP(-LN(2)/2)*CM190+(1-EXP(-LN(2)/2))/(LN(2)/2)*CG191*CJ191*VLOOKUP('Données projet'!$B$12,Paramètres!$A$1:$I$88,3,0)*0.475*44/12</f>
        <v>1.4661709940259638E-23</v>
      </c>
      <c r="CN191" s="22">
        <f t="shared" si="172"/>
        <v>8.5996538331861119E-2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5.6843418860808015E-14</v>
      </c>
      <c r="CU191" s="17">
        <f>CT191*VLOOKUP('Données projet'!$B$13,Paramètres!$A$1:$I$88,3,0)*VLOOKUP('Données projet'!$B$13,Paramètres!$A$1:$I$88,5,0)</f>
        <v>2.8908289095852525E-14</v>
      </c>
      <c r="CV191" s="13">
        <f t="shared" si="173"/>
        <v>5.0177780569126974E-13</v>
      </c>
      <c r="CW191" s="20">
        <f t="shared" si="174"/>
        <v>9.2427828175423786E-13</v>
      </c>
      <c r="CX191" s="59">
        <f t="shared" si="122"/>
        <v>293.33333333333422</v>
      </c>
      <c r="CY191" s="59">
        <f ca="1">AVERAGE(OFFSET($CX$3,0,0,'Données projet'!$E$13+1,1))-AVERAGE(OFFSET($H$3,0,0,'Données projet'!$E$13+1,1))</f>
        <v>133.08385802816008</v>
      </c>
      <c r="CZ191" s="59">
        <f t="shared" si="150"/>
        <v>316.59112511251385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projet'!$B$13,Paramètres!$A$1:$I$88,7,0))</f>
        <v>0</v>
      </c>
      <c r="DD191" s="16">
        <f>IF(ISNA(VLOOKUP(A191,'Données projet'!$A$139:$I$159,6,0)),0%,VLOOKUP(A191,'Données projet'!$A$139:$I$159,6,0)*VLOOKUP('Données projet'!$B$13,Paramètres!$A$1:$I$88,7,0))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projet'!$B$13,Paramètres!$A$1:$I$88,3,0)*0.475*44/12</f>
        <v>3.1596435873524262</v>
      </c>
      <c r="DG191" s="21">
        <f>EXP(-LN(2)/25)*DG190+(1-EXP(-LN(2)/25))/(LN(2)/25)*Calculateur!DB191*Calculateur!DD191*VLOOKUP('Données projet'!$B$13,Paramètres!$A$1:$I$88,3,0)*0.475*44/12</f>
        <v>0</v>
      </c>
      <c r="DH191" s="21">
        <f>EXP(-LN(2)/2)*DH190+(1-EXP(-LN(2)/2))/(LN(2)/2)*DB191*DE191*VLOOKUP('Données projet'!$B$13,Paramètres!$A$1:$I$88,3,0)*0.475*44/12</f>
        <v>9.3544262266557741E-24</v>
      </c>
      <c r="DI191" s="22">
        <f t="shared" si="175"/>
        <v>3.1596435873524262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projet'!$B$14,Paramètres!$A$1:$I$88,3,0)*VLOOKUP('Données projet'!$B$14,Paramètres!$A$1:$I$88,5,0)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projet'!$B$14,Paramètres!$A$1:$I$88,7,0))</f>
        <v>0</v>
      </c>
      <c r="DY191" s="16">
        <f>IF(ISNA(VLOOKUP(A191,'Données projet'!$A$165:$I$185,6,0)),0%,VLOOKUP(A191,'Données projet'!$A$165:$I$185,6,0)*VLOOKUP('Données projet'!$B$14,Paramètres!$A$1:$I$88,7,0))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projet'!$B$14,Paramètres!$A$1:$I$88,3,0)*0.475*44/12</f>
        <v>#N/A</v>
      </c>
      <c r="EB191" s="21" t="e">
        <f>EXP(-LN(2)/25)*EB190+(1-EXP(-LN(2)/25))/(LN(2)/25)*Calculateur!DW191*Calculateur!DY191*VLOOKUP('Données projet'!$B$14,Paramètres!$A$1:$I$88,3,0)*0.475*44/12</f>
        <v>#N/A</v>
      </c>
      <c r="EC191" s="21" t="e">
        <f>EXP(-LN(2)/2)*EC190+(1-EXP(-LN(2)/2))/(LN(2)/2)*DW191*DZ191*VLOOKUP('Données projet'!$B$14,Paramètres!$A$1:$I$88,3,0)*0.475*44/12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projet'!$B$15,Paramètres!$A$1:$I$88,3,0)*VLOOKUP('Données projet'!$B$15,Paramètres!$A$1:$I$88,5,0)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projet'!$B$15,Paramètres!$A$1:$I$88,7,0))</f>
        <v>0</v>
      </c>
      <c r="ET191" s="16">
        <f>IF(ISNA(VLOOKUP(A191,'Données projet'!$A$191:$I$211,6,0)),0%,VLOOKUP(A191,'Données projet'!$A$191:$I$211,6,0)*VLOOKUP('Données projet'!$B$15,Paramètres!$A$1:$I$88,7,0))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projet'!$B$15,Paramètres!$A$1:$I$88,3,0)*0.475*44/12</f>
        <v>#N/A</v>
      </c>
      <c r="EW191" s="21" t="e">
        <f>EXP(-LN(2)/25)*EW190+(1-EXP(-LN(2)/25))/(LN(2)/25)*Calculateur!ER191*Calculateur!ET191*VLOOKUP('Données projet'!$B$15,Paramètres!$A$1:$I$88,3,0)*0.475*44/12</f>
        <v>#N/A</v>
      </c>
      <c r="EX191" s="21" t="e">
        <f>EXP(-LN(2)/2)*EX190+(1-EXP(-LN(2)/2))/(LN(2)/2)*ER191*EU191*VLOOKUP('Données projet'!$B$15,Paramètres!$A$1:$I$88,3,0)*0.475*44/12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projet'!$B$16,Paramètres!$A$1:$I$88,3,0)*VLOOKUP('Données projet'!$B$16,Paramètres!$A$1:$I$88,5,0)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projet'!$B$16,Paramètres!$A$1:$I$88,7,0))</f>
        <v>0</v>
      </c>
      <c r="FO191" s="16">
        <f>IF(ISNA(VLOOKUP(A191,'Données projet'!$A$217:$I$237,6,0)),0%,VLOOKUP(A191,'Données projet'!$A$217:$I$237,6,0)*VLOOKUP('Données projet'!$B$16,Paramètres!$A$1:$I$88,7,0))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projet'!$B$16,Paramètres!$A$1:$I$88,3,0)*0.475*44/12</f>
        <v>#N/A</v>
      </c>
      <c r="FR191" s="21" t="e">
        <f>EXP(-LN(2)/25)*FR190+(1-EXP(-LN(2)/25))/(LN(2)/25)*Calculateur!FM191*Calculateur!FO191*VLOOKUP('Données projet'!$B$16,Paramètres!$A$1:$I$88,3,0)*0.475*44/12</f>
        <v>#N/A</v>
      </c>
      <c r="FS191" s="21" t="e">
        <f>EXP(-LN(2)/2)*FS190+(1-EXP(-LN(2)/2))/(LN(2)/2)*FM191*FP191*VLOOKUP('Données projet'!$B$16,Paramètres!$A$1:$I$88,3,0)*0.475*44/12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projet'!$B$17,Paramètres!$A$1:$I$88,3,0)*VLOOKUP('Données projet'!$B$17,Paramètres!$A$1:$I$88,5,0)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projet'!$B$17,Paramètres!$A$1:$I$88,7,0))</f>
        <v>0</v>
      </c>
      <c r="GJ191" s="16">
        <f>IF(ISNA(VLOOKUP(A191,'Données projet'!$A$243:$I$263,6,0)),0%,VLOOKUP(A191,'Données projet'!$A$243:$I$263,6,0)*VLOOKUP('Données projet'!$B$17,Paramètres!$A$1:$I$88,7,0))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projet'!$B$17,Paramètres!$A$1:$I$88,3,0)*0.475*44/12</f>
        <v>#N/A</v>
      </c>
      <c r="GM191" s="21" t="e">
        <f>EXP(-LN(2)/25)*GM190+(1-EXP(-LN(2)/25))/(LN(2)/25)*Calculateur!GH191*Calculateur!GJ191*VLOOKUP('Données projet'!$B$17,Paramètres!$A$1:$I$88,3,0)*0.475*44/12</f>
        <v>#N/A</v>
      </c>
      <c r="GN191" s="21" t="e">
        <f>EXP(-LN(2)/2)*GN190+(1-EXP(-LN(2)/2))/(LN(2)/2)*GH191*GK191*VLOOKUP('Données projet'!$B$17,Paramètres!$A$1:$I$88,3,0)*0.475*44/12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projet'!$B$18,Paramètres!$A$1:$I$88,3,0)*VLOOKUP('Données projet'!$B$18,Paramètres!$A$1:$I$88,5,0)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projet'!$B$18,Paramètres!$A$1:$I$88,7,0))</f>
        <v>0</v>
      </c>
      <c r="HE191" s="16">
        <f>IF(ISNA(VLOOKUP(A191,'Données projet'!$A$269:$I$289,6,0)),0%,VLOOKUP(A191,'Données projet'!$A$269:$I$289,6,0)*VLOOKUP('Données projet'!$B$18,Paramètres!$A$1:$I$88,7,0))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projet'!$B$18,Paramètres!$A$1:$I$88,3,0)*0.475*44/12</f>
        <v>#N/A</v>
      </c>
      <c r="HH191" s="21" t="e">
        <f>EXP(-LN(2)/25)*HH190+(1-EXP(-LN(2)/25))/(LN(2)/25)*Calculateur!HC191*Calculateur!HE191*VLOOKUP('Données projet'!$B$18,Paramètres!$A$1:$I$88,3,0)*0.475*44/12</f>
        <v>#N/A</v>
      </c>
      <c r="HI191" s="21" t="e">
        <f>EXP(-LN(2)/2)*HI190+(1-EXP(-LN(2)/2))/(LN(2)/2)*HC191*HF191*VLOOKUP('Données projet'!$B$18,Paramètres!$A$1:$I$88,3,0)*0.475*44/12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projet'!$B$9,Paramètres!$A$1:$I$88,3,0)*VLOOKUP('Données projet'!$B$9,Paramètres!$A$1:$I$88,5,0)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195.73441209602686</v>
      </c>
      <c r="T192" s="59">
        <f t="shared" si="142"/>
        <v>219.19129224309006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projet'!$B$9,Paramètres!$A$1:$I$88,7,0))</f>
        <v>0</v>
      </c>
      <c r="X192" s="16">
        <f>IF(ISNA(VLOOKUP(A192,'Données projet'!$A$35:$I$55,6,0)),0%,VLOOKUP(A192,'Données projet'!$A$35:$I$55,6,0)*VLOOKUP('Données projet'!$B$9,Paramètres!$A$1:$I$88,7,0))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projet'!$B$9,Paramètres!$A$1:$I$88,3,0)*0.475*44/12</f>
        <v>0.65433486323646406</v>
      </c>
      <c r="AA192" s="21">
        <f>EXP(-LN(2)/25)*AA191+(1-EXP(-LN(2)/25))/(LN(2)/25)*Calculateur!V192*Calculateur!X192*VLOOKUP('Données projet'!$B$9,Paramètres!$A$1:$I$88,3,0)*0.475*44/12</f>
        <v>0.17236154017691596</v>
      </c>
      <c r="AB192" s="21">
        <f>EXP(-LN(2)/2)*AB191+(1-EXP(-LN(2)/2))/(LN(2)/2)*V192*Y192*VLOOKUP('Données projet'!$B$9,Paramètres!$A$1:$I$88,3,0)*0.475*44/12</f>
        <v>4.640912300868031E-26</v>
      </c>
      <c r="AC192" s="22">
        <f t="shared" si="163"/>
        <v>0.82669640341338002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-4.5474735088646412E-13</v>
      </c>
      <c r="AJ192" s="13">
        <f>AI192*VLOOKUP('Données projet'!$B$10,Paramètres!$A$1:$I$88,3,0)*VLOOKUP('Données projet'!$B$10,Paramètres!$A$1:$I$88,5,0)</f>
        <v>-2.7193891583010558E-13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246.59447135626942</v>
      </c>
      <c r="AO192" s="59">
        <f t="shared" si="144"/>
        <v>262.00382544285367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projet'!$B$10,Paramètres!$A$1:$I$88,7,0))</f>
        <v>0</v>
      </c>
      <c r="AS192" s="16">
        <f>IF(ISNA(VLOOKUP(A192,'Données projet'!$A$61:$I$81,6,0)),0%,VLOOKUP(A192,'Données projet'!$A$61:$I$81,6,0)*VLOOKUP('Données projet'!$B$10,Paramètres!$A$1:$I$88,7,0))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projet'!$B$10,Paramètres!$A$1:$I$88,3,0)*0.475*44/12</f>
        <v>0</v>
      </c>
      <c r="AV192" s="21">
        <f>EXP(-LN(2)/25)*AV191+(1-EXP(-LN(2)/25))/(LN(2)/25)*Calculateur!AQ192*Calculateur!AS192*VLOOKUP('Données projet'!$B$10,Paramètres!$A$1:$I$88,3,0)*0.475*44/12</f>
        <v>0.15643267241131847</v>
      </c>
      <c r="AW192" s="21">
        <f>EXP(-LN(2)/2)*AW191+(1-EXP(-LN(2)/2))/(LN(2)/2)*AQ192*AT192*VLOOKUP('Données projet'!$B$10,Paramètres!$A$1:$I$88,3,0)*0.475*44/12</f>
        <v>2.7758843442258643E-23</v>
      </c>
      <c r="AX192" s="21">
        <f t="shared" si="166"/>
        <v>0.15643267241131847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-5.6843418860808015E-13</v>
      </c>
      <c r="BE192" s="13">
        <f>BD192*VLOOKUP('Données projet'!$B$11,Paramètres!$A$1:$I$88,3,0)*VLOOKUP('Données projet'!$B$11,Paramètres!$A$1:$I$88,5,0)</f>
        <v>-3.177547114319168E-13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355.96253323046608</v>
      </c>
      <c r="BJ192" s="59">
        <f t="shared" si="146"/>
        <v>366.8380442809696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projet'!$B$11,Paramètres!$A$1:$I$88,7,0))</f>
        <v>0</v>
      </c>
      <c r="BN192" s="16">
        <f>IF(ISNA(VLOOKUP(A192,'Données projet'!$A$87:$I$107,6,0)),0%,VLOOKUP(A192,'Données projet'!$A$87:$I$107,6,0)*VLOOKUP('Données projet'!$B$11,Paramètres!$A$1:$I$88,7,0))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projet'!$B$11,Paramètres!$A$1:$I$88,3,0)*0.475*44/12</f>
        <v>0</v>
      </c>
      <c r="BQ192" s="21">
        <f>EXP(-LN(2)/25)*BQ191+(1-EXP(-LN(2)/25))/(LN(2)/25)*Calculateur!BL192*Calculateur!BN192*VLOOKUP('Données projet'!$B$11,Paramètres!$A$1:$I$88,3,0)*0.475*44/12</f>
        <v>0.27696618581704768</v>
      </c>
      <c r="BR192" s="21">
        <f>EXP(-LN(2)/2)*BR191+(1-EXP(-LN(2)/2))/(LN(2)/2)*BL192*BO192*VLOOKUP('Données projet'!$B$11,Paramètres!$A$1:$I$88,3,0)*0.475*44/12</f>
        <v>4.2919695035216053E-23</v>
      </c>
      <c r="BS192" s="22">
        <f t="shared" si="169"/>
        <v>0.27696618581704768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projet'!$B$12,Paramètres!$A$1:$I$88,3,0)*VLOOKUP('Données projet'!$B$12,Paramètres!$A$1:$I$88,5,0)</f>
        <v>3.7243808037601412E-14</v>
      </c>
      <c r="CA192" s="13">
        <f t="shared" si="170"/>
        <v>6.2767589361185393E-13</v>
      </c>
      <c r="CB192" s="20">
        <f t="shared" si="171"/>
        <v>1.1580684803728015E-12</v>
      </c>
      <c r="CC192" s="59">
        <f t="shared" si="119"/>
        <v>293.33333333333445</v>
      </c>
      <c r="CD192" s="59">
        <f ca="1">AVERAGE(OFFSET($CC$3,0,0,'Données projet'!$E$12+1,1))-AVERAGE(OFFSET($H$3,0,0,'Données projet'!$E$12+1,1))</f>
        <v>180.90147430936133</v>
      </c>
      <c r="CE192" s="59">
        <f t="shared" si="148"/>
        <v>226.87949199830018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projet'!$B$12,Paramètres!$A$1:$I$88,7,0))</f>
        <v>0</v>
      </c>
      <c r="CI192" s="16">
        <f>IF(ISNA(VLOOKUP(A192,'Données projet'!$A$113:$I$133,6,0)),0%,VLOOKUP(A192,'Données projet'!$A$113:$I$133,6,0)*VLOOKUP('Données projet'!$B$12,Paramètres!$A$1:$I$88,7,0))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projet'!$B$12,Paramètres!$A$1:$I$88,3,0)*0.475*44/12</f>
        <v>0</v>
      </c>
      <c r="CL192" s="21">
        <f>EXP(-LN(2)/25)*CL191+(1-EXP(-LN(2)/25))/(LN(2)/25)*Calculateur!CG192*Calculateur!CI192*VLOOKUP('Données projet'!$B$12,Paramètres!$A$1:$I$88,3,0)*0.475*44/12</f>
        <v>8.3644958468814978E-2</v>
      </c>
      <c r="CM192" s="21">
        <f>EXP(-LN(2)/2)*CM191+(1-EXP(-LN(2)/2))/(LN(2)/2)*CG192*CJ192*VLOOKUP('Données projet'!$B$12,Paramètres!$A$1:$I$88,3,0)*0.475*44/12</f>
        <v>1.0367394522547801E-23</v>
      </c>
      <c r="CN192" s="22">
        <f t="shared" si="172"/>
        <v>8.3644958468814978E-2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5.6843418860808015E-14</v>
      </c>
      <c r="CU192" s="17">
        <f>CT192*VLOOKUP('Données projet'!$B$13,Paramètres!$A$1:$I$88,3,0)*VLOOKUP('Données projet'!$B$13,Paramètres!$A$1:$I$88,5,0)</f>
        <v>2.8908289095852525E-14</v>
      </c>
      <c r="CV192" s="13">
        <f t="shared" si="173"/>
        <v>5.0177780569126974E-13</v>
      </c>
      <c r="CW192" s="20">
        <f t="shared" si="174"/>
        <v>9.2427828175423786E-13</v>
      </c>
      <c r="CX192" s="59">
        <f t="shared" si="122"/>
        <v>293.33333333333422</v>
      </c>
      <c r="CY192" s="59">
        <f ca="1">AVERAGE(OFFSET($CX$3,0,0,'Données projet'!$E$13+1,1))-AVERAGE(OFFSET($H$3,0,0,'Données projet'!$E$13+1,1))</f>
        <v>133.08385802816008</v>
      </c>
      <c r="CZ192" s="59">
        <f t="shared" si="150"/>
        <v>316.59112511251385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projet'!$B$13,Paramètres!$A$1:$I$88,7,0))</f>
        <v>0</v>
      </c>
      <c r="DD192" s="16">
        <f>IF(ISNA(VLOOKUP(A192,'Données projet'!$A$139:$I$159,6,0)),0%,VLOOKUP(A192,'Données projet'!$A$139:$I$159,6,0)*VLOOKUP('Données projet'!$B$13,Paramètres!$A$1:$I$88,7,0))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projet'!$B$13,Paramètres!$A$1:$I$88,3,0)*0.475*44/12</f>
        <v>3.0976849037967389</v>
      </c>
      <c r="DG192" s="21">
        <f>EXP(-LN(2)/25)*DG191+(1-EXP(-LN(2)/25))/(LN(2)/25)*Calculateur!DB192*Calculateur!DD192*VLOOKUP('Données projet'!$B$13,Paramètres!$A$1:$I$88,3,0)*0.475*44/12</f>
        <v>0</v>
      </c>
      <c r="DH192" s="21">
        <f>EXP(-LN(2)/2)*DH191+(1-EXP(-LN(2)/2))/(LN(2)/2)*DB192*DE192*VLOOKUP('Données projet'!$B$13,Paramètres!$A$1:$I$88,3,0)*0.475*44/12</f>
        <v>6.6145782189775865E-24</v>
      </c>
      <c r="DI192" s="22">
        <f t="shared" si="175"/>
        <v>3.0976849037967389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projet'!$B$14,Paramètres!$A$1:$I$88,3,0)*VLOOKUP('Données projet'!$B$14,Paramètres!$A$1:$I$88,5,0)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projet'!$B$14,Paramètres!$A$1:$I$88,7,0))</f>
        <v>0</v>
      </c>
      <c r="DY192" s="16">
        <f>IF(ISNA(VLOOKUP(A192,'Données projet'!$A$165:$I$185,6,0)),0%,VLOOKUP(A192,'Données projet'!$A$165:$I$185,6,0)*VLOOKUP('Données projet'!$B$14,Paramètres!$A$1:$I$88,7,0))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projet'!$B$14,Paramètres!$A$1:$I$88,3,0)*0.475*44/12</f>
        <v>#N/A</v>
      </c>
      <c r="EB192" s="21" t="e">
        <f>EXP(-LN(2)/25)*EB191+(1-EXP(-LN(2)/25))/(LN(2)/25)*Calculateur!DW192*Calculateur!DY192*VLOOKUP('Données projet'!$B$14,Paramètres!$A$1:$I$88,3,0)*0.475*44/12</f>
        <v>#N/A</v>
      </c>
      <c r="EC192" s="21" t="e">
        <f>EXP(-LN(2)/2)*EC191+(1-EXP(-LN(2)/2))/(LN(2)/2)*DW192*DZ192*VLOOKUP('Données projet'!$B$14,Paramètres!$A$1:$I$88,3,0)*0.475*44/12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projet'!$B$15,Paramètres!$A$1:$I$88,3,0)*VLOOKUP('Données projet'!$B$15,Paramètres!$A$1:$I$88,5,0)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projet'!$B$15,Paramètres!$A$1:$I$88,7,0))</f>
        <v>0</v>
      </c>
      <c r="ET192" s="16">
        <f>IF(ISNA(VLOOKUP(A192,'Données projet'!$A$191:$I$211,6,0)),0%,VLOOKUP(A192,'Données projet'!$A$191:$I$211,6,0)*VLOOKUP('Données projet'!$B$15,Paramètres!$A$1:$I$88,7,0))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projet'!$B$15,Paramètres!$A$1:$I$88,3,0)*0.475*44/12</f>
        <v>#N/A</v>
      </c>
      <c r="EW192" s="21" t="e">
        <f>EXP(-LN(2)/25)*EW191+(1-EXP(-LN(2)/25))/(LN(2)/25)*Calculateur!ER192*Calculateur!ET192*VLOOKUP('Données projet'!$B$15,Paramètres!$A$1:$I$88,3,0)*0.475*44/12</f>
        <v>#N/A</v>
      </c>
      <c r="EX192" s="21" t="e">
        <f>EXP(-LN(2)/2)*EX191+(1-EXP(-LN(2)/2))/(LN(2)/2)*ER192*EU192*VLOOKUP('Données projet'!$B$15,Paramètres!$A$1:$I$88,3,0)*0.475*44/12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projet'!$B$16,Paramètres!$A$1:$I$88,3,0)*VLOOKUP('Données projet'!$B$16,Paramètres!$A$1:$I$88,5,0)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projet'!$B$16,Paramètres!$A$1:$I$88,7,0))</f>
        <v>0</v>
      </c>
      <c r="FO192" s="16">
        <f>IF(ISNA(VLOOKUP(A192,'Données projet'!$A$217:$I$237,6,0)),0%,VLOOKUP(A192,'Données projet'!$A$217:$I$237,6,0)*VLOOKUP('Données projet'!$B$16,Paramètres!$A$1:$I$88,7,0))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projet'!$B$16,Paramètres!$A$1:$I$88,3,0)*0.475*44/12</f>
        <v>#N/A</v>
      </c>
      <c r="FR192" s="21" t="e">
        <f>EXP(-LN(2)/25)*FR191+(1-EXP(-LN(2)/25))/(LN(2)/25)*Calculateur!FM192*Calculateur!FO192*VLOOKUP('Données projet'!$B$16,Paramètres!$A$1:$I$88,3,0)*0.475*44/12</f>
        <v>#N/A</v>
      </c>
      <c r="FS192" s="21" t="e">
        <f>EXP(-LN(2)/2)*FS191+(1-EXP(-LN(2)/2))/(LN(2)/2)*FM192*FP192*VLOOKUP('Données projet'!$B$16,Paramètres!$A$1:$I$88,3,0)*0.475*44/12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projet'!$B$17,Paramètres!$A$1:$I$88,3,0)*VLOOKUP('Données projet'!$B$17,Paramètres!$A$1:$I$88,5,0)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projet'!$B$17,Paramètres!$A$1:$I$88,7,0))</f>
        <v>0</v>
      </c>
      <c r="GJ192" s="16">
        <f>IF(ISNA(VLOOKUP(A192,'Données projet'!$A$243:$I$263,6,0)),0%,VLOOKUP(A192,'Données projet'!$A$243:$I$263,6,0)*VLOOKUP('Données projet'!$B$17,Paramètres!$A$1:$I$88,7,0))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projet'!$B$17,Paramètres!$A$1:$I$88,3,0)*0.475*44/12</f>
        <v>#N/A</v>
      </c>
      <c r="GM192" s="21" t="e">
        <f>EXP(-LN(2)/25)*GM191+(1-EXP(-LN(2)/25))/(LN(2)/25)*Calculateur!GH192*Calculateur!GJ192*VLOOKUP('Données projet'!$B$17,Paramètres!$A$1:$I$88,3,0)*0.475*44/12</f>
        <v>#N/A</v>
      </c>
      <c r="GN192" s="21" t="e">
        <f>EXP(-LN(2)/2)*GN191+(1-EXP(-LN(2)/2))/(LN(2)/2)*GH192*GK192*VLOOKUP('Données projet'!$B$17,Paramètres!$A$1:$I$88,3,0)*0.475*44/12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projet'!$B$18,Paramètres!$A$1:$I$88,3,0)*VLOOKUP('Données projet'!$B$18,Paramètres!$A$1:$I$88,5,0)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projet'!$B$18,Paramètres!$A$1:$I$88,7,0))</f>
        <v>0</v>
      </c>
      <c r="HE192" s="16">
        <f>IF(ISNA(VLOOKUP(A192,'Données projet'!$A$269:$I$289,6,0)),0%,VLOOKUP(A192,'Données projet'!$A$269:$I$289,6,0)*VLOOKUP('Données projet'!$B$18,Paramètres!$A$1:$I$88,7,0))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projet'!$B$18,Paramètres!$A$1:$I$88,3,0)*0.475*44/12</f>
        <v>#N/A</v>
      </c>
      <c r="HH192" s="21" t="e">
        <f>EXP(-LN(2)/25)*HH191+(1-EXP(-LN(2)/25))/(LN(2)/25)*Calculateur!HC192*Calculateur!HE192*VLOOKUP('Données projet'!$B$18,Paramètres!$A$1:$I$88,3,0)*0.475*44/12</f>
        <v>#N/A</v>
      </c>
      <c r="HI192" s="21" t="e">
        <f>EXP(-LN(2)/2)*HI191+(1-EXP(-LN(2)/2))/(LN(2)/2)*HC192*HF192*VLOOKUP('Données projet'!$B$18,Paramètres!$A$1:$I$88,3,0)*0.475*44/12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projet'!$B$9,Paramètres!$A$1:$I$88,3,0)*VLOOKUP('Données projet'!$B$9,Paramètres!$A$1:$I$88,5,0)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195.73441209602686</v>
      </c>
      <c r="T193" s="59">
        <f t="shared" si="142"/>
        <v>219.19129224309006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projet'!$B$9,Paramètres!$A$1:$I$88,7,0))</f>
        <v>0</v>
      </c>
      <c r="X193" s="16">
        <f>IF(ISNA(VLOOKUP(A193,'Données projet'!$A$35:$I$55,6,0)),0%,VLOOKUP(A193,'Données projet'!$A$35:$I$55,6,0)*VLOOKUP('Données projet'!$B$9,Paramètres!$A$1:$I$88,7,0))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projet'!$B$9,Paramètres!$A$1:$I$88,3,0)*0.475*44/12</f>
        <v>0.64150375567325524</v>
      </c>
      <c r="AA193" s="21">
        <f>EXP(-LN(2)/25)*AA192+(1-EXP(-LN(2)/25))/(LN(2)/25)*Calculateur!V193*Calculateur!X193*VLOOKUP('Données projet'!$B$9,Paramètres!$A$1:$I$88,3,0)*0.475*44/12</f>
        <v>0.16764830479667872</v>
      </c>
      <c r="AB193" s="21">
        <f>EXP(-LN(2)/2)*AB192+(1-EXP(-LN(2)/2))/(LN(2)/2)*V193*Y193*VLOOKUP('Données projet'!$B$9,Paramètres!$A$1:$I$88,3,0)*0.475*44/12</f>
        <v>3.2816205588358475E-26</v>
      </c>
      <c r="AC193" s="22">
        <f t="shared" si="163"/>
        <v>0.80915206046993393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-4.5474735088646412E-13</v>
      </c>
      <c r="AJ193" s="13">
        <f>AI193*VLOOKUP('Données projet'!$B$10,Paramètres!$A$1:$I$88,3,0)*VLOOKUP('Données projet'!$B$10,Paramètres!$A$1:$I$88,5,0)</f>
        <v>-2.7193891583010558E-13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246.59447135626942</v>
      </c>
      <c r="AO193" s="59">
        <f t="shared" si="144"/>
        <v>262.00382544285367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projet'!$B$10,Paramètres!$A$1:$I$88,7,0))</f>
        <v>0</v>
      </c>
      <c r="AS193" s="16">
        <f>IF(ISNA(VLOOKUP(A193,'Données projet'!$A$61:$I$81,6,0)),0%,VLOOKUP(A193,'Données projet'!$A$61:$I$81,6,0)*VLOOKUP('Données projet'!$B$10,Paramètres!$A$1:$I$88,7,0))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projet'!$B$10,Paramètres!$A$1:$I$88,3,0)*0.475*44/12</f>
        <v>0</v>
      </c>
      <c r="AV193" s="21">
        <f>EXP(-LN(2)/25)*AV192+(1-EXP(-LN(2)/25))/(LN(2)/25)*Calculateur!AQ193*Calculateur!AS193*VLOOKUP('Données projet'!$B$10,Paramètres!$A$1:$I$88,3,0)*0.475*44/12</f>
        <v>0.15215501275779425</v>
      </c>
      <c r="AW193" s="21">
        <f>EXP(-LN(2)/2)*AW192+(1-EXP(-LN(2)/2))/(LN(2)/2)*AQ193*AT193*VLOOKUP('Données projet'!$B$10,Paramètres!$A$1:$I$88,3,0)*0.475*44/12</f>
        <v>1.9628466435916812E-23</v>
      </c>
      <c r="AX193" s="21">
        <f t="shared" si="166"/>
        <v>0.15215501275779425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-5.6843418860808015E-13</v>
      </c>
      <c r="BE193" s="13">
        <f>BD193*VLOOKUP('Données projet'!$B$11,Paramètres!$A$1:$I$88,3,0)*VLOOKUP('Données projet'!$B$11,Paramètres!$A$1:$I$88,5,0)</f>
        <v>-3.177547114319168E-13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355.96253323046608</v>
      </c>
      <c r="BJ193" s="59">
        <f t="shared" si="146"/>
        <v>366.8380442809696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projet'!$B$11,Paramètres!$A$1:$I$88,7,0))</f>
        <v>0</v>
      </c>
      <c r="BN193" s="16">
        <f>IF(ISNA(VLOOKUP(A193,'Données projet'!$A$87:$I$107,6,0)),0%,VLOOKUP(A193,'Données projet'!$A$87:$I$107,6,0)*VLOOKUP('Données projet'!$B$11,Paramètres!$A$1:$I$88,7,0))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projet'!$B$11,Paramètres!$A$1:$I$88,3,0)*0.475*44/12</f>
        <v>0</v>
      </c>
      <c r="BQ193" s="21">
        <f>EXP(-LN(2)/25)*BQ192+(1-EXP(-LN(2)/25))/(LN(2)/25)*Calculateur!BL193*Calculateur!BN193*VLOOKUP('Données projet'!$B$11,Paramètres!$A$1:$I$88,3,0)*0.475*44/12</f>
        <v>0.26939253090086179</v>
      </c>
      <c r="BR193" s="21">
        <f>EXP(-LN(2)/2)*BR192+(1-EXP(-LN(2)/2))/(LN(2)/2)*BL193*BO193*VLOOKUP('Données projet'!$B$11,Paramètres!$A$1:$I$88,3,0)*0.475*44/12</f>
        <v>3.0348807405859867E-23</v>
      </c>
      <c r="BS193" s="22">
        <f t="shared" si="169"/>
        <v>0.26939253090086179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projet'!$B$12,Paramètres!$A$1:$I$88,3,0)*VLOOKUP('Données projet'!$B$12,Paramètres!$A$1:$I$88,5,0)</f>
        <v>3.7243808037601412E-14</v>
      </c>
      <c r="CA193" s="13">
        <f t="shared" si="170"/>
        <v>6.2767589361185393E-13</v>
      </c>
      <c r="CB193" s="20">
        <f t="shared" si="171"/>
        <v>1.1580684803728015E-12</v>
      </c>
      <c r="CC193" s="59">
        <f t="shared" si="119"/>
        <v>293.33333333333445</v>
      </c>
      <c r="CD193" s="59">
        <f ca="1">AVERAGE(OFFSET($CC$3,0,0,'Données projet'!$E$12+1,1))-AVERAGE(OFFSET($H$3,0,0,'Données projet'!$E$12+1,1))</f>
        <v>180.90147430936133</v>
      </c>
      <c r="CE193" s="59">
        <f t="shared" si="148"/>
        <v>226.87949199830018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projet'!$B$12,Paramètres!$A$1:$I$88,7,0))</f>
        <v>0</v>
      </c>
      <c r="CI193" s="16">
        <f>IF(ISNA(VLOOKUP(A193,'Données projet'!$A$113:$I$133,6,0)),0%,VLOOKUP(A193,'Données projet'!$A$113:$I$133,6,0)*VLOOKUP('Données projet'!$B$12,Paramètres!$A$1:$I$88,7,0))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projet'!$B$12,Paramètres!$A$1:$I$88,3,0)*0.475*44/12</f>
        <v>0</v>
      </c>
      <c r="CL193" s="21">
        <f>EXP(-LN(2)/25)*CL192+(1-EXP(-LN(2)/25))/(LN(2)/25)*Calculateur!CG193*Calculateur!CI193*VLOOKUP('Données projet'!$B$12,Paramètres!$A$1:$I$88,3,0)*0.475*44/12</f>
        <v>8.1357682680788038E-2</v>
      </c>
      <c r="CM193" s="21">
        <f>EXP(-LN(2)/2)*CM192+(1-EXP(-LN(2)/2))/(LN(2)/2)*CG193*CJ193*VLOOKUP('Données projet'!$B$12,Paramètres!$A$1:$I$88,3,0)*0.475*44/12</f>
        <v>7.3308549701298192E-24</v>
      </c>
      <c r="CN193" s="22">
        <f t="shared" si="172"/>
        <v>8.1357682680788038E-2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5.6843418860808015E-14</v>
      </c>
      <c r="CU193" s="17">
        <f>CT193*VLOOKUP('Données projet'!$B$13,Paramètres!$A$1:$I$88,3,0)*VLOOKUP('Données projet'!$B$13,Paramètres!$A$1:$I$88,5,0)</f>
        <v>2.8908289095852525E-14</v>
      </c>
      <c r="CV193" s="13">
        <f t="shared" si="173"/>
        <v>5.0177780569126974E-13</v>
      </c>
      <c r="CW193" s="20">
        <f t="shared" si="174"/>
        <v>9.2427828175423786E-13</v>
      </c>
      <c r="CX193" s="59">
        <f t="shared" si="122"/>
        <v>293.33333333333422</v>
      </c>
      <c r="CY193" s="59">
        <f ca="1">AVERAGE(OFFSET($CX$3,0,0,'Données projet'!$E$13+1,1))-AVERAGE(OFFSET($H$3,0,0,'Données projet'!$E$13+1,1))</f>
        <v>133.08385802816008</v>
      </c>
      <c r="CZ193" s="59">
        <f t="shared" si="150"/>
        <v>316.59112511251385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projet'!$B$13,Paramètres!$A$1:$I$88,7,0))</f>
        <v>0</v>
      </c>
      <c r="DD193" s="16">
        <f>IF(ISNA(VLOOKUP(A193,'Données projet'!$A$139:$I$159,6,0)),0%,VLOOKUP(A193,'Données projet'!$A$139:$I$159,6,0)*VLOOKUP('Données projet'!$B$13,Paramètres!$A$1:$I$88,7,0))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projet'!$B$13,Paramètres!$A$1:$I$88,3,0)*0.475*44/12</f>
        <v>3.0369411922345133</v>
      </c>
      <c r="DG193" s="21">
        <f>EXP(-LN(2)/25)*DG192+(1-EXP(-LN(2)/25))/(LN(2)/25)*Calculateur!DB193*Calculateur!DD193*VLOOKUP('Données projet'!$B$13,Paramètres!$A$1:$I$88,3,0)*0.475*44/12</f>
        <v>0</v>
      </c>
      <c r="DH193" s="21">
        <f>EXP(-LN(2)/2)*DH192+(1-EXP(-LN(2)/2))/(LN(2)/2)*DB193*DE193*VLOOKUP('Données projet'!$B$13,Paramètres!$A$1:$I$88,3,0)*0.475*44/12</f>
        <v>4.6772131133278878E-24</v>
      </c>
      <c r="DI193" s="22">
        <f t="shared" si="175"/>
        <v>3.0369411922345133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projet'!$B$14,Paramètres!$A$1:$I$88,3,0)*VLOOKUP('Données projet'!$B$14,Paramètres!$A$1:$I$88,5,0)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projet'!$B$14,Paramètres!$A$1:$I$88,7,0))</f>
        <v>0</v>
      </c>
      <c r="DY193" s="16">
        <f>IF(ISNA(VLOOKUP(A193,'Données projet'!$A$165:$I$185,6,0)),0%,VLOOKUP(A193,'Données projet'!$A$165:$I$185,6,0)*VLOOKUP('Données projet'!$B$14,Paramètres!$A$1:$I$88,7,0))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projet'!$B$14,Paramètres!$A$1:$I$88,3,0)*0.475*44/12</f>
        <v>#N/A</v>
      </c>
      <c r="EB193" s="21" t="e">
        <f>EXP(-LN(2)/25)*EB192+(1-EXP(-LN(2)/25))/(LN(2)/25)*Calculateur!DW193*Calculateur!DY193*VLOOKUP('Données projet'!$B$14,Paramètres!$A$1:$I$88,3,0)*0.475*44/12</f>
        <v>#N/A</v>
      </c>
      <c r="EC193" s="21" t="e">
        <f>EXP(-LN(2)/2)*EC192+(1-EXP(-LN(2)/2))/(LN(2)/2)*DW193*DZ193*VLOOKUP('Données projet'!$B$14,Paramètres!$A$1:$I$88,3,0)*0.475*44/12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projet'!$B$15,Paramètres!$A$1:$I$88,3,0)*VLOOKUP('Données projet'!$B$15,Paramètres!$A$1:$I$88,5,0)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projet'!$B$15,Paramètres!$A$1:$I$88,7,0))</f>
        <v>0</v>
      </c>
      <c r="ET193" s="16">
        <f>IF(ISNA(VLOOKUP(A193,'Données projet'!$A$191:$I$211,6,0)),0%,VLOOKUP(A193,'Données projet'!$A$191:$I$211,6,0)*VLOOKUP('Données projet'!$B$15,Paramètres!$A$1:$I$88,7,0))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projet'!$B$15,Paramètres!$A$1:$I$88,3,0)*0.475*44/12</f>
        <v>#N/A</v>
      </c>
      <c r="EW193" s="21" t="e">
        <f>EXP(-LN(2)/25)*EW192+(1-EXP(-LN(2)/25))/(LN(2)/25)*Calculateur!ER193*Calculateur!ET193*VLOOKUP('Données projet'!$B$15,Paramètres!$A$1:$I$88,3,0)*0.475*44/12</f>
        <v>#N/A</v>
      </c>
      <c r="EX193" s="21" t="e">
        <f>EXP(-LN(2)/2)*EX192+(1-EXP(-LN(2)/2))/(LN(2)/2)*ER193*EU193*VLOOKUP('Données projet'!$B$15,Paramètres!$A$1:$I$88,3,0)*0.475*44/12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projet'!$B$16,Paramètres!$A$1:$I$88,3,0)*VLOOKUP('Données projet'!$B$16,Paramètres!$A$1:$I$88,5,0)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projet'!$B$16,Paramètres!$A$1:$I$88,7,0))</f>
        <v>0</v>
      </c>
      <c r="FO193" s="16">
        <f>IF(ISNA(VLOOKUP(A193,'Données projet'!$A$217:$I$237,6,0)),0%,VLOOKUP(A193,'Données projet'!$A$217:$I$237,6,0)*VLOOKUP('Données projet'!$B$16,Paramètres!$A$1:$I$88,7,0))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projet'!$B$16,Paramètres!$A$1:$I$88,3,0)*0.475*44/12</f>
        <v>#N/A</v>
      </c>
      <c r="FR193" s="21" t="e">
        <f>EXP(-LN(2)/25)*FR192+(1-EXP(-LN(2)/25))/(LN(2)/25)*Calculateur!FM193*Calculateur!FO193*VLOOKUP('Données projet'!$B$16,Paramètres!$A$1:$I$88,3,0)*0.475*44/12</f>
        <v>#N/A</v>
      </c>
      <c r="FS193" s="21" t="e">
        <f>EXP(-LN(2)/2)*FS192+(1-EXP(-LN(2)/2))/(LN(2)/2)*FM193*FP193*VLOOKUP('Données projet'!$B$16,Paramètres!$A$1:$I$88,3,0)*0.475*44/12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projet'!$B$17,Paramètres!$A$1:$I$88,3,0)*VLOOKUP('Données projet'!$B$17,Paramètres!$A$1:$I$88,5,0)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projet'!$B$17,Paramètres!$A$1:$I$88,7,0))</f>
        <v>0</v>
      </c>
      <c r="GJ193" s="16">
        <f>IF(ISNA(VLOOKUP(A193,'Données projet'!$A$243:$I$263,6,0)),0%,VLOOKUP(A193,'Données projet'!$A$243:$I$263,6,0)*VLOOKUP('Données projet'!$B$17,Paramètres!$A$1:$I$88,7,0))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projet'!$B$17,Paramètres!$A$1:$I$88,3,0)*0.475*44/12</f>
        <v>#N/A</v>
      </c>
      <c r="GM193" s="21" t="e">
        <f>EXP(-LN(2)/25)*GM192+(1-EXP(-LN(2)/25))/(LN(2)/25)*Calculateur!GH193*Calculateur!GJ193*VLOOKUP('Données projet'!$B$17,Paramètres!$A$1:$I$88,3,0)*0.475*44/12</f>
        <v>#N/A</v>
      </c>
      <c r="GN193" s="21" t="e">
        <f>EXP(-LN(2)/2)*GN192+(1-EXP(-LN(2)/2))/(LN(2)/2)*GH193*GK193*VLOOKUP('Données projet'!$B$17,Paramètres!$A$1:$I$88,3,0)*0.475*44/12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projet'!$B$18,Paramètres!$A$1:$I$88,3,0)*VLOOKUP('Données projet'!$B$18,Paramètres!$A$1:$I$88,5,0)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projet'!$B$18,Paramètres!$A$1:$I$88,7,0))</f>
        <v>0</v>
      </c>
      <c r="HE193" s="16">
        <f>IF(ISNA(VLOOKUP(A193,'Données projet'!$A$269:$I$289,6,0)),0%,VLOOKUP(A193,'Données projet'!$A$269:$I$289,6,0)*VLOOKUP('Données projet'!$B$18,Paramètres!$A$1:$I$88,7,0))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projet'!$B$18,Paramètres!$A$1:$I$88,3,0)*0.475*44/12</f>
        <v>#N/A</v>
      </c>
      <c r="HH193" s="21" t="e">
        <f>EXP(-LN(2)/25)*HH192+(1-EXP(-LN(2)/25))/(LN(2)/25)*Calculateur!HC193*Calculateur!HE193*VLOOKUP('Données projet'!$B$18,Paramètres!$A$1:$I$88,3,0)*0.475*44/12</f>
        <v>#N/A</v>
      </c>
      <c r="HI193" s="21" t="e">
        <f>EXP(-LN(2)/2)*HI192+(1-EXP(-LN(2)/2))/(LN(2)/2)*HC193*HF193*VLOOKUP('Données projet'!$B$18,Paramètres!$A$1:$I$88,3,0)*0.475*44/12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projet'!$B$9,Paramètres!$A$1:$I$88,3,0)*VLOOKUP('Données projet'!$B$9,Paramètres!$A$1:$I$88,5,0)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195.73441209602686</v>
      </c>
      <c r="T194" s="59">
        <f t="shared" si="142"/>
        <v>219.19129224309006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projet'!$B$9,Paramètres!$A$1:$I$88,7,0))</f>
        <v>0</v>
      </c>
      <c r="X194" s="16">
        <f>IF(ISNA(VLOOKUP(A194,'Données projet'!$A$35:$I$55,6,0)),0%,VLOOKUP(A194,'Données projet'!$A$35:$I$55,6,0)*VLOOKUP('Données projet'!$B$9,Paramètres!$A$1:$I$88,7,0))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projet'!$B$9,Paramètres!$A$1:$I$88,3,0)*0.475*44/12</f>
        <v>0.62892425830315812</v>
      </c>
      <c r="AA194" s="21">
        <f>EXP(-LN(2)/25)*AA193+(1-EXP(-LN(2)/25))/(LN(2)/25)*Calculateur!V194*Calculateur!X194*VLOOKUP('Données projet'!$B$9,Paramètres!$A$1:$I$88,3,0)*0.475*44/12</f>
        <v>0.16306395308577235</v>
      </c>
      <c r="AB194" s="21">
        <f>EXP(-LN(2)/2)*AB193+(1-EXP(-LN(2)/2))/(LN(2)/2)*V194*Y194*VLOOKUP('Données projet'!$B$9,Paramètres!$A$1:$I$88,3,0)*0.475*44/12</f>
        <v>2.3204561504340155E-26</v>
      </c>
      <c r="AC194" s="22">
        <f t="shared" si="163"/>
        <v>0.7919882113889305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-4.5474735088646412E-13</v>
      </c>
      <c r="AJ194" s="13">
        <f>AI194*VLOOKUP('Données projet'!$B$10,Paramètres!$A$1:$I$88,3,0)*VLOOKUP('Données projet'!$B$10,Paramètres!$A$1:$I$88,5,0)</f>
        <v>-2.7193891583010558E-13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246.59447135626942</v>
      </c>
      <c r="AO194" s="59">
        <f t="shared" si="144"/>
        <v>262.00382544285367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projet'!$B$10,Paramètres!$A$1:$I$88,7,0))</f>
        <v>0</v>
      </c>
      <c r="AS194" s="16">
        <f>IF(ISNA(VLOOKUP(A194,'Données projet'!$A$61:$I$81,6,0)),0%,VLOOKUP(A194,'Données projet'!$A$61:$I$81,6,0)*VLOOKUP('Données projet'!$B$10,Paramètres!$A$1:$I$88,7,0))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projet'!$B$10,Paramètres!$A$1:$I$88,3,0)*0.475*44/12</f>
        <v>0</v>
      </c>
      <c r="AV194" s="21">
        <f>EXP(-LN(2)/25)*AV193+(1-EXP(-LN(2)/25))/(LN(2)/25)*Calculateur!AQ194*Calculateur!AS194*VLOOKUP('Données projet'!$B$10,Paramètres!$A$1:$I$88,3,0)*0.475*44/12</f>
        <v>0.14799432593244799</v>
      </c>
      <c r="AW194" s="21">
        <f>EXP(-LN(2)/2)*AW193+(1-EXP(-LN(2)/2))/(LN(2)/2)*AQ194*AT194*VLOOKUP('Données projet'!$B$10,Paramètres!$A$1:$I$88,3,0)*0.475*44/12</f>
        <v>1.3879421721129321E-23</v>
      </c>
      <c r="AX194" s="21">
        <f t="shared" si="166"/>
        <v>0.14799432593244799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-5.6843418860808015E-13</v>
      </c>
      <c r="BE194" s="13">
        <f>BD194*VLOOKUP('Données projet'!$B$11,Paramètres!$A$1:$I$88,3,0)*VLOOKUP('Données projet'!$B$11,Paramètres!$A$1:$I$88,5,0)</f>
        <v>-3.177547114319168E-13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355.96253323046608</v>
      </c>
      <c r="BJ194" s="59">
        <f t="shared" si="146"/>
        <v>366.8380442809696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projet'!$B$11,Paramètres!$A$1:$I$88,7,0))</f>
        <v>0</v>
      </c>
      <c r="BN194" s="16">
        <f>IF(ISNA(VLOOKUP(A194,'Données projet'!$A$87:$I$107,6,0)),0%,VLOOKUP(A194,'Données projet'!$A$87:$I$107,6,0)*VLOOKUP('Données projet'!$B$11,Paramètres!$A$1:$I$88,7,0))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projet'!$B$11,Paramètres!$A$1:$I$88,3,0)*0.475*44/12</f>
        <v>0</v>
      </c>
      <c r="BQ194" s="21">
        <f>EXP(-LN(2)/25)*BQ193+(1-EXP(-LN(2)/25))/(LN(2)/25)*Calculateur!BL194*Calculateur!BN194*VLOOKUP('Données projet'!$B$11,Paramètres!$A$1:$I$88,3,0)*0.475*44/12</f>
        <v>0.26202597797664023</v>
      </c>
      <c r="BR194" s="21">
        <f>EXP(-LN(2)/2)*BR193+(1-EXP(-LN(2)/2))/(LN(2)/2)*BL194*BO194*VLOOKUP('Données projet'!$B$11,Paramètres!$A$1:$I$88,3,0)*0.475*44/12</f>
        <v>2.1459847517608027E-23</v>
      </c>
      <c r="BS194" s="22">
        <f t="shared" si="169"/>
        <v>0.26202597797664023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projet'!$B$12,Paramètres!$A$1:$I$88,3,0)*VLOOKUP('Données projet'!$B$12,Paramètres!$A$1:$I$88,5,0)</f>
        <v>3.7243808037601412E-14</v>
      </c>
      <c r="CA194" s="13">
        <f t="shared" si="170"/>
        <v>6.2767589361185393E-13</v>
      </c>
      <c r="CB194" s="20">
        <f t="shared" si="171"/>
        <v>1.1580684803728015E-12</v>
      </c>
      <c r="CC194" s="59">
        <f t="shared" si="119"/>
        <v>293.33333333333445</v>
      </c>
      <c r="CD194" s="59">
        <f ca="1">AVERAGE(OFFSET($CC$3,0,0,'Données projet'!$E$12+1,1))-AVERAGE(OFFSET($H$3,0,0,'Données projet'!$E$12+1,1))</f>
        <v>180.90147430936133</v>
      </c>
      <c r="CE194" s="59">
        <f t="shared" si="148"/>
        <v>226.87949199830018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projet'!$B$12,Paramètres!$A$1:$I$88,7,0))</f>
        <v>0</v>
      </c>
      <c r="CI194" s="16">
        <f>IF(ISNA(VLOOKUP(A194,'Données projet'!$A$113:$I$133,6,0)),0%,VLOOKUP(A194,'Données projet'!$A$113:$I$133,6,0)*VLOOKUP('Données projet'!$B$12,Paramètres!$A$1:$I$88,7,0))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projet'!$B$12,Paramètres!$A$1:$I$88,3,0)*0.475*44/12</f>
        <v>0</v>
      </c>
      <c r="CL194" s="21">
        <f>EXP(-LN(2)/25)*CL193+(1-EXP(-LN(2)/25))/(LN(2)/25)*Calculateur!CG194*Calculateur!CI194*VLOOKUP('Données projet'!$B$12,Paramètres!$A$1:$I$88,3,0)*0.475*44/12</f>
        <v>7.9132952569467299E-2</v>
      </c>
      <c r="CM194" s="21">
        <f>EXP(-LN(2)/2)*CM193+(1-EXP(-LN(2)/2))/(LN(2)/2)*CG194*CJ194*VLOOKUP('Données projet'!$B$12,Paramètres!$A$1:$I$88,3,0)*0.475*44/12</f>
        <v>5.1836972612739006E-24</v>
      </c>
      <c r="CN194" s="22">
        <f t="shared" si="172"/>
        <v>7.9132952569467299E-2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5.6843418860808015E-14</v>
      </c>
      <c r="CU194" s="17">
        <f>CT194*VLOOKUP('Données projet'!$B$13,Paramètres!$A$1:$I$88,3,0)*VLOOKUP('Données projet'!$B$13,Paramètres!$A$1:$I$88,5,0)</f>
        <v>2.8908289095852525E-14</v>
      </c>
      <c r="CV194" s="13">
        <f t="shared" si="173"/>
        <v>5.0177780569126974E-13</v>
      </c>
      <c r="CW194" s="20">
        <f t="shared" si="174"/>
        <v>9.2427828175423786E-13</v>
      </c>
      <c r="CX194" s="59">
        <f t="shared" si="122"/>
        <v>293.33333333333422</v>
      </c>
      <c r="CY194" s="59">
        <f ca="1">AVERAGE(OFFSET($CX$3,0,0,'Données projet'!$E$13+1,1))-AVERAGE(OFFSET($H$3,0,0,'Données projet'!$E$13+1,1))</f>
        <v>133.08385802816008</v>
      </c>
      <c r="CZ194" s="59">
        <f t="shared" si="150"/>
        <v>316.59112511251385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projet'!$B$13,Paramètres!$A$1:$I$88,7,0))</f>
        <v>0</v>
      </c>
      <c r="DD194" s="16">
        <f>IF(ISNA(VLOOKUP(A194,'Données projet'!$A$139:$I$159,6,0)),0%,VLOOKUP(A194,'Données projet'!$A$139:$I$159,6,0)*VLOOKUP('Données projet'!$B$13,Paramètres!$A$1:$I$88,7,0))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projet'!$B$13,Paramètres!$A$1:$I$88,3,0)*0.475*44/12</f>
        <v>2.9773886278060173</v>
      </c>
      <c r="DG194" s="21">
        <f>EXP(-LN(2)/25)*DG193+(1-EXP(-LN(2)/25))/(LN(2)/25)*Calculateur!DB194*Calculateur!DD194*VLOOKUP('Données projet'!$B$13,Paramètres!$A$1:$I$88,3,0)*0.475*44/12</f>
        <v>0</v>
      </c>
      <c r="DH194" s="21">
        <f>EXP(-LN(2)/2)*DH193+(1-EXP(-LN(2)/2))/(LN(2)/2)*DB194*DE194*VLOOKUP('Données projet'!$B$13,Paramètres!$A$1:$I$88,3,0)*0.475*44/12</f>
        <v>3.3072891094887936E-24</v>
      </c>
      <c r="DI194" s="22">
        <f t="shared" si="175"/>
        <v>2.9773886278060173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projet'!$B$14,Paramètres!$A$1:$I$88,3,0)*VLOOKUP('Données projet'!$B$14,Paramètres!$A$1:$I$88,5,0)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projet'!$B$14,Paramètres!$A$1:$I$88,7,0))</f>
        <v>0</v>
      </c>
      <c r="DY194" s="16">
        <f>IF(ISNA(VLOOKUP(A194,'Données projet'!$A$165:$I$185,6,0)),0%,VLOOKUP(A194,'Données projet'!$A$165:$I$185,6,0)*VLOOKUP('Données projet'!$B$14,Paramètres!$A$1:$I$88,7,0))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projet'!$B$14,Paramètres!$A$1:$I$88,3,0)*0.475*44/12</f>
        <v>#N/A</v>
      </c>
      <c r="EB194" s="21" t="e">
        <f>EXP(-LN(2)/25)*EB193+(1-EXP(-LN(2)/25))/(LN(2)/25)*Calculateur!DW194*Calculateur!DY194*VLOOKUP('Données projet'!$B$14,Paramètres!$A$1:$I$88,3,0)*0.475*44/12</f>
        <v>#N/A</v>
      </c>
      <c r="EC194" s="21" t="e">
        <f>EXP(-LN(2)/2)*EC193+(1-EXP(-LN(2)/2))/(LN(2)/2)*DW194*DZ194*VLOOKUP('Données projet'!$B$14,Paramètres!$A$1:$I$88,3,0)*0.475*44/12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projet'!$B$15,Paramètres!$A$1:$I$88,3,0)*VLOOKUP('Données projet'!$B$15,Paramètres!$A$1:$I$88,5,0)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projet'!$B$15,Paramètres!$A$1:$I$88,7,0))</f>
        <v>0</v>
      </c>
      <c r="ET194" s="16">
        <f>IF(ISNA(VLOOKUP(A194,'Données projet'!$A$191:$I$211,6,0)),0%,VLOOKUP(A194,'Données projet'!$A$191:$I$211,6,0)*VLOOKUP('Données projet'!$B$15,Paramètres!$A$1:$I$88,7,0))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projet'!$B$15,Paramètres!$A$1:$I$88,3,0)*0.475*44/12</f>
        <v>#N/A</v>
      </c>
      <c r="EW194" s="21" t="e">
        <f>EXP(-LN(2)/25)*EW193+(1-EXP(-LN(2)/25))/(LN(2)/25)*Calculateur!ER194*Calculateur!ET194*VLOOKUP('Données projet'!$B$15,Paramètres!$A$1:$I$88,3,0)*0.475*44/12</f>
        <v>#N/A</v>
      </c>
      <c r="EX194" s="21" t="e">
        <f>EXP(-LN(2)/2)*EX193+(1-EXP(-LN(2)/2))/(LN(2)/2)*ER194*EU194*VLOOKUP('Données projet'!$B$15,Paramètres!$A$1:$I$88,3,0)*0.475*44/12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projet'!$B$16,Paramètres!$A$1:$I$88,3,0)*VLOOKUP('Données projet'!$B$16,Paramètres!$A$1:$I$88,5,0)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projet'!$B$16,Paramètres!$A$1:$I$88,7,0))</f>
        <v>0</v>
      </c>
      <c r="FO194" s="16">
        <f>IF(ISNA(VLOOKUP(A194,'Données projet'!$A$217:$I$237,6,0)),0%,VLOOKUP(A194,'Données projet'!$A$217:$I$237,6,0)*VLOOKUP('Données projet'!$B$16,Paramètres!$A$1:$I$88,7,0))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projet'!$B$16,Paramètres!$A$1:$I$88,3,0)*0.475*44/12</f>
        <v>#N/A</v>
      </c>
      <c r="FR194" s="21" t="e">
        <f>EXP(-LN(2)/25)*FR193+(1-EXP(-LN(2)/25))/(LN(2)/25)*Calculateur!FM194*Calculateur!FO194*VLOOKUP('Données projet'!$B$16,Paramètres!$A$1:$I$88,3,0)*0.475*44/12</f>
        <v>#N/A</v>
      </c>
      <c r="FS194" s="21" t="e">
        <f>EXP(-LN(2)/2)*FS193+(1-EXP(-LN(2)/2))/(LN(2)/2)*FM194*FP194*VLOOKUP('Données projet'!$B$16,Paramètres!$A$1:$I$88,3,0)*0.475*44/12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projet'!$B$17,Paramètres!$A$1:$I$88,3,0)*VLOOKUP('Données projet'!$B$17,Paramètres!$A$1:$I$88,5,0)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projet'!$B$17,Paramètres!$A$1:$I$88,7,0))</f>
        <v>0</v>
      </c>
      <c r="GJ194" s="16">
        <f>IF(ISNA(VLOOKUP(A194,'Données projet'!$A$243:$I$263,6,0)),0%,VLOOKUP(A194,'Données projet'!$A$243:$I$263,6,0)*VLOOKUP('Données projet'!$B$17,Paramètres!$A$1:$I$88,7,0))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projet'!$B$17,Paramètres!$A$1:$I$88,3,0)*0.475*44/12</f>
        <v>#N/A</v>
      </c>
      <c r="GM194" s="21" t="e">
        <f>EXP(-LN(2)/25)*GM193+(1-EXP(-LN(2)/25))/(LN(2)/25)*Calculateur!GH194*Calculateur!GJ194*VLOOKUP('Données projet'!$B$17,Paramètres!$A$1:$I$88,3,0)*0.475*44/12</f>
        <v>#N/A</v>
      </c>
      <c r="GN194" s="21" t="e">
        <f>EXP(-LN(2)/2)*GN193+(1-EXP(-LN(2)/2))/(LN(2)/2)*GH194*GK194*VLOOKUP('Données projet'!$B$17,Paramètres!$A$1:$I$88,3,0)*0.475*44/12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projet'!$B$18,Paramètres!$A$1:$I$88,3,0)*VLOOKUP('Données projet'!$B$18,Paramètres!$A$1:$I$88,5,0)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projet'!$B$18,Paramètres!$A$1:$I$88,7,0))</f>
        <v>0</v>
      </c>
      <c r="HE194" s="16">
        <f>IF(ISNA(VLOOKUP(A194,'Données projet'!$A$269:$I$289,6,0)),0%,VLOOKUP(A194,'Données projet'!$A$269:$I$289,6,0)*VLOOKUP('Données projet'!$B$18,Paramètres!$A$1:$I$88,7,0))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projet'!$B$18,Paramètres!$A$1:$I$88,3,0)*0.475*44/12</f>
        <v>#N/A</v>
      </c>
      <c r="HH194" s="21" t="e">
        <f>EXP(-LN(2)/25)*HH193+(1-EXP(-LN(2)/25))/(LN(2)/25)*Calculateur!HC194*Calculateur!HE194*VLOOKUP('Données projet'!$B$18,Paramètres!$A$1:$I$88,3,0)*0.475*44/12</f>
        <v>#N/A</v>
      </c>
      <c r="HI194" s="21" t="e">
        <f>EXP(-LN(2)/2)*HI193+(1-EXP(-LN(2)/2))/(LN(2)/2)*HC194*HF194*VLOOKUP('Données projet'!$B$18,Paramètres!$A$1:$I$88,3,0)*0.475*44/12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projet'!$B$9,Paramètres!$A$1:$I$88,3,0)*VLOOKUP('Données projet'!$B$9,Paramètres!$A$1:$I$88,5,0)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195.73441209602686</v>
      </c>
      <c r="T195" s="59">
        <f t="shared" si="142"/>
        <v>219.19129224309006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projet'!$B$9,Paramètres!$A$1:$I$88,7,0))</f>
        <v>0</v>
      </c>
      <c r="X195" s="16">
        <f>IF(ISNA(VLOOKUP(A195,'Données projet'!$A$35:$I$55,6,0)),0%,VLOOKUP(A195,'Données projet'!$A$35:$I$55,6,0)*VLOOKUP('Données projet'!$B$9,Paramètres!$A$1:$I$88,7,0))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projet'!$B$9,Paramètres!$A$1:$I$88,3,0)*0.475*44/12</f>
        <v>0.61659143720375287</v>
      </c>
      <c r="AA195" s="21">
        <f>EXP(-LN(2)/25)*AA194+(1-EXP(-LN(2)/25))/(LN(2)/25)*Calculateur!V195*Calculateur!X195*VLOOKUP('Données projet'!$B$9,Paramètres!$A$1:$I$88,3,0)*0.475*44/12</f>
        <v>0.15860496071348129</v>
      </c>
      <c r="AB195" s="21">
        <f>EXP(-LN(2)/2)*AB194+(1-EXP(-LN(2)/2))/(LN(2)/2)*V195*Y195*VLOOKUP('Données projet'!$B$9,Paramètres!$A$1:$I$88,3,0)*0.475*44/12</f>
        <v>1.6408102794179238E-26</v>
      </c>
      <c r="AC195" s="22">
        <f t="shared" si="163"/>
        <v>0.77519639791723416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-4.5474735088646412E-13</v>
      </c>
      <c r="AJ195" s="13">
        <f>AI195*VLOOKUP('Données projet'!$B$10,Paramètres!$A$1:$I$88,3,0)*VLOOKUP('Données projet'!$B$10,Paramètres!$A$1:$I$88,5,0)</f>
        <v>-2.7193891583010558E-13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246.59447135626942</v>
      </c>
      <c r="AO195" s="59">
        <f t="shared" si="144"/>
        <v>262.00382544285367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projet'!$B$10,Paramètres!$A$1:$I$88,7,0))</f>
        <v>0</v>
      </c>
      <c r="AS195" s="16">
        <f>IF(ISNA(VLOOKUP(A195,'Données projet'!$A$61:$I$81,6,0)),0%,VLOOKUP(A195,'Données projet'!$A$61:$I$81,6,0)*VLOOKUP('Données projet'!$B$10,Paramètres!$A$1:$I$88,7,0))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projet'!$B$10,Paramètres!$A$1:$I$88,3,0)*0.475*44/12</f>
        <v>0</v>
      </c>
      <c r="AV195" s="21">
        <f>EXP(-LN(2)/25)*AV194+(1-EXP(-LN(2)/25))/(LN(2)/25)*Calculateur!AQ195*Calculateur!AS195*VLOOKUP('Données projet'!$B$10,Paramètres!$A$1:$I$88,3,0)*0.475*44/12</f>
        <v>0.14394741330714184</v>
      </c>
      <c r="AW195" s="21">
        <f>EXP(-LN(2)/2)*AW194+(1-EXP(-LN(2)/2))/(LN(2)/2)*AQ195*AT195*VLOOKUP('Données projet'!$B$10,Paramètres!$A$1:$I$88,3,0)*0.475*44/12</f>
        <v>9.8142332179584062E-24</v>
      </c>
      <c r="AX195" s="21">
        <f t="shared" si="166"/>
        <v>0.14394741330714184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-5.6843418860808015E-13</v>
      </c>
      <c r="BE195" s="13">
        <f>BD195*VLOOKUP('Données projet'!$B$11,Paramètres!$A$1:$I$88,3,0)*VLOOKUP('Données projet'!$B$11,Paramètres!$A$1:$I$88,5,0)</f>
        <v>-3.177547114319168E-13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355.96253323046608</v>
      </c>
      <c r="BJ195" s="59">
        <f t="shared" si="146"/>
        <v>366.8380442809696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projet'!$B$11,Paramètres!$A$1:$I$88,7,0))</f>
        <v>0</v>
      </c>
      <c r="BN195" s="16">
        <f>IF(ISNA(VLOOKUP(A195,'Données projet'!$A$87:$I$107,6,0)),0%,VLOOKUP(A195,'Données projet'!$A$87:$I$107,6,0)*VLOOKUP('Données projet'!$B$11,Paramètres!$A$1:$I$88,7,0))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projet'!$B$11,Paramètres!$A$1:$I$88,3,0)*0.475*44/12</f>
        <v>0</v>
      </c>
      <c r="BQ195" s="21">
        <f>EXP(-LN(2)/25)*BQ194+(1-EXP(-LN(2)/25))/(LN(2)/25)*Calculateur!BL195*Calculateur!BN195*VLOOKUP('Données projet'!$B$11,Paramètres!$A$1:$I$88,3,0)*0.475*44/12</f>
        <v>0.25486086382952167</v>
      </c>
      <c r="BR195" s="21">
        <f>EXP(-LN(2)/2)*BR194+(1-EXP(-LN(2)/2))/(LN(2)/2)*BL195*BO195*VLOOKUP('Données projet'!$B$11,Paramètres!$A$1:$I$88,3,0)*0.475*44/12</f>
        <v>1.5174403702929934E-23</v>
      </c>
      <c r="BS195" s="22">
        <f t="shared" si="169"/>
        <v>0.25486086382952167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projet'!$B$12,Paramètres!$A$1:$I$88,3,0)*VLOOKUP('Données projet'!$B$12,Paramètres!$A$1:$I$88,5,0)</f>
        <v>3.7243808037601412E-14</v>
      </c>
      <c r="CA195" s="13">
        <f t="shared" si="170"/>
        <v>6.2767589361185393E-13</v>
      </c>
      <c r="CB195" s="20">
        <f t="shared" si="171"/>
        <v>1.1580684803728015E-12</v>
      </c>
      <c r="CC195" s="59">
        <f t="shared" si="119"/>
        <v>293.33333333333445</v>
      </c>
      <c r="CD195" s="59">
        <f ca="1">AVERAGE(OFFSET($CC$3,0,0,'Données projet'!$E$12+1,1))-AVERAGE(OFFSET($H$3,0,0,'Données projet'!$E$12+1,1))</f>
        <v>180.90147430936133</v>
      </c>
      <c r="CE195" s="59">
        <f t="shared" si="148"/>
        <v>226.87949199830018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projet'!$B$12,Paramètres!$A$1:$I$88,7,0))</f>
        <v>0</v>
      </c>
      <c r="CI195" s="16">
        <f>IF(ISNA(VLOOKUP(A195,'Données projet'!$A$113:$I$133,6,0)),0%,VLOOKUP(A195,'Données projet'!$A$113:$I$133,6,0)*VLOOKUP('Données projet'!$B$12,Paramètres!$A$1:$I$88,7,0))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projet'!$B$12,Paramètres!$A$1:$I$88,3,0)*0.475*44/12</f>
        <v>0</v>
      </c>
      <c r="CL195" s="21">
        <f>EXP(-LN(2)/25)*CL194+(1-EXP(-LN(2)/25))/(LN(2)/25)*Calculateur!CG195*Calculateur!CI195*VLOOKUP('Données projet'!$B$12,Paramètres!$A$1:$I$88,3,0)*0.475*44/12</f>
        <v>7.6969057820034104E-2</v>
      </c>
      <c r="CM195" s="21">
        <f>EXP(-LN(2)/2)*CM194+(1-EXP(-LN(2)/2))/(LN(2)/2)*CG195*CJ195*VLOOKUP('Données projet'!$B$12,Paramètres!$A$1:$I$88,3,0)*0.475*44/12</f>
        <v>3.6654274850649096E-24</v>
      </c>
      <c r="CN195" s="22">
        <f t="shared" si="172"/>
        <v>7.6969057820034104E-2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5.6843418860808015E-14</v>
      </c>
      <c r="CU195" s="17">
        <f>CT195*VLOOKUP('Données projet'!$B$13,Paramètres!$A$1:$I$88,3,0)*VLOOKUP('Données projet'!$B$13,Paramètres!$A$1:$I$88,5,0)</f>
        <v>2.8908289095852525E-14</v>
      </c>
      <c r="CV195" s="13">
        <f t="shared" si="173"/>
        <v>5.0177780569126974E-13</v>
      </c>
      <c r="CW195" s="20">
        <f t="shared" si="174"/>
        <v>9.2427828175423786E-13</v>
      </c>
      <c r="CX195" s="59">
        <f t="shared" si="122"/>
        <v>293.33333333333422</v>
      </c>
      <c r="CY195" s="59">
        <f ca="1">AVERAGE(OFFSET($CX$3,0,0,'Données projet'!$E$13+1,1))-AVERAGE(OFFSET($H$3,0,0,'Données projet'!$E$13+1,1))</f>
        <v>133.08385802816008</v>
      </c>
      <c r="CZ195" s="59">
        <f t="shared" si="150"/>
        <v>316.59112511251385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projet'!$B$13,Paramètres!$A$1:$I$88,7,0))</f>
        <v>0</v>
      </c>
      <c r="DD195" s="16">
        <f>IF(ISNA(VLOOKUP(A195,'Données projet'!$A$139:$I$159,6,0)),0%,VLOOKUP(A195,'Données projet'!$A$139:$I$159,6,0)*VLOOKUP('Données projet'!$B$13,Paramètres!$A$1:$I$88,7,0))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projet'!$B$13,Paramètres!$A$1:$I$88,3,0)*0.475*44/12</f>
        <v>2.9190038528424864</v>
      </c>
      <c r="DG195" s="21">
        <f>EXP(-LN(2)/25)*DG194+(1-EXP(-LN(2)/25))/(LN(2)/25)*Calculateur!DB195*Calculateur!DD195*VLOOKUP('Données projet'!$B$13,Paramètres!$A$1:$I$88,3,0)*0.475*44/12</f>
        <v>0</v>
      </c>
      <c r="DH195" s="21">
        <f>EXP(-LN(2)/2)*DH194+(1-EXP(-LN(2)/2))/(LN(2)/2)*DB195*DE195*VLOOKUP('Données projet'!$B$13,Paramètres!$A$1:$I$88,3,0)*0.475*44/12</f>
        <v>2.3386065566639443E-24</v>
      </c>
      <c r="DI195" s="22">
        <f t="shared" si="175"/>
        <v>2.9190038528424864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projet'!$B$14,Paramètres!$A$1:$I$88,3,0)*VLOOKUP('Données projet'!$B$14,Paramètres!$A$1:$I$88,5,0)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projet'!$B$14,Paramètres!$A$1:$I$88,7,0))</f>
        <v>0</v>
      </c>
      <c r="DY195" s="16">
        <f>IF(ISNA(VLOOKUP(A195,'Données projet'!$A$165:$I$185,6,0)),0%,VLOOKUP(A195,'Données projet'!$A$165:$I$185,6,0)*VLOOKUP('Données projet'!$B$14,Paramètres!$A$1:$I$88,7,0))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projet'!$B$14,Paramètres!$A$1:$I$88,3,0)*0.475*44/12</f>
        <v>#N/A</v>
      </c>
      <c r="EB195" s="21" t="e">
        <f>EXP(-LN(2)/25)*EB194+(1-EXP(-LN(2)/25))/(LN(2)/25)*Calculateur!DW195*Calculateur!DY195*VLOOKUP('Données projet'!$B$14,Paramètres!$A$1:$I$88,3,0)*0.475*44/12</f>
        <v>#N/A</v>
      </c>
      <c r="EC195" s="21" t="e">
        <f>EXP(-LN(2)/2)*EC194+(1-EXP(-LN(2)/2))/(LN(2)/2)*DW195*DZ195*VLOOKUP('Données projet'!$B$14,Paramètres!$A$1:$I$88,3,0)*0.475*44/12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projet'!$B$15,Paramètres!$A$1:$I$88,3,0)*VLOOKUP('Données projet'!$B$15,Paramètres!$A$1:$I$88,5,0)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projet'!$B$15,Paramètres!$A$1:$I$88,7,0))</f>
        <v>0</v>
      </c>
      <c r="ET195" s="16">
        <f>IF(ISNA(VLOOKUP(A195,'Données projet'!$A$191:$I$211,6,0)),0%,VLOOKUP(A195,'Données projet'!$A$191:$I$211,6,0)*VLOOKUP('Données projet'!$B$15,Paramètres!$A$1:$I$88,7,0))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projet'!$B$15,Paramètres!$A$1:$I$88,3,0)*0.475*44/12</f>
        <v>#N/A</v>
      </c>
      <c r="EW195" s="21" t="e">
        <f>EXP(-LN(2)/25)*EW194+(1-EXP(-LN(2)/25))/(LN(2)/25)*Calculateur!ER195*Calculateur!ET195*VLOOKUP('Données projet'!$B$15,Paramètres!$A$1:$I$88,3,0)*0.475*44/12</f>
        <v>#N/A</v>
      </c>
      <c r="EX195" s="21" t="e">
        <f>EXP(-LN(2)/2)*EX194+(1-EXP(-LN(2)/2))/(LN(2)/2)*ER195*EU195*VLOOKUP('Données projet'!$B$15,Paramètres!$A$1:$I$88,3,0)*0.475*44/12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projet'!$B$16,Paramètres!$A$1:$I$88,3,0)*VLOOKUP('Données projet'!$B$16,Paramètres!$A$1:$I$88,5,0)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projet'!$B$16,Paramètres!$A$1:$I$88,7,0))</f>
        <v>0</v>
      </c>
      <c r="FO195" s="16">
        <f>IF(ISNA(VLOOKUP(A195,'Données projet'!$A$217:$I$237,6,0)),0%,VLOOKUP(A195,'Données projet'!$A$217:$I$237,6,0)*VLOOKUP('Données projet'!$B$16,Paramètres!$A$1:$I$88,7,0))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projet'!$B$16,Paramètres!$A$1:$I$88,3,0)*0.475*44/12</f>
        <v>#N/A</v>
      </c>
      <c r="FR195" s="21" t="e">
        <f>EXP(-LN(2)/25)*FR194+(1-EXP(-LN(2)/25))/(LN(2)/25)*Calculateur!FM195*Calculateur!FO195*VLOOKUP('Données projet'!$B$16,Paramètres!$A$1:$I$88,3,0)*0.475*44/12</f>
        <v>#N/A</v>
      </c>
      <c r="FS195" s="21" t="e">
        <f>EXP(-LN(2)/2)*FS194+(1-EXP(-LN(2)/2))/(LN(2)/2)*FM195*FP195*VLOOKUP('Données projet'!$B$16,Paramètres!$A$1:$I$88,3,0)*0.475*44/12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projet'!$B$17,Paramètres!$A$1:$I$88,3,0)*VLOOKUP('Données projet'!$B$17,Paramètres!$A$1:$I$88,5,0)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projet'!$B$17,Paramètres!$A$1:$I$88,7,0))</f>
        <v>0</v>
      </c>
      <c r="GJ195" s="16">
        <f>IF(ISNA(VLOOKUP(A195,'Données projet'!$A$243:$I$263,6,0)),0%,VLOOKUP(A195,'Données projet'!$A$243:$I$263,6,0)*VLOOKUP('Données projet'!$B$17,Paramètres!$A$1:$I$88,7,0))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projet'!$B$17,Paramètres!$A$1:$I$88,3,0)*0.475*44/12</f>
        <v>#N/A</v>
      </c>
      <c r="GM195" s="21" t="e">
        <f>EXP(-LN(2)/25)*GM194+(1-EXP(-LN(2)/25))/(LN(2)/25)*Calculateur!GH195*Calculateur!GJ195*VLOOKUP('Données projet'!$B$17,Paramètres!$A$1:$I$88,3,0)*0.475*44/12</f>
        <v>#N/A</v>
      </c>
      <c r="GN195" s="21" t="e">
        <f>EXP(-LN(2)/2)*GN194+(1-EXP(-LN(2)/2))/(LN(2)/2)*GH195*GK195*VLOOKUP('Données projet'!$B$17,Paramètres!$A$1:$I$88,3,0)*0.475*44/12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projet'!$B$18,Paramètres!$A$1:$I$88,3,0)*VLOOKUP('Données projet'!$B$18,Paramètres!$A$1:$I$88,5,0)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projet'!$B$18,Paramètres!$A$1:$I$88,7,0))</f>
        <v>0</v>
      </c>
      <c r="HE195" s="16">
        <f>IF(ISNA(VLOOKUP(A195,'Données projet'!$A$269:$I$289,6,0)),0%,VLOOKUP(A195,'Données projet'!$A$269:$I$289,6,0)*VLOOKUP('Données projet'!$B$18,Paramètres!$A$1:$I$88,7,0))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projet'!$B$18,Paramètres!$A$1:$I$88,3,0)*0.475*44/12</f>
        <v>#N/A</v>
      </c>
      <c r="HH195" s="21" t="e">
        <f>EXP(-LN(2)/25)*HH194+(1-EXP(-LN(2)/25))/(LN(2)/25)*Calculateur!HC195*Calculateur!HE195*VLOOKUP('Données projet'!$B$18,Paramètres!$A$1:$I$88,3,0)*0.475*44/12</f>
        <v>#N/A</v>
      </c>
      <c r="HI195" s="21" t="e">
        <f>EXP(-LN(2)/2)*HI194+(1-EXP(-LN(2)/2))/(LN(2)/2)*HC195*HF195*VLOOKUP('Données projet'!$B$18,Paramètres!$A$1:$I$88,3,0)*0.475*44/12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projet'!$B$9,Paramètres!$A$1:$I$88,3,0)*VLOOKUP('Données projet'!$B$9,Paramètres!$A$1:$I$88,5,0)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195.73441209602686</v>
      </c>
      <c r="T196" s="59">
        <f t="shared" si="142"/>
        <v>219.19129224309006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projet'!$B$9,Paramètres!$A$1:$I$88,7,0))</f>
        <v>0</v>
      </c>
      <c r="X196" s="16">
        <f>IF(ISNA(VLOOKUP(A196,'Données projet'!$A$35:$I$55,6,0)),0%,VLOOKUP(A196,'Données projet'!$A$35:$I$55,6,0)*VLOOKUP('Données projet'!$B$9,Paramètres!$A$1:$I$88,7,0))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projet'!$B$9,Paramètres!$A$1:$I$88,3,0)*0.475*44/12</f>
        <v>0.60450045520382878</v>
      </c>
      <c r="AA196" s="21">
        <f>EXP(-LN(2)/25)*AA195+(1-EXP(-LN(2)/25))/(LN(2)/25)*Calculateur!V196*Calculateur!X196*VLOOKUP('Données projet'!$B$9,Paramètres!$A$1:$I$88,3,0)*0.475*44/12</f>
        <v>0.15426789972209876</v>
      </c>
      <c r="AB196" s="21">
        <f>EXP(-LN(2)/2)*AB195+(1-EXP(-LN(2)/2))/(LN(2)/2)*V196*Y196*VLOOKUP('Données projet'!$B$9,Paramètres!$A$1:$I$88,3,0)*0.475*44/12</f>
        <v>1.1602280752170077E-26</v>
      </c>
      <c r="AC196" s="22">
        <f t="shared" si="163"/>
        <v>0.75876835492592754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-4.5474735088646412E-13</v>
      </c>
      <c r="AJ196" s="13">
        <f>AI196*VLOOKUP('Données projet'!$B$10,Paramètres!$A$1:$I$88,3,0)*VLOOKUP('Données projet'!$B$10,Paramètres!$A$1:$I$88,5,0)</f>
        <v>-2.7193891583010558E-13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246.59447135626942</v>
      </c>
      <c r="AO196" s="59">
        <f t="shared" si="144"/>
        <v>262.00382544285367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projet'!$B$10,Paramètres!$A$1:$I$88,7,0))</f>
        <v>0</v>
      </c>
      <c r="AS196" s="16">
        <f>IF(ISNA(VLOOKUP(A196,'Données projet'!$A$61:$I$81,6,0)),0%,VLOOKUP(A196,'Données projet'!$A$61:$I$81,6,0)*VLOOKUP('Données projet'!$B$10,Paramètres!$A$1:$I$88,7,0))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projet'!$B$10,Paramètres!$A$1:$I$88,3,0)*0.475*44/12</f>
        <v>0</v>
      </c>
      <c r="AV196" s="21">
        <f>EXP(-LN(2)/25)*AV195+(1-EXP(-LN(2)/25))/(LN(2)/25)*Calculateur!AQ196*Calculateur!AS196*VLOOKUP('Données projet'!$B$10,Paramètres!$A$1:$I$88,3,0)*0.475*44/12</f>
        <v>0.14001116372039257</v>
      </c>
      <c r="AW196" s="21">
        <f>EXP(-LN(2)/2)*AW195+(1-EXP(-LN(2)/2))/(LN(2)/2)*AQ196*AT196*VLOOKUP('Données projet'!$B$10,Paramètres!$A$1:$I$88,3,0)*0.475*44/12</f>
        <v>6.9397108605646607E-24</v>
      </c>
      <c r="AX196" s="21">
        <f t="shared" si="166"/>
        <v>0.14001116372039257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-5.6843418860808015E-13</v>
      </c>
      <c r="BE196" s="13">
        <f>BD196*VLOOKUP('Données projet'!$B$11,Paramètres!$A$1:$I$88,3,0)*VLOOKUP('Données projet'!$B$11,Paramètres!$A$1:$I$88,5,0)</f>
        <v>-3.177547114319168E-13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355.96253323046608</v>
      </c>
      <c r="BJ196" s="59">
        <f t="shared" si="146"/>
        <v>366.8380442809696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projet'!$B$11,Paramètres!$A$1:$I$88,7,0))</f>
        <v>0</v>
      </c>
      <c r="BN196" s="16">
        <f>IF(ISNA(VLOOKUP(A196,'Données projet'!$A$87:$I$107,6,0)),0%,VLOOKUP(A196,'Données projet'!$A$87:$I$107,6,0)*VLOOKUP('Données projet'!$B$11,Paramètres!$A$1:$I$88,7,0))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projet'!$B$11,Paramètres!$A$1:$I$88,3,0)*0.475*44/12</f>
        <v>0</v>
      </c>
      <c r="BQ196" s="21">
        <f>EXP(-LN(2)/25)*BQ195+(1-EXP(-LN(2)/25))/(LN(2)/25)*Calculateur!BL196*Calculateur!BN196*VLOOKUP('Données projet'!$B$11,Paramètres!$A$1:$I$88,3,0)*0.475*44/12</f>
        <v>0.24789168010555307</v>
      </c>
      <c r="BR196" s="21">
        <f>EXP(-LN(2)/2)*BR195+(1-EXP(-LN(2)/2))/(LN(2)/2)*BL196*BO196*VLOOKUP('Données projet'!$B$11,Paramètres!$A$1:$I$88,3,0)*0.475*44/12</f>
        <v>1.0729923758804013E-23</v>
      </c>
      <c r="BS196" s="22">
        <f t="shared" si="169"/>
        <v>0.24789168010555307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projet'!$B$12,Paramètres!$A$1:$I$88,3,0)*VLOOKUP('Données projet'!$B$12,Paramètres!$A$1:$I$88,5,0)</f>
        <v>3.7243808037601412E-14</v>
      </c>
      <c r="CA196" s="13">
        <f t="shared" si="170"/>
        <v>6.2767589361185393E-13</v>
      </c>
      <c r="CB196" s="20">
        <f t="shared" si="171"/>
        <v>1.1580684803728015E-12</v>
      </c>
      <c r="CC196" s="59">
        <f t="shared" ref="CC196:CC203" si="195">CB196+(BT196+BU196)*44/12</f>
        <v>293.33333333333445</v>
      </c>
      <c r="CD196" s="59">
        <f ca="1">AVERAGE(OFFSET($CC$3,0,0,'Données projet'!$E$12+1,1))-AVERAGE(OFFSET($H$3,0,0,'Données projet'!$E$12+1,1))</f>
        <v>180.90147430936133</v>
      </c>
      <c r="CE196" s="59">
        <f t="shared" si="148"/>
        <v>226.87949199830018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projet'!$B$12,Paramètres!$A$1:$I$88,7,0))</f>
        <v>0</v>
      </c>
      <c r="CI196" s="16">
        <f>IF(ISNA(VLOOKUP(A196,'Données projet'!$A$113:$I$133,6,0)),0%,VLOOKUP(A196,'Données projet'!$A$113:$I$133,6,0)*VLOOKUP('Données projet'!$B$12,Paramètres!$A$1:$I$88,7,0))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projet'!$B$12,Paramètres!$A$1:$I$88,3,0)*0.475*44/12</f>
        <v>0</v>
      </c>
      <c r="CL196" s="21">
        <f>EXP(-LN(2)/25)*CL195+(1-EXP(-LN(2)/25))/(LN(2)/25)*Calculateur!CG196*Calculateur!CI196*VLOOKUP('Données projet'!$B$12,Paramètres!$A$1:$I$88,3,0)*0.475*44/12</f>
        <v>7.486433488631844E-2</v>
      </c>
      <c r="CM196" s="21">
        <f>EXP(-LN(2)/2)*CM195+(1-EXP(-LN(2)/2))/(LN(2)/2)*CG196*CJ196*VLOOKUP('Données projet'!$B$12,Paramètres!$A$1:$I$88,3,0)*0.475*44/12</f>
        <v>2.5918486306369503E-24</v>
      </c>
      <c r="CN196" s="22">
        <f t="shared" si="172"/>
        <v>7.486433488631844E-2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5.6843418860808015E-14</v>
      </c>
      <c r="CU196" s="17">
        <f>CT196*VLOOKUP('Données projet'!$B$13,Paramètres!$A$1:$I$88,3,0)*VLOOKUP('Données projet'!$B$13,Paramètres!$A$1:$I$88,5,0)</f>
        <v>2.8908289095852525E-14</v>
      </c>
      <c r="CV196" s="13">
        <f t="shared" si="173"/>
        <v>5.0177780569126974E-13</v>
      </c>
      <c r="CW196" s="20">
        <f t="shared" si="174"/>
        <v>9.2427828175423786E-13</v>
      </c>
      <c r="CX196" s="59">
        <f t="shared" ref="CX196:CX203" si="196">CW196+(CO196+CP196)*44/12</f>
        <v>293.33333333333422</v>
      </c>
      <c r="CY196" s="59">
        <f ca="1">AVERAGE(OFFSET($CX$3,0,0,'Données projet'!$E$13+1,1))-AVERAGE(OFFSET($H$3,0,0,'Données projet'!$E$13+1,1))</f>
        <v>133.08385802816008</v>
      </c>
      <c r="CZ196" s="59">
        <f t="shared" si="150"/>
        <v>316.59112511251385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projet'!$B$13,Paramètres!$A$1:$I$88,7,0))</f>
        <v>0</v>
      </c>
      <c r="DD196" s="16">
        <f>IF(ISNA(VLOOKUP(A196,'Données projet'!$A$139:$I$159,6,0)),0%,VLOOKUP(A196,'Données projet'!$A$139:$I$159,6,0)*VLOOKUP('Données projet'!$B$13,Paramètres!$A$1:$I$88,7,0))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projet'!$B$13,Paramètres!$A$1:$I$88,3,0)*0.475*44/12</f>
        <v>2.8617639677047939</v>
      </c>
      <c r="DG196" s="21">
        <f>EXP(-LN(2)/25)*DG195+(1-EXP(-LN(2)/25))/(LN(2)/25)*Calculateur!DB196*Calculateur!DD196*VLOOKUP('Données projet'!$B$13,Paramètres!$A$1:$I$88,3,0)*0.475*44/12</f>
        <v>0</v>
      </c>
      <c r="DH196" s="21">
        <f>EXP(-LN(2)/2)*DH195+(1-EXP(-LN(2)/2))/(LN(2)/2)*DB196*DE196*VLOOKUP('Données projet'!$B$13,Paramètres!$A$1:$I$88,3,0)*0.475*44/12</f>
        <v>1.6536445547443972E-24</v>
      </c>
      <c r="DI196" s="22">
        <f t="shared" si="175"/>
        <v>2.8617639677047939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projet'!$B$14,Paramètres!$A$1:$I$88,3,0)*VLOOKUP('Données projet'!$B$14,Paramètres!$A$1:$I$88,5,0)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projet'!$B$14,Paramètres!$A$1:$I$88,7,0))</f>
        <v>0</v>
      </c>
      <c r="DY196" s="16">
        <f>IF(ISNA(VLOOKUP(A196,'Données projet'!$A$165:$I$185,6,0)),0%,VLOOKUP(A196,'Données projet'!$A$165:$I$185,6,0)*VLOOKUP('Données projet'!$B$14,Paramètres!$A$1:$I$88,7,0))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projet'!$B$14,Paramètres!$A$1:$I$88,3,0)*0.475*44/12</f>
        <v>#N/A</v>
      </c>
      <c r="EB196" s="21" t="e">
        <f>EXP(-LN(2)/25)*EB195+(1-EXP(-LN(2)/25))/(LN(2)/25)*Calculateur!DW196*Calculateur!DY196*VLOOKUP('Données projet'!$B$14,Paramètres!$A$1:$I$88,3,0)*0.475*44/12</f>
        <v>#N/A</v>
      </c>
      <c r="EC196" s="21" t="e">
        <f>EXP(-LN(2)/2)*EC195+(1-EXP(-LN(2)/2))/(LN(2)/2)*DW196*DZ196*VLOOKUP('Données projet'!$B$14,Paramètres!$A$1:$I$88,3,0)*0.475*44/12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projet'!$B$15,Paramètres!$A$1:$I$88,3,0)*VLOOKUP('Données projet'!$B$15,Paramètres!$A$1:$I$88,5,0)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projet'!$B$15,Paramètres!$A$1:$I$88,7,0))</f>
        <v>0</v>
      </c>
      <c r="ET196" s="16">
        <f>IF(ISNA(VLOOKUP(A196,'Données projet'!$A$191:$I$211,6,0)),0%,VLOOKUP(A196,'Données projet'!$A$191:$I$211,6,0)*VLOOKUP('Données projet'!$B$15,Paramètres!$A$1:$I$88,7,0))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projet'!$B$15,Paramètres!$A$1:$I$88,3,0)*0.475*44/12</f>
        <v>#N/A</v>
      </c>
      <c r="EW196" s="21" t="e">
        <f>EXP(-LN(2)/25)*EW195+(1-EXP(-LN(2)/25))/(LN(2)/25)*Calculateur!ER196*Calculateur!ET196*VLOOKUP('Données projet'!$B$15,Paramètres!$A$1:$I$88,3,0)*0.475*44/12</f>
        <v>#N/A</v>
      </c>
      <c r="EX196" s="21" t="e">
        <f>EXP(-LN(2)/2)*EX195+(1-EXP(-LN(2)/2))/(LN(2)/2)*ER196*EU196*VLOOKUP('Données projet'!$B$15,Paramètres!$A$1:$I$88,3,0)*0.475*44/12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projet'!$B$16,Paramètres!$A$1:$I$88,3,0)*VLOOKUP('Données projet'!$B$16,Paramètres!$A$1:$I$88,5,0)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projet'!$B$16,Paramètres!$A$1:$I$88,7,0))</f>
        <v>0</v>
      </c>
      <c r="FO196" s="16">
        <f>IF(ISNA(VLOOKUP(A196,'Données projet'!$A$217:$I$237,6,0)),0%,VLOOKUP(A196,'Données projet'!$A$217:$I$237,6,0)*VLOOKUP('Données projet'!$B$16,Paramètres!$A$1:$I$88,7,0))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projet'!$B$16,Paramètres!$A$1:$I$88,3,0)*0.475*44/12</f>
        <v>#N/A</v>
      </c>
      <c r="FR196" s="21" t="e">
        <f>EXP(-LN(2)/25)*FR195+(1-EXP(-LN(2)/25))/(LN(2)/25)*Calculateur!FM196*Calculateur!FO196*VLOOKUP('Données projet'!$B$16,Paramètres!$A$1:$I$88,3,0)*0.475*44/12</f>
        <v>#N/A</v>
      </c>
      <c r="FS196" s="21" t="e">
        <f>EXP(-LN(2)/2)*FS195+(1-EXP(-LN(2)/2))/(LN(2)/2)*FM196*FP196*VLOOKUP('Données projet'!$B$16,Paramètres!$A$1:$I$88,3,0)*0.475*44/12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projet'!$B$17,Paramètres!$A$1:$I$88,3,0)*VLOOKUP('Données projet'!$B$17,Paramètres!$A$1:$I$88,5,0)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projet'!$B$17,Paramètres!$A$1:$I$88,7,0))</f>
        <v>0</v>
      </c>
      <c r="GJ196" s="16">
        <f>IF(ISNA(VLOOKUP(A196,'Données projet'!$A$243:$I$263,6,0)),0%,VLOOKUP(A196,'Données projet'!$A$243:$I$263,6,0)*VLOOKUP('Données projet'!$B$17,Paramètres!$A$1:$I$88,7,0))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projet'!$B$17,Paramètres!$A$1:$I$88,3,0)*0.475*44/12</f>
        <v>#N/A</v>
      </c>
      <c r="GM196" s="21" t="e">
        <f>EXP(-LN(2)/25)*GM195+(1-EXP(-LN(2)/25))/(LN(2)/25)*Calculateur!GH196*Calculateur!GJ196*VLOOKUP('Données projet'!$B$17,Paramètres!$A$1:$I$88,3,0)*0.475*44/12</f>
        <v>#N/A</v>
      </c>
      <c r="GN196" s="21" t="e">
        <f>EXP(-LN(2)/2)*GN195+(1-EXP(-LN(2)/2))/(LN(2)/2)*GH196*GK196*VLOOKUP('Données projet'!$B$17,Paramètres!$A$1:$I$88,3,0)*0.475*44/12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projet'!$B$18,Paramètres!$A$1:$I$88,3,0)*VLOOKUP('Données projet'!$B$18,Paramètres!$A$1:$I$88,5,0)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projet'!$B$18,Paramètres!$A$1:$I$88,7,0))</f>
        <v>0</v>
      </c>
      <c r="HE196" s="16">
        <f>IF(ISNA(VLOOKUP(A196,'Données projet'!$A$269:$I$289,6,0)),0%,VLOOKUP(A196,'Données projet'!$A$269:$I$289,6,0)*VLOOKUP('Données projet'!$B$18,Paramètres!$A$1:$I$88,7,0))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projet'!$B$18,Paramètres!$A$1:$I$88,3,0)*0.475*44/12</f>
        <v>#N/A</v>
      </c>
      <c r="HH196" s="21" t="e">
        <f>EXP(-LN(2)/25)*HH195+(1-EXP(-LN(2)/25))/(LN(2)/25)*Calculateur!HC196*Calculateur!HE196*VLOOKUP('Données projet'!$B$18,Paramètres!$A$1:$I$88,3,0)*0.475*44/12</f>
        <v>#N/A</v>
      </c>
      <c r="HI196" s="21" t="e">
        <f>EXP(-LN(2)/2)*HI195+(1-EXP(-LN(2)/2))/(LN(2)/2)*HC196*HF196*VLOOKUP('Données projet'!$B$18,Paramètres!$A$1:$I$88,3,0)*0.475*44/12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projet'!$B$9,Paramètres!$A$1:$I$88,3,0)*VLOOKUP('Données projet'!$B$9,Paramètres!$A$1:$I$88,5,0)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195.73441209602686</v>
      </c>
      <c r="T197" s="59">
        <f t="shared" ref="T197:T203" si="204">$T$3</f>
        <v>219.19129224309006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projet'!$B$9,Paramètres!$A$1:$I$88,7,0))</f>
        <v>0</v>
      </c>
      <c r="X197" s="16">
        <f>IF(ISNA(VLOOKUP(A197,'Données projet'!$A$35:$I$55,6,0)),0%,VLOOKUP(A197,'Données projet'!$A$35:$I$55,6,0)*VLOOKUP('Données projet'!$B$9,Paramètres!$A$1:$I$88,7,0))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projet'!$B$9,Paramètres!$A$1:$I$88,3,0)*0.475*44/12</f>
        <v>0.59264656998615239</v>
      </c>
      <c r="AA197" s="21">
        <f>EXP(-LN(2)/25)*AA196+(1-EXP(-LN(2)/25))/(LN(2)/25)*Calculateur!V197*Calculateur!X197*VLOOKUP('Données projet'!$B$9,Paramètres!$A$1:$I$88,3,0)*0.475*44/12</f>
        <v>0.15004943589160169</v>
      </c>
      <c r="AB197" s="21">
        <f>EXP(-LN(2)/2)*AB196+(1-EXP(-LN(2)/2))/(LN(2)/2)*V197*Y197*VLOOKUP('Données projet'!$B$9,Paramètres!$A$1:$I$88,3,0)*0.475*44/12</f>
        <v>8.2040513970896188E-27</v>
      </c>
      <c r="AC197" s="22">
        <f t="shared" si="163"/>
        <v>0.74269600587775408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-4.5474735088646412E-13</v>
      </c>
      <c r="AJ197" s="13">
        <f>AI197*VLOOKUP('Données projet'!$B$10,Paramètres!$A$1:$I$88,3,0)*VLOOKUP('Données projet'!$B$10,Paramètres!$A$1:$I$88,5,0)</f>
        <v>-2.7193891583010558E-13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246.59447135626942</v>
      </c>
      <c r="AO197" s="59">
        <f t="shared" ref="AO197:AO203" si="205">$AO$3</f>
        <v>262.00382544285367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projet'!$B$10,Paramètres!$A$1:$I$88,7,0))</f>
        <v>0</v>
      </c>
      <c r="AS197" s="16">
        <f>IF(ISNA(VLOOKUP(A197,'Données projet'!$A$61:$I$81,6,0)),0%,VLOOKUP(A197,'Données projet'!$A$61:$I$81,6,0)*VLOOKUP('Données projet'!$B$10,Paramètres!$A$1:$I$88,7,0))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projet'!$B$10,Paramètres!$A$1:$I$88,3,0)*0.475*44/12</f>
        <v>0</v>
      </c>
      <c r="AV197" s="21">
        <f>EXP(-LN(2)/25)*AV196+(1-EXP(-LN(2)/25))/(LN(2)/25)*Calculateur!AQ197*Calculateur!AS197*VLOOKUP('Données projet'!$B$10,Paramètres!$A$1:$I$88,3,0)*0.475*44/12</f>
        <v>0.13618255108559132</v>
      </c>
      <c r="AW197" s="21">
        <f>EXP(-LN(2)/2)*AW196+(1-EXP(-LN(2)/2))/(LN(2)/2)*AQ197*AT197*VLOOKUP('Données projet'!$B$10,Paramètres!$A$1:$I$88,3,0)*0.475*44/12</f>
        <v>4.9071166089792031E-24</v>
      </c>
      <c r="AX197" s="21">
        <f t="shared" si="166"/>
        <v>0.13618255108559132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-5.6843418860808015E-13</v>
      </c>
      <c r="BE197" s="13">
        <f>BD197*VLOOKUP('Données projet'!$B$11,Paramètres!$A$1:$I$88,3,0)*VLOOKUP('Données projet'!$B$11,Paramètres!$A$1:$I$88,5,0)</f>
        <v>-3.177547114319168E-13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355.96253323046608</v>
      </c>
      <c r="BJ197" s="59">
        <f t="shared" ref="BJ197:BJ203" si="206">$BJ$3</f>
        <v>366.8380442809696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projet'!$B$11,Paramètres!$A$1:$I$88,7,0))</f>
        <v>0</v>
      </c>
      <c r="BN197" s="16">
        <f>IF(ISNA(VLOOKUP(A197,'Données projet'!$A$87:$I$107,6,0)),0%,VLOOKUP(A197,'Données projet'!$A$87:$I$107,6,0)*VLOOKUP('Données projet'!$B$11,Paramètres!$A$1:$I$88,7,0))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projet'!$B$11,Paramètres!$A$1:$I$88,3,0)*0.475*44/12</f>
        <v>0</v>
      </c>
      <c r="BQ197" s="21">
        <f>EXP(-LN(2)/25)*BQ196+(1-EXP(-LN(2)/25))/(LN(2)/25)*Calculateur!BL197*Calculateur!BN197*VLOOKUP('Données projet'!$B$11,Paramètres!$A$1:$I$88,3,0)*0.475*44/12</f>
        <v>0.24111306907700983</v>
      </c>
      <c r="BR197" s="21">
        <f>EXP(-LN(2)/2)*BR196+(1-EXP(-LN(2)/2))/(LN(2)/2)*BL197*BO197*VLOOKUP('Données projet'!$B$11,Paramètres!$A$1:$I$88,3,0)*0.475*44/12</f>
        <v>7.5872018514649668E-24</v>
      </c>
      <c r="BS197" s="22">
        <f t="shared" si="169"/>
        <v>0.24111306907700983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projet'!$B$12,Paramètres!$A$1:$I$88,3,0)*VLOOKUP('Données projet'!$B$12,Paramètres!$A$1:$I$88,5,0)</f>
        <v>3.7243808037601412E-14</v>
      </c>
      <c r="CA197" s="13">
        <f t="shared" si="170"/>
        <v>6.2767589361185393E-13</v>
      </c>
      <c r="CB197" s="20">
        <f t="shared" si="171"/>
        <v>1.1580684803728015E-12</v>
      </c>
      <c r="CC197" s="59">
        <f t="shared" si="195"/>
        <v>293.33333333333445</v>
      </c>
      <c r="CD197" s="59">
        <f ca="1">AVERAGE(OFFSET($CC$3,0,0,'Données projet'!$E$12+1,1))-AVERAGE(OFFSET($H$3,0,0,'Données projet'!$E$12+1,1))</f>
        <v>180.90147430936133</v>
      </c>
      <c r="CE197" s="59">
        <f t="shared" ref="CE197:CE203" si="207">$CE$3</f>
        <v>226.87949199830018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projet'!$B$12,Paramètres!$A$1:$I$88,7,0))</f>
        <v>0</v>
      </c>
      <c r="CI197" s="16">
        <f>IF(ISNA(VLOOKUP(A197,'Données projet'!$A$113:$I$133,6,0)),0%,VLOOKUP(A197,'Données projet'!$A$113:$I$133,6,0)*VLOOKUP('Données projet'!$B$12,Paramètres!$A$1:$I$88,7,0))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projet'!$B$12,Paramètres!$A$1:$I$88,3,0)*0.475*44/12</f>
        <v>0</v>
      </c>
      <c r="CL197" s="21">
        <f>EXP(-LN(2)/25)*CL196+(1-EXP(-LN(2)/25))/(LN(2)/25)*Calculateur!CG197*Calculateur!CI197*VLOOKUP('Données projet'!$B$12,Paramètres!$A$1:$I$88,3,0)*0.475*44/12</f>
        <v>7.28171657119078E-2</v>
      </c>
      <c r="CM197" s="21">
        <f>EXP(-LN(2)/2)*CM196+(1-EXP(-LN(2)/2))/(LN(2)/2)*CG197*CJ197*VLOOKUP('Données projet'!$B$12,Paramètres!$A$1:$I$88,3,0)*0.475*44/12</f>
        <v>1.8327137425324548E-24</v>
      </c>
      <c r="CN197" s="22">
        <f t="shared" si="172"/>
        <v>7.28171657119078E-2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5.6843418860808015E-14</v>
      </c>
      <c r="CU197" s="17">
        <f>CT197*VLOOKUP('Données projet'!$B$13,Paramètres!$A$1:$I$88,3,0)*VLOOKUP('Données projet'!$B$13,Paramètres!$A$1:$I$88,5,0)</f>
        <v>2.8908289095852525E-14</v>
      </c>
      <c r="CV197" s="13">
        <f t="shared" si="173"/>
        <v>5.0177780569126974E-13</v>
      </c>
      <c r="CW197" s="20">
        <f t="shared" si="174"/>
        <v>9.2427828175423786E-13</v>
      </c>
      <c r="CX197" s="59">
        <f t="shared" si="196"/>
        <v>293.33333333333422</v>
      </c>
      <c r="CY197" s="59">
        <f ca="1">AVERAGE(OFFSET($CX$3,0,0,'Données projet'!$E$13+1,1))-AVERAGE(OFFSET($H$3,0,0,'Données projet'!$E$13+1,1))</f>
        <v>133.08385802816008</v>
      </c>
      <c r="CZ197" s="59">
        <f t="shared" ref="CZ197:CZ203" si="208">$CZ$3</f>
        <v>316.59112511251385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projet'!$B$13,Paramètres!$A$1:$I$88,7,0))</f>
        <v>0</v>
      </c>
      <c r="DD197" s="16">
        <f>IF(ISNA(VLOOKUP(A197,'Données projet'!$A$139:$I$159,6,0)),0%,VLOOKUP(A197,'Données projet'!$A$139:$I$159,6,0)*VLOOKUP('Données projet'!$B$13,Paramètres!$A$1:$I$88,7,0))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projet'!$B$13,Paramètres!$A$1:$I$88,3,0)*0.475*44/12</f>
        <v>2.8056465218017692</v>
      </c>
      <c r="DG197" s="21">
        <f>EXP(-LN(2)/25)*DG196+(1-EXP(-LN(2)/25))/(LN(2)/25)*Calculateur!DB197*Calculateur!DD197*VLOOKUP('Données projet'!$B$13,Paramètres!$A$1:$I$88,3,0)*0.475*44/12</f>
        <v>0</v>
      </c>
      <c r="DH197" s="21">
        <f>EXP(-LN(2)/2)*DH196+(1-EXP(-LN(2)/2))/(LN(2)/2)*DB197*DE197*VLOOKUP('Données projet'!$B$13,Paramètres!$A$1:$I$88,3,0)*0.475*44/12</f>
        <v>1.1693032783319723E-24</v>
      </c>
      <c r="DI197" s="22">
        <f t="shared" si="175"/>
        <v>2.8056465218017692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projet'!$B$14,Paramètres!$A$1:$I$88,3,0)*VLOOKUP('Données projet'!$B$14,Paramètres!$A$1:$I$88,5,0)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projet'!$B$14,Paramètres!$A$1:$I$88,7,0))</f>
        <v>0</v>
      </c>
      <c r="DY197" s="16">
        <f>IF(ISNA(VLOOKUP(A197,'Données projet'!$A$165:$I$185,6,0)),0%,VLOOKUP(A197,'Données projet'!$A$165:$I$185,6,0)*VLOOKUP('Données projet'!$B$14,Paramètres!$A$1:$I$88,7,0))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projet'!$B$14,Paramètres!$A$1:$I$88,3,0)*0.475*44/12</f>
        <v>#N/A</v>
      </c>
      <c r="EB197" s="21" t="e">
        <f>EXP(-LN(2)/25)*EB196+(1-EXP(-LN(2)/25))/(LN(2)/25)*Calculateur!DW197*Calculateur!DY197*VLOOKUP('Données projet'!$B$14,Paramètres!$A$1:$I$88,3,0)*0.475*44/12</f>
        <v>#N/A</v>
      </c>
      <c r="EC197" s="21" t="e">
        <f>EXP(-LN(2)/2)*EC196+(1-EXP(-LN(2)/2))/(LN(2)/2)*DW197*DZ197*VLOOKUP('Données projet'!$B$14,Paramètres!$A$1:$I$88,3,0)*0.475*44/12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projet'!$B$15,Paramètres!$A$1:$I$88,3,0)*VLOOKUP('Données projet'!$B$15,Paramètres!$A$1:$I$88,5,0)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projet'!$B$15,Paramètres!$A$1:$I$88,7,0))</f>
        <v>0</v>
      </c>
      <c r="ET197" s="16">
        <f>IF(ISNA(VLOOKUP(A197,'Données projet'!$A$191:$I$211,6,0)),0%,VLOOKUP(A197,'Données projet'!$A$191:$I$211,6,0)*VLOOKUP('Données projet'!$B$15,Paramètres!$A$1:$I$88,7,0))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projet'!$B$15,Paramètres!$A$1:$I$88,3,0)*0.475*44/12</f>
        <v>#N/A</v>
      </c>
      <c r="EW197" s="21" t="e">
        <f>EXP(-LN(2)/25)*EW196+(1-EXP(-LN(2)/25))/(LN(2)/25)*Calculateur!ER197*Calculateur!ET197*VLOOKUP('Données projet'!$B$15,Paramètres!$A$1:$I$88,3,0)*0.475*44/12</f>
        <v>#N/A</v>
      </c>
      <c r="EX197" s="21" t="e">
        <f>EXP(-LN(2)/2)*EX196+(1-EXP(-LN(2)/2))/(LN(2)/2)*ER197*EU197*VLOOKUP('Données projet'!$B$15,Paramètres!$A$1:$I$88,3,0)*0.475*44/12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projet'!$B$16,Paramètres!$A$1:$I$88,3,0)*VLOOKUP('Données projet'!$B$16,Paramètres!$A$1:$I$88,5,0)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projet'!$B$16,Paramètres!$A$1:$I$88,7,0))</f>
        <v>0</v>
      </c>
      <c r="FO197" s="16">
        <f>IF(ISNA(VLOOKUP(A197,'Données projet'!$A$217:$I$237,6,0)),0%,VLOOKUP(A197,'Données projet'!$A$217:$I$237,6,0)*VLOOKUP('Données projet'!$B$16,Paramètres!$A$1:$I$88,7,0))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projet'!$B$16,Paramètres!$A$1:$I$88,3,0)*0.475*44/12</f>
        <v>#N/A</v>
      </c>
      <c r="FR197" s="21" t="e">
        <f>EXP(-LN(2)/25)*FR196+(1-EXP(-LN(2)/25))/(LN(2)/25)*Calculateur!FM197*Calculateur!FO197*VLOOKUP('Données projet'!$B$16,Paramètres!$A$1:$I$88,3,0)*0.475*44/12</f>
        <v>#N/A</v>
      </c>
      <c r="FS197" s="21" t="e">
        <f>EXP(-LN(2)/2)*FS196+(1-EXP(-LN(2)/2))/(LN(2)/2)*FM197*FP197*VLOOKUP('Données projet'!$B$16,Paramètres!$A$1:$I$88,3,0)*0.475*44/12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projet'!$B$17,Paramètres!$A$1:$I$88,3,0)*VLOOKUP('Données projet'!$B$17,Paramètres!$A$1:$I$88,5,0)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projet'!$B$17,Paramètres!$A$1:$I$88,7,0))</f>
        <v>0</v>
      </c>
      <c r="GJ197" s="16">
        <f>IF(ISNA(VLOOKUP(A197,'Données projet'!$A$243:$I$263,6,0)),0%,VLOOKUP(A197,'Données projet'!$A$243:$I$263,6,0)*VLOOKUP('Données projet'!$B$17,Paramètres!$A$1:$I$88,7,0))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projet'!$B$17,Paramètres!$A$1:$I$88,3,0)*0.475*44/12</f>
        <v>#N/A</v>
      </c>
      <c r="GM197" s="21" t="e">
        <f>EXP(-LN(2)/25)*GM196+(1-EXP(-LN(2)/25))/(LN(2)/25)*Calculateur!GH197*Calculateur!GJ197*VLOOKUP('Données projet'!$B$17,Paramètres!$A$1:$I$88,3,0)*0.475*44/12</f>
        <v>#N/A</v>
      </c>
      <c r="GN197" s="21" t="e">
        <f>EXP(-LN(2)/2)*GN196+(1-EXP(-LN(2)/2))/(LN(2)/2)*GH197*GK197*VLOOKUP('Données projet'!$B$17,Paramètres!$A$1:$I$88,3,0)*0.475*44/12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projet'!$B$18,Paramètres!$A$1:$I$88,3,0)*VLOOKUP('Données projet'!$B$18,Paramètres!$A$1:$I$88,5,0)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projet'!$B$18,Paramètres!$A$1:$I$88,7,0))</f>
        <v>0</v>
      </c>
      <c r="HE197" s="16">
        <f>IF(ISNA(VLOOKUP(A197,'Données projet'!$A$269:$I$289,6,0)),0%,VLOOKUP(A197,'Données projet'!$A$269:$I$289,6,0)*VLOOKUP('Données projet'!$B$18,Paramètres!$A$1:$I$88,7,0))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projet'!$B$18,Paramètres!$A$1:$I$88,3,0)*0.475*44/12</f>
        <v>#N/A</v>
      </c>
      <c r="HH197" s="21" t="e">
        <f>EXP(-LN(2)/25)*HH196+(1-EXP(-LN(2)/25))/(LN(2)/25)*Calculateur!HC197*Calculateur!HE197*VLOOKUP('Données projet'!$B$18,Paramètres!$A$1:$I$88,3,0)*0.475*44/12</f>
        <v>#N/A</v>
      </c>
      <c r="HI197" s="21" t="e">
        <f>EXP(-LN(2)/2)*HI196+(1-EXP(-LN(2)/2))/(LN(2)/2)*HC197*HF197*VLOOKUP('Données projet'!$B$18,Paramètres!$A$1:$I$88,3,0)*0.475*44/12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projet'!$B$9,Paramètres!$A$1:$I$88,3,0)*VLOOKUP('Données projet'!$B$9,Paramètres!$A$1:$I$88,5,0)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195.73441209602686</v>
      </c>
      <c r="T198" s="59">
        <f t="shared" si="204"/>
        <v>219.19129224309006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projet'!$B$9,Paramètres!$A$1:$I$88,7,0))</f>
        <v>0</v>
      </c>
      <c r="X198" s="16">
        <f>IF(ISNA(VLOOKUP(A198,'Données projet'!$A$35:$I$55,6,0)),0%,VLOOKUP(A198,'Données projet'!$A$35:$I$55,6,0)*VLOOKUP('Données projet'!$B$9,Paramètres!$A$1:$I$88,7,0))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projet'!$B$9,Paramètres!$A$1:$I$88,3,0)*0.475*44/12</f>
        <v>0.58102513222743857</v>
      </c>
      <c r="AA198" s="21">
        <f>EXP(-LN(2)/25)*AA197+(1-EXP(-LN(2)/25))/(LN(2)/25)*Calculateur!V198*Calculateur!X198*VLOOKUP('Données projet'!$B$9,Paramètres!$A$1:$I$88,3,0)*0.475*44/12</f>
        <v>0.14594632617638895</v>
      </c>
      <c r="AB198" s="21">
        <f>EXP(-LN(2)/2)*AB197+(1-EXP(-LN(2)/2))/(LN(2)/2)*V198*Y198*VLOOKUP('Données projet'!$B$9,Paramètres!$A$1:$I$88,3,0)*0.475*44/12</f>
        <v>5.8011403760850387E-27</v>
      </c>
      <c r="AC198" s="22">
        <f t="shared" si="163"/>
        <v>0.72697145840382749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-4.5474735088646412E-13</v>
      </c>
      <c r="AJ198" s="13">
        <f>AI198*VLOOKUP('Données projet'!$B$10,Paramètres!$A$1:$I$88,3,0)*VLOOKUP('Données projet'!$B$10,Paramètres!$A$1:$I$88,5,0)</f>
        <v>-2.7193891583010558E-13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246.59447135626942</v>
      </c>
      <c r="AO198" s="59">
        <f t="shared" si="205"/>
        <v>262.00382544285367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projet'!$B$10,Paramètres!$A$1:$I$88,7,0))</f>
        <v>0</v>
      </c>
      <c r="AS198" s="16">
        <f>IF(ISNA(VLOOKUP(A198,'Données projet'!$A$61:$I$81,6,0)),0%,VLOOKUP(A198,'Données projet'!$A$61:$I$81,6,0)*VLOOKUP('Données projet'!$B$10,Paramètres!$A$1:$I$88,7,0))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projet'!$B$10,Paramètres!$A$1:$I$88,3,0)*0.475*44/12</f>
        <v>0</v>
      </c>
      <c r="AV198" s="21">
        <f>EXP(-LN(2)/25)*AV197+(1-EXP(-LN(2)/25))/(LN(2)/25)*Calculateur!AQ198*Calculateur!AS198*VLOOKUP('Données projet'!$B$10,Paramètres!$A$1:$I$88,3,0)*0.475*44/12</f>
        <v>0.13245863206462671</v>
      </c>
      <c r="AW198" s="21">
        <f>EXP(-LN(2)/2)*AW197+(1-EXP(-LN(2)/2))/(LN(2)/2)*AQ198*AT198*VLOOKUP('Données projet'!$B$10,Paramètres!$A$1:$I$88,3,0)*0.475*44/12</f>
        <v>3.4698554302823304E-24</v>
      </c>
      <c r="AX198" s="21">
        <f t="shared" si="166"/>
        <v>0.13245863206462671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-5.6843418860808015E-13</v>
      </c>
      <c r="BE198" s="13">
        <f>BD198*VLOOKUP('Données projet'!$B$11,Paramètres!$A$1:$I$88,3,0)*VLOOKUP('Données projet'!$B$11,Paramètres!$A$1:$I$88,5,0)</f>
        <v>-3.177547114319168E-13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355.96253323046608</v>
      </c>
      <c r="BJ198" s="59">
        <f t="shared" si="206"/>
        <v>366.8380442809696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projet'!$B$11,Paramètres!$A$1:$I$88,7,0))</f>
        <v>0</v>
      </c>
      <c r="BN198" s="16">
        <f>IF(ISNA(VLOOKUP(A198,'Données projet'!$A$87:$I$107,6,0)),0%,VLOOKUP(A198,'Données projet'!$A$87:$I$107,6,0)*VLOOKUP('Données projet'!$B$11,Paramètres!$A$1:$I$88,7,0))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projet'!$B$11,Paramètres!$A$1:$I$88,3,0)*0.475*44/12</f>
        <v>0</v>
      </c>
      <c r="BQ198" s="21">
        <f>EXP(-LN(2)/25)*BQ197+(1-EXP(-LN(2)/25))/(LN(2)/25)*Calculateur!BL198*Calculateur!BN198*VLOOKUP('Données projet'!$B$11,Paramètres!$A$1:$I$88,3,0)*0.475*44/12</f>
        <v>0.23451981952351375</v>
      </c>
      <c r="BR198" s="21">
        <f>EXP(-LN(2)/2)*BR197+(1-EXP(-LN(2)/2))/(LN(2)/2)*BL198*BO198*VLOOKUP('Données projet'!$B$11,Paramètres!$A$1:$I$88,3,0)*0.475*44/12</f>
        <v>5.3649618794020067E-24</v>
      </c>
      <c r="BS198" s="22">
        <f t="shared" si="169"/>
        <v>0.23451981952351375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projet'!$B$12,Paramètres!$A$1:$I$88,3,0)*VLOOKUP('Données projet'!$B$12,Paramètres!$A$1:$I$88,5,0)</f>
        <v>3.7243808037601412E-14</v>
      </c>
      <c r="CA198" s="13">
        <f t="shared" si="170"/>
        <v>6.2767589361185393E-13</v>
      </c>
      <c r="CB198" s="20">
        <f t="shared" si="171"/>
        <v>1.1580684803728015E-12</v>
      </c>
      <c r="CC198" s="59">
        <f t="shared" si="195"/>
        <v>293.33333333333445</v>
      </c>
      <c r="CD198" s="59">
        <f ca="1">AVERAGE(OFFSET($CC$3,0,0,'Données projet'!$E$12+1,1))-AVERAGE(OFFSET($H$3,0,0,'Données projet'!$E$12+1,1))</f>
        <v>180.90147430936133</v>
      </c>
      <c r="CE198" s="59">
        <f t="shared" si="207"/>
        <v>226.87949199830018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projet'!$B$12,Paramètres!$A$1:$I$88,7,0))</f>
        <v>0</v>
      </c>
      <c r="CI198" s="16">
        <f>IF(ISNA(VLOOKUP(A198,'Données projet'!$A$113:$I$133,6,0)),0%,VLOOKUP(A198,'Données projet'!$A$113:$I$133,6,0)*VLOOKUP('Données projet'!$B$12,Paramètres!$A$1:$I$88,7,0))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projet'!$B$12,Paramètres!$A$1:$I$88,3,0)*0.475*44/12</f>
        <v>0</v>
      </c>
      <c r="CL198" s="21">
        <f>EXP(-LN(2)/25)*CL197+(1-EXP(-LN(2)/25))/(LN(2)/25)*Calculateur!CG198*Calculateur!CI198*VLOOKUP('Données projet'!$B$12,Paramètres!$A$1:$I$88,3,0)*0.475*44/12</f>
        <v>7.0825976486227363E-2</v>
      </c>
      <c r="CM198" s="21">
        <f>EXP(-LN(2)/2)*CM197+(1-EXP(-LN(2)/2))/(LN(2)/2)*CG198*CJ198*VLOOKUP('Données projet'!$B$12,Paramètres!$A$1:$I$88,3,0)*0.475*44/12</f>
        <v>1.2959243153184751E-24</v>
      </c>
      <c r="CN198" s="22">
        <f t="shared" si="172"/>
        <v>7.0825976486227363E-2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5.6843418860808015E-14</v>
      </c>
      <c r="CU198" s="17">
        <f>CT198*VLOOKUP('Données projet'!$B$13,Paramètres!$A$1:$I$88,3,0)*VLOOKUP('Données projet'!$B$13,Paramètres!$A$1:$I$88,5,0)</f>
        <v>2.8908289095852525E-14</v>
      </c>
      <c r="CV198" s="13">
        <f t="shared" si="173"/>
        <v>5.0177780569126974E-13</v>
      </c>
      <c r="CW198" s="20">
        <f t="shared" si="174"/>
        <v>9.2427828175423786E-13</v>
      </c>
      <c r="CX198" s="59">
        <f t="shared" si="196"/>
        <v>293.33333333333422</v>
      </c>
      <c r="CY198" s="59">
        <f ca="1">AVERAGE(OFFSET($CX$3,0,0,'Données projet'!$E$13+1,1))-AVERAGE(OFFSET($H$3,0,0,'Données projet'!$E$13+1,1))</f>
        <v>133.08385802816008</v>
      </c>
      <c r="CZ198" s="59">
        <f t="shared" si="208"/>
        <v>316.59112511251385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projet'!$B$13,Paramètres!$A$1:$I$88,7,0))</f>
        <v>0</v>
      </c>
      <c r="DD198" s="16">
        <f>IF(ISNA(VLOOKUP(A198,'Données projet'!$A$139:$I$159,6,0)),0%,VLOOKUP(A198,'Données projet'!$A$139:$I$159,6,0)*VLOOKUP('Données projet'!$B$13,Paramètres!$A$1:$I$88,7,0))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projet'!$B$13,Paramètres!$A$1:$I$88,3,0)*0.475*44/12</f>
        <v>2.7506295047846403</v>
      </c>
      <c r="DG198" s="21">
        <f>EXP(-LN(2)/25)*DG197+(1-EXP(-LN(2)/25))/(LN(2)/25)*Calculateur!DB198*Calculateur!DD198*VLOOKUP('Données projet'!$B$13,Paramètres!$A$1:$I$88,3,0)*0.475*44/12</f>
        <v>0</v>
      </c>
      <c r="DH198" s="21">
        <f>EXP(-LN(2)/2)*DH197+(1-EXP(-LN(2)/2))/(LN(2)/2)*DB198*DE198*VLOOKUP('Données projet'!$B$13,Paramètres!$A$1:$I$88,3,0)*0.475*44/12</f>
        <v>8.2682227737219868E-25</v>
      </c>
      <c r="DI198" s="22">
        <f t="shared" si="175"/>
        <v>2.7506295047846403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projet'!$B$14,Paramètres!$A$1:$I$88,3,0)*VLOOKUP('Données projet'!$B$14,Paramètres!$A$1:$I$88,5,0)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projet'!$B$14,Paramètres!$A$1:$I$88,7,0))</f>
        <v>0</v>
      </c>
      <c r="DY198" s="16">
        <f>IF(ISNA(VLOOKUP(A198,'Données projet'!$A$165:$I$185,6,0)),0%,VLOOKUP(A198,'Données projet'!$A$165:$I$185,6,0)*VLOOKUP('Données projet'!$B$14,Paramètres!$A$1:$I$88,7,0))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projet'!$B$14,Paramètres!$A$1:$I$88,3,0)*0.475*44/12</f>
        <v>#N/A</v>
      </c>
      <c r="EB198" s="21" t="e">
        <f>EXP(-LN(2)/25)*EB197+(1-EXP(-LN(2)/25))/(LN(2)/25)*Calculateur!DW198*Calculateur!DY198*VLOOKUP('Données projet'!$B$14,Paramètres!$A$1:$I$88,3,0)*0.475*44/12</f>
        <v>#N/A</v>
      </c>
      <c r="EC198" s="21" t="e">
        <f>EXP(-LN(2)/2)*EC197+(1-EXP(-LN(2)/2))/(LN(2)/2)*DW198*DZ198*VLOOKUP('Données projet'!$B$14,Paramètres!$A$1:$I$88,3,0)*0.475*44/12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projet'!$B$15,Paramètres!$A$1:$I$88,3,0)*VLOOKUP('Données projet'!$B$15,Paramètres!$A$1:$I$88,5,0)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projet'!$B$15,Paramètres!$A$1:$I$88,7,0))</f>
        <v>0</v>
      </c>
      <c r="ET198" s="16">
        <f>IF(ISNA(VLOOKUP(A198,'Données projet'!$A$191:$I$211,6,0)),0%,VLOOKUP(A198,'Données projet'!$A$191:$I$211,6,0)*VLOOKUP('Données projet'!$B$15,Paramètres!$A$1:$I$88,7,0))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projet'!$B$15,Paramètres!$A$1:$I$88,3,0)*0.475*44/12</f>
        <v>#N/A</v>
      </c>
      <c r="EW198" s="21" t="e">
        <f>EXP(-LN(2)/25)*EW197+(1-EXP(-LN(2)/25))/(LN(2)/25)*Calculateur!ER198*Calculateur!ET198*VLOOKUP('Données projet'!$B$15,Paramètres!$A$1:$I$88,3,0)*0.475*44/12</f>
        <v>#N/A</v>
      </c>
      <c r="EX198" s="21" t="e">
        <f>EXP(-LN(2)/2)*EX197+(1-EXP(-LN(2)/2))/(LN(2)/2)*ER198*EU198*VLOOKUP('Données projet'!$B$15,Paramètres!$A$1:$I$88,3,0)*0.475*44/12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projet'!$B$16,Paramètres!$A$1:$I$88,3,0)*VLOOKUP('Données projet'!$B$16,Paramètres!$A$1:$I$88,5,0)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projet'!$B$16,Paramètres!$A$1:$I$88,7,0))</f>
        <v>0</v>
      </c>
      <c r="FO198" s="16">
        <f>IF(ISNA(VLOOKUP(A198,'Données projet'!$A$217:$I$237,6,0)),0%,VLOOKUP(A198,'Données projet'!$A$217:$I$237,6,0)*VLOOKUP('Données projet'!$B$16,Paramètres!$A$1:$I$88,7,0))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projet'!$B$16,Paramètres!$A$1:$I$88,3,0)*0.475*44/12</f>
        <v>#N/A</v>
      </c>
      <c r="FR198" s="21" t="e">
        <f>EXP(-LN(2)/25)*FR197+(1-EXP(-LN(2)/25))/(LN(2)/25)*Calculateur!FM198*Calculateur!FO198*VLOOKUP('Données projet'!$B$16,Paramètres!$A$1:$I$88,3,0)*0.475*44/12</f>
        <v>#N/A</v>
      </c>
      <c r="FS198" s="21" t="e">
        <f>EXP(-LN(2)/2)*FS197+(1-EXP(-LN(2)/2))/(LN(2)/2)*FM198*FP198*VLOOKUP('Données projet'!$B$16,Paramètres!$A$1:$I$88,3,0)*0.475*44/12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projet'!$B$17,Paramètres!$A$1:$I$88,3,0)*VLOOKUP('Données projet'!$B$17,Paramètres!$A$1:$I$88,5,0)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projet'!$B$17,Paramètres!$A$1:$I$88,7,0))</f>
        <v>0</v>
      </c>
      <c r="GJ198" s="16">
        <f>IF(ISNA(VLOOKUP(A198,'Données projet'!$A$243:$I$263,6,0)),0%,VLOOKUP(A198,'Données projet'!$A$243:$I$263,6,0)*VLOOKUP('Données projet'!$B$17,Paramètres!$A$1:$I$88,7,0))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projet'!$B$17,Paramètres!$A$1:$I$88,3,0)*0.475*44/12</f>
        <v>#N/A</v>
      </c>
      <c r="GM198" s="21" t="e">
        <f>EXP(-LN(2)/25)*GM197+(1-EXP(-LN(2)/25))/(LN(2)/25)*Calculateur!GH198*Calculateur!GJ198*VLOOKUP('Données projet'!$B$17,Paramètres!$A$1:$I$88,3,0)*0.475*44/12</f>
        <v>#N/A</v>
      </c>
      <c r="GN198" s="21" t="e">
        <f>EXP(-LN(2)/2)*GN197+(1-EXP(-LN(2)/2))/(LN(2)/2)*GH198*GK198*VLOOKUP('Données projet'!$B$17,Paramètres!$A$1:$I$88,3,0)*0.475*44/12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projet'!$B$18,Paramètres!$A$1:$I$88,3,0)*VLOOKUP('Données projet'!$B$18,Paramètres!$A$1:$I$88,5,0)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projet'!$B$18,Paramètres!$A$1:$I$88,7,0))</f>
        <v>0</v>
      </c>
      <c r="HE198" s="16">
        <f>IF(ISNA(VLOOKUP(A198,'Données projet'!$A$269:$I$289,6,0)),0%,VLOOKUP(A198,'Données projet'!$A$269:$I$289,6,0)*VLOOKUP('Données projet'!$B$18,Paramètres!$A$1:$I$88,7,0))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projet'!$B$18,Paramètres!$A$1:$I$88,3,0)*0.475*44/12</f>
        <v>#N/A</v>
      </c>
      <c r="HH198" s="21" t="e">
        <f>EXP(-LN(2)/25)*HH197+(1-EXP(-LN(2)/25))/(LN(2)/25)*Calculateur!HC198*Calculateur!HE198*VLOOKUP('Données projet'!$B$18,Paramètres!$A$1:$I$88,3,0)*0.475*44/12</f>
        <v>#N/A</v>
      </c>
      <c r="HI198" s="21" t="e">
        <f>EXP(-LN(2)/2)*HI197+(1-EXP(-LN(2)/2))/(LN(2)/2)*HC198*HF198*VLOOKUP('Données projet'!$B$18,Paramètres!$A$1:$I$88,3,0)*0.475*44/12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projet'!$B$9,Paramètres!$A$1:$I$88,3,0)*VLOOKUP('Données projet'!$B$9,Paramètres!$A$1:$I$88,5,0)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195.73441209602686</v>
      </c>
      <c r="T199" s="59">
        <f t="shared" si="204"/>
        <v>219.19129224309006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projet'!$B$9,Paramètres!$A$1:$I$88,7,0))</f>
        <v>0</v>
      </c>
      <c r="X199" s="16">
        <f>IF(ISNA(VLOOKUP(A199,'Données projet'!$A$35:$I$55,6,0)),0%,VLOOKUP(A199,'Données projet'!$A$35:$I$55,6,0)*VLOOKUP('Données projet'!$B$9,Paramètres!$A$1:$I$88,7,0))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projet'!$B$9,Paramètres!$A$1:$I$88,3,0)*0.475*44/12</f>
        <v>0.56963158377479606</v>
      </c>
      <c r="AA199" s="21">
        <f>EXP(-LN(2)/25)*AA198+(1-EXP(-LN(2)/25))/(LN(2)/25)*Calculateur!V199*Calculateur!X199*VLOOKUP('Données projet'!$B$9,Paramètres!$A$1:$I$88,3,0)*0.475*44/12</f>
        <v>0.14195541621211186</v>
      </c>
      <c r="AB199" s="21">
        <f>EXP(-LN(2)/2)*AB198+(1-EXP(-LN(2)/2))/(LN(2)/2)*V199*Y199*VLOOKUP('Données projet'!$B$9,Paramètres!$A$1:$I$88,3,0)*0.475*44/12</f>
        <v>4.1020256985448094E-27</v>
      </c>
      <c r="AC199" s="22">
        <f t="shared" si="163"/>
        <v>0.71158699998690789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-4.5474735088646412E-13</v>
      </c>
      <c r="AJ199" s="13">
        <f>AI199*VLOOKUP('Données projet'!$B$10,Paramètres!$A$1:$I$88,3,0)*VLOOKUP('Données projet'!$B$10,Paramètres!$A$1:$I$88,5,0)</f>
        <v>-2.7193891583010558E-13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246.59447135626942</v>
      </c>
      <c r="AO199" s="59">
        <f t="shared" si="205"/>
        <v>262.00382544285367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projet'!$B$10,Paramètres!$A$1:$I$88,7,0))</f>
        <v>0</v>
      </c>
      <c r="AS199" s="16">
        <f>IF(ISNA(VLOOKUP(A199,'Données projet'!$A$61:$I$81,6,0)),0%,VLOOKUP(A199,'Données projet'!$A$61:$I$81,6,0)*VLOOKUP('Données projet'!$B$10,Paramètres!$A$1:$I$88,7,0))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projet'!$B$10,Paramètres!$A$1:$I$88,3,0)*0.475*44/12</f>
        <v>0</v>
      </c>
      <c r="AV199" s="21">
        <f>EXP(-LN(2)/25)*AV198+(1-EXP(-LN(2)/25))/(LN(2)/25)*Calculateur!AQ199*Calculateur!AS199*VLOOKUP('Données projet'!$B$10,Paramètres!$A$1:$I$88,3,0)*0.475*44/12</f>
        <v>0.12883654380512277</v>
      </c>
      <c r="AW199" s="21">
        <f>EXP(-LN(2)/2)*AW198+(1-EXP(-LN(2)/2))/(LN(2)/2)*AQ199*AT199*VLOOKUP('Données projet'!$B$10,Paramètres!$A$1:$I$88,3,0)*0.475*44/12</f>
        <v>2.4535583044896015E-24</v>
      </c>
      <c r="AX199" s="21">
        <f t="shared" si="166"/>
        <v>0.12883654380512277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-5.6843418860808015E-13</v>
      </c>
      <c r="BE199" s="13">
        <f>BD199*VLOOKUP('Données projet'!$B$11,Paramètres!$A$1:$I$88,3,0)*VLOOKUP('Données projet'!$B$11,Paramètres!$A$1:$I$88,5,0)</f>
        <v>-3.177547114319168E-13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355.96253323046608</v>
      </c>
      <c r="BJ199" s="59">
        <f t="shared" si="206"/>
        <v>366.8380442809696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projet'!$B$11,Paramètres!$A$1:$I$88,7,0))</f>
        <v>0</v>
      </c>
      <c r="BN199" s="16">
        <f>IF(ISNA(VLOOKUP(A199,'Données projet'!$A$87:$I$107,6,0)),0%,VLOOKUP(A199,'Données projet'!$A$87:$I$107,6,0)*VLOOKUP('Données projet'!$B$11,Paramètres!$A$1:$I$88,7,0))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projet'!$B$11,Paramètres!$A$1:$I$88,3,0)*0.475*44/12</f>
        <v>0</v>
      </c>
      <c r="BQ199" s="21">
        <f>EXP(-LN(2)/25)*BQ198+(1-EXP(-LN(2)/25))/(LN(2)/25)*Calculateur!BL199*Calculateur!BN199*VLOOKUP('Données projet'!$B$11,Paramètres!$A$1:$I$88,3,0)*0.475*44/12</f>
        <v>0.22810686272578196</v>
      </c>
      <c r="BR199" s="21">
        <f>EXP(-LN(2)/2)*BR198+(1-EXP(-LN(2)/2))/(LN(2)/2)*BL199*BO199*VLOOKUP('Données projet'!$B$11,Paramètres!$A$1:$I$88,3,0)*0.475*44/12</f>
        <v>3.7936009257324834E-24</v>
      </c>
      <c r="BS199" s="22">
        <f t="shared" si="169"/>
        <v>0.22810686272578196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projet'!$B$12,Paramètres!$A$1:$I$88,3,0)*VLOOKUP('Données projet'!$B$12,Paramètres!$A$1:$I$88,5,0)</f>
        <v>3.7243808037601412E-14</v>
      </c>
      <c r="CA199" s="13">
        <f t="shared" si="170"/>
        <v>6.2767589361185393E-13</v>
      </c>
      <c r="CB199" s="20">
        <f t="shared" si="171"/>
        <v>1.1580684803728015E-12</v>
      </c>
      <c r="CC199" s="59">
        <f t="shared" si="195"/>
        <v>293.33333333333445</v>
      </c>
      <c r="CD199" s="59">
        <f ca="1">AVERAGE(OFFSET($CC$3,0,0,'Données projet'!$E$12+1,1))-AVERAGE(OFFSET($H$3,0,0,'Données projet'!$E$12+1,1))</f>
        <v>180.90147430936133</v>
      </c>
      <c r="CE199" s="59">
        <f t="shared" si="207"/>
        <v>226.87949199830018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projet'!$B$12,Paramètres!$A$1:$I$88,7,0))</f>
        <v>0</v>
      </c>
      <c r="CI199" s="16">
        <f>IF(ISNA(VLOOKUP(A199,'Données projet'!$A$113:$I$133,6,0)),0%,VLOOKUP(A199,'Données projet'!$A$113:$I$133,6,0)*VLOOKUP('Données projet'!$B$12,Paramètres!$A$1:$I$88,7,0))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projet'!$B$12,Paramètres!$A$1:$I$88,3,0)*0.475*44/12</f>
        <v>0</v>
      </c>
      <c r="CL199" s="21">
        <f>EXP(-LN(2)/25)*CL198+(1-EXP(-LN(2)/25))/(LN(2)/25)*Calculateur!CG199*Calculateur!CI199*VLOOKUP('Données projet'!$B$12,Paramètres!$A$1:$I$88,3,0)*0.475*44/12</f>
        <v>6.8889236434635251E-2</v>
      </c>
      <c r="CM199" s="21">
        <f>EXP(-LN(2)/2)*CM198+(1-EXP(-LN(2)/2))/(LN(2)/2)*CG199*CJ199*VLOOKUP('Données projet'!$B$12,Paramètres!$A$1:$I$88,3,0)*0.475*44/12</f>
        <v>9.1635687126622739E-25</v>
      </c>
      <c r="CN199" s="22">
        <f t="shared" si="172"/>
        <v>6.8889236434635251E-2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5.6843418860808015E-14</v>
      </c>
      <c r="CU199" s="17">
        <f>CT199*VLOOKUP('Données projet'!$B$13,Paramètres!$A$1:$I$88,3,0)*VLOOKUP('Données projet'!$B$13,Paramètres!$A$1:$I$88,5,0)</f>
        <v>2.8908289095852525E-14</v>
      </c>
      <c r="CV199" s="13">
        <f t="shared" si="173"/>
        <v>5.0177780569126974E-13</v>
      </c>
      <c r="CW199" s="20">
        <f t="shared" si="174"/>
        <v>9.2427828175423786E-13</v>
      </c>
      <c r="CX199" s="59">
        <f t="shared" si="196"/>
        <v>293.33333333333422</v>
      </c>
      <c r="CY199" s="59">
        <f ca="1">AVERAGE(OFFSET($CX$3,0,0,'Données projet'!$E$13+1,1))-AVERAGE(OFFSET($H$3,0,0,'Données projet'!$E$13+1,1))</f>
        <v>133.08385802816008</v>
      </c>
      <c r="CZ199" s="59">
        <f t="shared" si="208"/>
        <v>316.59112511251385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projet'!$B$13,Paramètres!$A$1:$I$88,7,0))</f>
        <v>0</v>
      </c>
      <c r="DD199" s="16">
        <f>IF(ISNA(VLOOKUP(A199,'Données projet'!$A$139:$I$159,6,0)),0%,VLOOKUP(A199,'Données projet'!$A$139:$I$159,6,0)*VLOOKUP('Données projet'!$B$13,Paramètres!$A$1:$I$88,7,0))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projet'!$B$13,Paramètres!$A$1:$I$88,3,0)*0.475*44/12</f>
        <v>2.6966913379141504</v>
      </c>
      <c r="DG199" s="21">
        <f>EXP(-LN(2)/25)*DG198+(1-EXP(-LN(2)/25))/(LN(2)/25)*Calculateur!DB199*Calculateur!DD199*VLOOKUP('Données projet'!$B$13,Paramètres!$A$1:$I$88,3,0)*0.475*44/12</f>
        <v>0</v>
      </c>
      <c r="DH199" s="21">
        <f>EXP(-LN(2)/2)*DH198+(1-EXP(-LN(2)/2))/(LN(2)/2)*DB199*DE199*VLOOKUP('Données projet'!$B$13,Paramètres!$A$1:$I$88,3,0)*0.475*44/12</f>
        <v>5.8465163916598625E-25</v>
      </c>
      <c r="DI199" s="22">
        <f t="shared" si="175"/>
        <v>2.6966913379141504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projet'!$B$14,Paramètres!$A$1:$I$88,3,0)*VLOOKUP('Données projet'!$B$14,Paramètres!$A$1:$I$88,5,0)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projet'!$B$14,Paramètres!$A$1:$I$88,7,0))</f>
        <v>0</v>
      </c>
      <c r="DY199" s="16">
        <f>IF(ISNA(VLOOKUP(A199,'Données projet'!$A$165:$I$185,6,0)),0%,VLOOKUP(A199,'Données projet'!$A$165:$I$185,6,0)*VLOOKUP('Données projet'!$B$14,Paramètres!$A$1:$I$88,7,0))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projet'!$B$14,Paramètres!$A$1:$I$88,3,0)*0.475*44/12</f>
        <v>#N/A</v>
      </c>
      <c r="EB199" s="21" t="e">
        <f>EXP(-LN(2)/25)*EB198+(1-EXP(-LN(2)/25))/(LN(2)/25)*Calculateur!DW199*Calculateur!DY199*VLOOKUP('Données projet'!$B$14,Paramètres!$A$1:$I$88,3,0)*0.475*44/12</f>
        <v>#N/A</v>
      </c>
      <c r="EC199" s="21" t="e">
        <f>EXP(-LN(2)/2)*EC198+(1-EXP(-LN(2)/2))/(LN(2)/2)*DW199*DZ199*VLOOKUP('Données projet'!$B$14,Paramètres!$A$1:$I$88,3,0)*0.475*44/12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projet'!$B$15,Paramètres!$A$1:$I$88,3,0)*VLOOKUP('Données projet'!$B$15,Paramètres!$A$1:$I$88,5,0)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projet'!$B$15,Paramètres!$A$1:$I$88,7,0))</f>
        <v>0</v>
      </c>
      <c r="ET199" s="16">
        <f>IF(ISNA(VLOOKUP(A199,'Données projet'!$A$191:$I$211,6,0)),0%,VLOOKUP(A199,'Données projet'!$A$191:$I$211,6,0)*VLOOKUP('Données projet'!$B$15,Paramètres!$A$1:$I$88,7,0))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projet'!$B$15,Paramètres!$A$1:$I$88,3,0)*0.475*44/12</f>
        <v>#N/A</v>
      </c>
      <c r="EW199" s="21" t="e">
        <f>EXP(-LN(2)/25)*EW198+(1-EXP(-LN(2)/25))/(LN(2)/25)*Calculateur!ER199*Calculateur!ET199*VLOOKUP('Données projet'!$B$15,Paramètres!$A$1:$I$88,3,0)*0.475*44/12</f>
        <v>#N/A</v>
      </c>
      <c r="EX199" s="21" t="e">
        <f>EXP(-LN(2)/2)*EX198+(1-EXP(-LN(2)/2))/(LN(2)/2)*ER199*EU199*VLOOKUP('Données projet'!$B$15,Paramètres!$A$1:$I$88,3,0)*0.475*44/12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projet'!$B$16,Paramètres!$A$1:$I$88,3,0)*VLOOKUP('Données projet'!$B$16,Paramètres!$A$1:$I$88,5,0)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projet'!$B$16,Paramètres!$A$1:$I$88,7,0))</f>
        <v>0</v>
      </c>
      <c r="FO199" s="16">
        <f>IF(ISNA(VLOOKUP(A199,'Données projet'!$A$217:$I$237,6,0)),0%,VLOOKUP(A199,'Données projet'!$A$217:$I$237,6,0)*VLOOKUP('Données projet'!$B$16,Paramètres!$A$1:$I$88,7,0))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projet'!$B$16,Paramètres!$A$1:$I$88,3,0)*0.475*44/12</f>
        <v>#N/A</v>
      </c>
      <c r="FR199" s="21" t="e">
        <f>EXP(-LN(2)/25)*FR198+(1-EXP(-LN(2)/25))/(LN(2)/25)*Calculateur!FM199*Calculateur!FO199*VLOOKUP('Données projet'!$B$16,Paramètres!$A$1:$I$88,3,0)*0.475*44/12</f>
        <v>#N/A</v>
      </c>
      <c r="FS199" s="21" t="e">
        <f>EXP(-LN(2)/2)*FS198+(1-EXP(-LN(2)/2))/(LN(2)/2)*FM199*FP199*VLOOKUP('Données projet'!$B$16,Paramètres!$A$1:$I$88,3,0)*0.475*44/12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projet'!$B$17,Paramètres!$A$1:$I$88,3,0)*VLOOKUP('Données projet'!$B$17,Paramètres!$A$1:$I$88,5,0)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projet'!$B$17,Paramètres!$A$1:$I$88,7,0))</f>
        <v>0</v>
      </c>
      <c r="GJ199" s="16">
        <f>IF(ISNA(VLOOKUP(A199,'Données projet'!$A$243:$I$263,6,0)),0%,VLOOKUP(A199,'Données projet'!$A$243:$I$263,6,0)*VLOOKUP('Données projet'!$B$17,Paramètres!$A$1:$I$88,7,0))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projet'!$B$17,Paramètres!$A$1:$I$88,3,0)*0.475*44/12</f>
        <v>#N/A</v>
      </c>
      <c r="GM199" s="21" t="e">
        <f>EXP(-LN(2)/25)*GM198+(1-EXP(-LN(2)/25))/(LN(2)/25)*Calculateur!GH199*Calculateur!GJ199*VLOOKUP('Données projet'!$B$17,Paramètres!$A$1:$I$88,3,0)*0.475*44/12</f>
        <v>#N/A</v>
      </c>
      <c r="GN199" s="21" t="e">
        <f>EXP(-LN(2)/2)*GN198+(1-EXP(-LN(2)/2))/(LN(2)/2)*GH199*GK199*VLOOKUP('Données projet'!$B$17,Paramètres!$A$1:$I$88,3,0)*0.475*44/12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projet'!$B$18,Paramètres!$A$1:$I$88,3,0)*VLOOKUP('Données projet'!$B$18,Paramètres!$A$1:$I$88,5,0)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projet'!$B$18,Paramètres!$A$1:$I$88,7,0))</f>
        <v>0</v>
      </c>
      <c r="HE199" s="16">
        <f>IF(ISNA(VLOOKUP(A199,'Données projet'!$A$269:$I$289,6,0)),0%,VLOOKUP(A199,'Données projet'!$A$269:$I$289,6,0)*VLOOKUP('Données projet'!$B$18,Paramètres!$A$1:$I$88,7,0))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projet'!$B$18,Paramètres!$A$1:$I$88,3,0)*0.475*44/12</f>
        <v>#N/A</v>
      </c>
      <c r="HH199" s="21" t="e">
        <f>EXP(-LN(2)/25)*HH198+(1-EXP(-LN(2)/25))/(LN(2)/25)*Calculateur!HC199*Calculateur!HE199*VLOOKUP('Données projet'!$B$18,Paramètres!$A$1:$I$88,3,0)*0.475*44/12</f>
        <v>#N/A</v>
      </c>
      <c r="HI199" s="21" t="e">
        <f>EXP(-LN(2)/2)*HI198+(1-EXP(-LN(2)/2))/(LN(2)/2)*HC199*HF199*VLOOKUP('Données projet'!$B$18,Paramètres!$A$1:$I$88,3,0)*0.475*44/12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projet'!$B$9,Paramètres!$A$1:$I$88,3,0)*VLOOKUP('Données projet'!$B$9,Paramètres!$A$1:$I$88,5,0)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195.73441209602686</v>
      </c>
      <c r="T200" s="59">
        <f t="shared" si="204"/>
        <v>219.19129224309006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projet'!$B$9,Paramètres!$A$1:$I$88,7,0))</f>
        <v>0</v>
      </c>
      <c r="X200" s="16">
        <f>IF(ISNA(VLOOKUP(A200,'Données projet'!$A$35:$I$55,6,0)),0%,VLOOKUP(A200,'Données projet'!$A$35:$I$55,6,0)*VLOOKUP('Données projet'!$B$9,Paramètres!$A$1:$I$88,7,0))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projet'!$B$9,Paramètres!$A$1:$I$88,3,0)*0.475*44/12</f>
        <v>0.5584614558579315</v>
      </c>
      <c r="AA200" s="21">
        <f>EXP(-LN(2)/25)*AA199+(1-EXP(-LN(2)/25))/(LN(2)/25)*Calculateur!V200*Calculateur!X200*VLOOKUP('Données projet'!$B$9,Paramètres!$A$1:$I$88,3,0)*0.475*44/12</f>
        <v>0.13807363789068075</v>
      </c>
      <c r="AB200" s="21">
        <f>EXP(-LN(2)/2)*AB199+(1-EXP(-LN(2)/2))/(LN(2)/2)*V200*Y200*VLOOKUP('Données projet'!$B$9,Paramètres!$A$1:$I$88,3,0)*0.475*44/12</f>
        <v>2.9005701880425193E-27</v>
      </c>
      <c r="AC200" s="22">
        <f t="shared" si="163"/>
        <v>0.69653509374861222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-4.5474735088646412E-13</v>
      </c>
      <c r="AJ200" s="13">
        <f>AI200*VLOOKUP('Données projet'!$B$10,Paramètres!$A$1:$I$88,3,0)*VLOOKUP('Données projet'!$B$10,Paramètres!$A$1:$I$88,5,0)</f>
        <v>-2.7193891583010558E-13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246.59447135626942</v>
      </c>
      <c r="AO200" s="59">
        <f t="shared" si="205"/>
        <v>262.00382544285367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projet'!$B$10,Paramètres!$A$1:$I$88,7,0))</f>
        <v>0</v>
      </c>
      <c r="AS200" s="16">
        <f>IF(ISNA(VLOOKUP(A200,'Données projet'!$A$61:$I$81,6,0)),0%,VLOOKUP(A200,'Données projet'!$A$61:$I$81,6,0)*VLOOKUP('Données projet'!$B$10,Paramètres!$A$1:$I$88,7,0))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projet'!$B$10,Paramètres!$A$1:$I$88,3,0)*0.475*44/12</f>
        <v>0</v>
      </c>
      <c r="AV200" s="21">
        <f>EXP(-LN(2)/25)*AV199+(1-EXP(-LN(2)/25))/(LN(2)/25)*Calculateur!AQ200*Calculateur!AS200*VLOOKUP('Données projet'!$B$10,Paramètres!$A$1:$I$88,3,0)*0.475*44/12</f>
        <v>0.1253135017395523</v>
      </c>
      <c r="AW200" s="21">
        <f>EXP(-LN(2)/2)*AW199+(1-EXP(-LN(2)/2))/(LN(2)/2)*AQ200*AT200*VLOOKUP('Données projet'!$B$10,Paramètres!$A$1:$I$88,3,0)*0.475*44/12</f>
        <v>1.7349277151411652E-24</v>
      </c>
      <c r="AX200" s="21">
        <f t="shared" si="166"/>
        <v>0.1253135017395523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-5.6843418860808015E-13</v>
      </c>
      <c r="BE200" s="13">
        <f>BD200*VLOOKUP('Données projet'!$B$11,Paramètres!$A$1:$I$88,3,0)*VLOOKUP('Données projet'!$B$11,Paramètres!$A$1:$I$88,5,0)</f>
        <v>-3.177547114319168E-13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355.96253323046608</v>
      </c>
      <c r="BJ200" s="59">
        <f t="shared" si="206"/>
        <v>366.8380442809696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projet'!$B$11,Paramètres!$A$1:$I$88,7,0))</f>
        <v>0</v>
      </c>
      <c r="BN200" s="16">
        <f>IF(ISNA(VLOOKUP(A200,'Données projet'!$A$87:$I$107,6,0)),0%,VLOOKUP(A200,'Données projet'!$A$87:$I$107,6,0)*VLOOKUP('Données projet'!$B$11,Paramètres!$A$1:$I$88,7,0))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projet'!$B$11,Paramètres!$A$1:$I$88,3,0)*0.475*44/12</f>
        <v>0</v>
      </c>
      <c r="BQ200" s="21">
        <f>EXP(-LN(2)/25)*BQ199+(1-EXP(-LN(2)/25))/(LN(2)/25)*Calculateur!BL200*Calculateur!BN200*VLOOKUP('Données projet'!$B$11,Paramètres!$A$1:$I$88,3,0)*0.475*44/12</f>
        <v>0.22186926856892689</v>
      </c>
      <c r="BR200" s="21">
        <f>EXP(-LN(2)/2)*BR199+(1-EXP(-LN(2)/2))/(LN(2)/2)*BL200*BO200*VLOOKUP('Données projet'!$B$11,Paramètres!$A$1:$I$88,3,0)*0.475*44/12</f>
        <v>2.6824809397010033E-24</v>
      </c>
      <c r="BS200" s="22">
        <f t="shared" si="169"/>
        <v>0.22186926856892689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projet'!$B$12,Paramètres!$A$1:$I$88,3,0)*VLOOKUP('Données projet'!$B$12,Paramètres!$A$1:$I$88,5,0)</f>
        <v>3.7243808037601412E-14</v>
      </c>
      <c r="CA200" s="13">
        <f t="shared" si="170"/>
        <v>6.2767589361185393E-13</v>
      </c>
      <c r="CB200" s="20">
        <f t="shared" si="171"/>
        <v>1.1580684803728015E-12</v>
      </c>
      <c r="CC200" s="59">
        <f t="shared" si="195"/>
        <v>293.33333333333445</v>
      </c>
      <c r="CD200" s="59">
        <f ca="1">AVERAGE(OFFSET($CC$3,0,0,'Données projet'!$E$12+1,1))-AVERAGE(OFFSET($H$3,0,0,'Données projet'!$E$12+1,1))</f>
        <v>180.90147430936133</v>
      </c>
      <c r="CE200" s="59">
        <f t="shared" si="207"/>
        <v>226.87949199830018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projet'!$B$12,Paramètres!$A$1:$I$88,7,0))</f>
        <v>0</v>
      </c>
      <c r="CI200" s="16">
        <f>IF(ISNA(VLOOKUP(A200,'Données projet'!$A$113:$I$133,6,0)),0%,VLOOKUP(A200,'Données projet'!$A$113:$I$133,6,0)*VLOOKUP('Données projet'!$B$12,Paramètres!$A$1:$I$88,7,0))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projet'!$B$12,Paramètres!$A$1:$I$88,3,0)*0.475*44/12</f>
        <v>0</v>
      </c>
      <c r="CL200" s="21">
        <f>EXP(-LN(2)/25)*CL199+(1-EXP(-LN(2)/25))/(LN(2)/25)*Calculateur!CG200*Calculateur!CI200*VLOOKUP('Données projet'!$B$12,Paramètres!$A$1:$I$88,3,0)*0.475*44/12</f>
        <v>6.7005456641602651E-2</v>
      </c>
      <c r="CM200" s="21">
        <f>EXP(-LN(2)/2)*CM199+(1-EXP(-LN(2)/2))/(LN(2)/2)*CG200*CJ200*VLOOKUP('Données projet'!$B$12,Paramètres!$A$1:$I$88,3,0)*0.475*44/12</f>
        <v>6.4796215765923757E-25</v>
      </c>
      <c r="CN200" s="22">
        <f t="shared" si="172"/>
        <v>6.7005456641602651E-2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5.6843418860808015E-14</v>
      </c>
      <c r="CU200" s="17">
        <f>CT200*VLOOKUP('Données projet'!$B$13,Paramètres!$A$1:$I$88,3,0)*VLOOKUP('Données projet'!$B$13,Paramètres!$A$1:$I$88,5,0)</f>
        <v>2.8908289095852525E-14</v>
      </c>
      <c r="CV200" s="13">
        <f t="shared" si="173"/>
        <v>5.0177780569126974E-13</v>
      </c>
      <c r="CW200" s="20">
        <f t="shared" si="174"/>
        <v>9.2427828175423786E-13</v>
      </c>
      <c r="CX200" s="59">
        <f t="shared" si="196"/>
        <v>293.33333333333422</v>
      </c>
      <c r="CY200" s="59">
        <f ca="1">AVERAGE(OFFSET($CX$3,0,0,'Données projet'!$E$13+1,1))-AVERAGE(OFFSET($H$3,0,0,'Données projet'!$E$13+1,1))</f>
        <v>133.08385802816008</v>
      </c>
      <c r="CZ200" s="59">
        <f t="shared" si="208"/>
        <v>316.59112511251385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projet'!$B$13,Paramètres!$A$1:$I$88,7,0))</f>
        <v>0</v>
      </c>
      <c r="DD200" s="16">
        <f>IF(ISNA(VLOOKUP(A200,'Données projet'!$A$139:$I$159,6,0)),0%,VLOOKUP(A200,'Données projet'!$A$139:$I$159,6,0)*VLOOKUP('Données projet'!$B$13,Paramètres!$A$1:$I$88,7,0))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projet'!$B$13,Paramètres!$A$1:$I$88,3,0)*0.475*44/12</f>
        <v>2.6438108655969574</v>
      </c>
      <c r="DG200" s="21">
        <f>EXP(-LN(2)/25)*DG199+(1-EXP(-LN(2)/25))/(LN(2)/25)*Calculateur!DB200*Calculateur!DD200*VLOOKUP('Données projet'!$B$13,Paramètres!$A$1:$I$88,3,0)*0.475*44/12</f>
        <v>0</v>
      </c>
      <c r="DH200" s="21">
        <f>EXP(-LN(2)/2)*DH199+(1-EXP(-LN(2)/2))/(LN(2)/2)*DB200*DE200*VLOOKUP('Données projet'!$B$13,Paramètres!$A$1:$I$88,3,0)*0.475*44/12</f>
        <v>4.1341113868609939E-25</v>
      </c>
      <c r="DI200" s="22">
        <f t="shared" si="175"/>
        <v>2.6438108655969574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projet'!$B$14,Paramètres!$A$1:$I$88,3,0)*VLOOKUP('Données projet'!$B$14,Paramètres!$A$1:$I$88,5,0)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projet'!$B$14,Paramètres!$A$1:$I$88,7,0))</f>
        <v>0</v>
      </c>
      <c r="DY200" s="16">
        <f>IF(ISNA(VLOOKUP(A200,'Données projet'!$A$165:$I$185,6,0)),0%,VLOOKUP(A200,'Données projet'!$A$165:$I$185,6,0)*VLOOKUP('Données projet'!$B$14,Paramètres!$A$1:$I$88,7,0))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projet'!$B$14,Paramètres!$A$1:$I$88,3,0)*0.475*44/12</f>
        <v>#N/A</v>
      </c>
      <c r="EB200" s="21" t="e">
        <f>EXP(-LN(2)/25)*EB199+(1-EXP(-LN(2)/25))/(LN(2)/25)*Calculateur!DW200*Calculateur!DY200*VLOOKUP('Données projet'!$B$14,Paramètres!$A$1:$I$88,3,0)*0.475*44/12</f>
        <v>#N/A</v>
      </c>
      <c r="EC200" s="21" t="e">
        <f>EXP(-LN(2)/2)*EC199+(1-EXP(-LN(2)/2))/(LN(2)/2)*DW200*DZ200*VLOOKUP('Données projet'!$B$14,Paramètres!$A$1:$I$88,3,0)*0.475*44/12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projet'!$B$15,Paramètres!$A$1:$I$88,3,0)*VLOOKUP('Données projet'!$B$15,Paramètres!$A$1:$I$88,5,0)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projet'!$B$15,Paramètres!$A$1:$I$88,7,0))</f>
        <v>0</v>
      </c>
      <c r="ET200" s="16">
        <f>IF(ISNA(VLOOKUP(A200,'Données projet'!$A$191:$I$211,6,0)),0%,VLOOKUP(A200,'Données projet'!$A$191:$I$211,6,0)*VLOOKUP('Données projet'!$B$15,Paramètres!$A$1:$I$88,7,0))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projet'!$B$15,Paramètres!$A$1:$I$88,3,0)*0.475*44/12</f>
        <v>#N/A</v>
      </c>
      <c r="EW200" s="21" t="e">
        <f>EXP(-LN(2)/25)*EW199+(1-EXP(-LN(2)/25))/(LN(2)/25)*Calculateur!ER200*Calculateur!ET200*VLOOKUP('Données projet'!$B$15,Paramètres!$A$1:$I$88,3,0)*0.475*44/12</f>
        <v>#N/A</v>
      </c>
      <c r="EX200" s="21" t="e">
        <f>EXP(-LN(2)/2)*EX199+(1-EXP(-LN(2)/2))/(LN(2)/2)*ER200*EU200*VLOOKUP('Données projet'!$B$15,Paramètres!$A$1:$I$88,3,0)*0.475*44/12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projet'!$B$16,Paramètres!$A$1:$I$88,3,0)*VLOOKUP('Données projet'!$B$16,Paramètres!$A$1:$I$88,5,0)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projet'!$B$16,Paramètres!$A$1:$I$88,7,0))</f>
        <v>0</v>
      </c>
      <c r="FO200" s="16">
        <f>IF(ISNA(VLOOKUP(A200,'Données projet'!$A$217:$I$237,6,0)),0%,VLOOKUP(A200,'Données projet'!$A$217:$I$237,6,0)*VLOOKUP('Données projet'!$B$16,Paramètres!$A$1:$I$88,7,0))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projet'!$B$16,Paramètres!$A$1:$I$88,3,0)*0.475*44/12</f>
        <v>#N/A</v>
      </c>
      <c r="FR200" s="21" t="e">
        <f>EXP(-LN(2)/25)*FR199+(1-EXP(-LN(2)/25))/(LN(2)/25)*Calculateur!FM200*Calculateur!FO200*VLOOKUP('Données projet'!$B$16,Paramètres!$A$1:$I$88,3,0)*0.475*44/12</f>
        <v>#N/A</v>
      </c>
      <c r="FS200" s="21" t="e">
        <f>EXP(-LN(2)/2)*FS199+(1-EXP(-LN(2)/2))/(LN(2)/2)*FM200*FP200*VLOOKUP('Données projet'!$B$16,Paramètres!$A$1:$I$88,3,0)*0.475*44/12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projet'!$B$17,Paramètres!$A$1:$I$88,3,0)*VLOOKUP('Données projet'!$B$17,Paramètres!$A$1:$I$88,5,0)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projet'!$B$17,Paramètres!$A$1:$I$88,7,0))</f>
        <v>0</v>
      </c>
      <c r="GJ200" s="16">
        <f>IF(ISNA(VLOOKUP(A200,'Données projet'!$A$243:$I$263,6,0)),0%,VLOOKUP(A200,'Données projet'!$A$243:$I$263,6,0)*VLOOKUP('Données projet'!$B$17,Paramètres!$A$1:$I$88,7,0))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projet'!$B$17,Paramètres!$A$1:$I$88,3,0)*0.475*44/12</f>
        <v>#N/A</v>
      </c>
      <c r="GM200" s="21" t="e">
        <f>EXP(-LN(2)/25)*GM199+(1-EXP(-LN(2)/25))/(LN(2)/25)*Calculateur!GH200*Calculateur!GJ200*VLOOKUP('Données projet'!$B$17,Paramètres!$A$1:$I$88,3,0)*0.475*44/12</f>
        <v>#N/A</v>
      </c>
      <c r="GN200" s="21" t="e">
        <f>EXP(-LN(2)/2)*GN199+(1-EXP(-LN(2)/2))/(LN(2)/2)*GH200*GK200*VLOOKUP('Données projet'!$B$17,Paramètres!$A$1:$I$88,3,0)*0.475*44/12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projet'!$B$18,Paramètres!$A$1:$I$88,3,0)*VLOOKUP('Données projet'!$B$18,Paramètres!$A$1:$I$88,5,0)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projet'!$B$18,Paramètres!$A$1:$I$88,7,0))</f>
        <v>0</v>
      </c>
      <c r="HE200" s="16">
        <f>IF(ISNA(VLOOKUP(A200,'Données projet'!$A$269:$I$289,6,0)),0%,VLOOKUP(A200,'Données projet'!$A$269:$I$289,6,0)*VLOOKUP('Données projet'!$B$18,Paramètres!$A$1:$I$88,7,0))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projet'!$B$18,Paramètres!$A$1:$I$88,3,0)*0.475*44/12</f>
        <v>#N/A</v>
      </c>
      <c r="HH200" s="21" t="e">
        <f>EXP(-LN(2)/25)*HH199+(1-EXP(-LN(2)/25))/(LN(2)/25)*Calculateur!HC200*Calculateur!HE200*VLOOKUP('Données projet'!$B$18,Paramètres!$A$1:$I$88,3,0)*0.475*44/12</f>
        <v>#N/A</v>
      </c>
      <c r="HI200" s="21" t="e">
        <f>EXP(-LN(2)/2)*HI199+(1-EXP(-LN(2)/2))/(LN(2)/2)*HC200*HF200*VLOOKUP('Données projet'!$B$18,Paramètres!$A$1:$I$88,3,0)*0.475*44/12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projet'!$B$9,Paramètres!$A$1:$I$88,3,0)*VLOOKUP('Données projet'!$B$9,Paramètres!$A$1:$I$88,5,0)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195.73441209602686</v>
      </c>
      <c r="T201" s="59">
        <f t="shared" si="204"/>
        <v>219.19129224309006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projet'!$B$9,Paramètres!$A$1:$I$88,7,0))</f>
        <v>0</v>
      </c>
      <c r="X201" s="16">
        <f>IF(ISNA(VLOOKUP(A201,'Données projet'!$A$35:$I$55,6,0)),0%,VLOOKUP(A201,'Données projet'!$A$35:$I$55,6,0)*VLOOKUP('Données projet'!$B$9,Paramètres!$A$1:$I$88,7,0))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projet'!$B$9,Paramètres!$A$1:$I$88,3,0)*0.475*44/12</f>
        <v>0.54751036733641134</v>
      </c>
      <c r="AA201" s="21">
        <f>EXP(-LN(2)/25)*AA200+(1-EXP(-LN(2)/25))/(LN(2)/25)*Calculateur!V201*Calculateur!X201*VLOOKUP('Données projet'!$B$9,Paramètres!$A$1:$I$88,3,0)*0.475*44/12</f>
        <v>0.13429800700158304</v>
      </c>
      <c r="AB201" s="21">
        <f>EXP(-LN(2)/2)*AB200+(1-EXP(-LN(2)/2))/(LN(2)/2)*V201*Y201*VLOOKUP('Données projet'!$B$9,Paramètres!$A$1:$I$88,3,0)*0.475*44/12</f>
        <v>2.0510128492724047E-27</v>
      </c>
      <c r="AC201" s="22">
        <f t="shared" si="163"/>
        <v>0.68180837433799435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-4.5474735088646412E-13</v>
      </c>
      <c r="AJ201" s="13">
        <f>AI201*VLOOKUP('Données projet'!$B$10,Paramètres!$A$1:$I$88,3,0)*VLOOKUP('Données projet'!$B$10,Paramètres!$A$1:$I$88,5,0)</f>
        <v>-2.7193891583010558E-13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246.59447135626942</v>
      </c>
      <c r="AO201" s="59">
        <f t="shared" si="205"/>
        <v>262.00382544285367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projet'!$B$10,Paramètres!$A$1:$I$88,7,0))</f>
        <v>0</v>
      </c>
      <c r="AS201" s="16">
        <f>IF(ISNA(VLOOKUP(A201,'Données projet'!$A$61:$I$81,6,0)),0%,VLOOKUP(A201,'Données projet'!$A$61:$I$81,6,0)*VLOOKUP('Données projet'!$B$10,Paramètres!$A$1:$I$88,7,0))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projet'!$B$10,Paramètres!$A$1:$I$88,3,0)*0.475*44/12</f>
        <v>0</v>
      </c>
      <c r="AV201" s="21">
        <f>EXP(-LN(2)/25)*AV200+(1-EXP(-LN(2)/25))/(LN(2)/25)*Calculateur!AQ201*Calculateur!AS201*VLOOKUP('Données projet'!$B$10,Paramètres!$A$1:$I$88,3,0)*0.475*44/12</f>
        <v>0.1218867974445336</v>
      </c>
      <c r="AW201" s="21">
        <f>EXP(-LN(2)/2)*AW200+(1-EXP(-LN(2)/2))/(LN(2)/2)*AQ201*AT201*VLOOKUP('Données projet'!$B$10,Paramètres!$A$1:$I$88,3,0)*0.475*44/12</f>
        <v>1.2267791522448008E-24</v>
      </c>
      <c r="AX201" s="21">
        <f t="shared" si="166"/>
        <v>0.1218867974445336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-5.6843418860808015E-13</v>
      </c>
      <c r="BE201" s="13">
        <f>BD201*VLOOKUP('Données projet'!$B$11,Paramètres!$A$1:$I$88,3,0)*VLOOKUP('Données projet'!$B$11,Paramètres!$A$1:$I$88,5,0)</f>
        <v>-3.177547114319168E-13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355.96253323046608</v>
      </c>
      <c r="BJ201" s="59">
        <f t="shared" si="206"/>
        <v>366.8380442809696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projet'!$B$11,Paramètres!$A$1:$I$88,7,0))</f>
        <v>0</v>
      </c>
      <c r="BN201" s="16">
        <f>IF(ISNA(VLOOKUP(A201,'Données projet'!$A$87:$I$107,6,0)),0%,VLOOKUP(A201,'Données projet'!$A$87:$I$107,6,0)*VLOOKUP('Données projet'!$B$11,Paramètres!$A$1:$I$88,7,0))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projet'!$B$11,Paramètres!$A$1:$I$88,3,0)*0.475*44/12</f>
        <v>0</v>
      </c>
      <c r="BQ201" s="21">
        <f>EXP(-LN(2)/25)*BQ200+(1-EXP(-LN(2)/25))/(LN(2)/25)*Calculateur!BL201*Calculateur!BN201*VLOOKUP('Données projet'!$B$11,Paramètres!$A$1:$I$88,3,0)*0.475*44/12</f>
        <v>0.21580224175231183</v>
      </c>
      <c r="BR201" s="21">
        <f>EXP(-LN(2)/2)*BR200+(1-EXP(-LN(2)/2))/(LN(2)/2)*BL201*BO201*VLOOKUP('Données projet'!$B$11,Paramètres!$A$1:$I$88,3,0)*0.475*44/12</f>
        <v>1.8968004628662417E-24</v>
      </c>
      <c r="BS201" s="22">
        <f t="shared" si="169"/>
        <v>0.21580224175231183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projet'!$B$12,Paramètres!$A$1:$I$88,3,0)*VLOOKUP('Données projet'!$B$12,Paramètres!$A$1:$I$88,5,0)</f>
        <v>3.7243808037601412E-14</v>
      </c>
      <c r="CA201" s="13">
        <f t="shared" si="170"/>
        <v>6.2767589361185393E-13</v>
      </c>
      <c r="CB201" s="20">
        <f t="shared" si="171"/>
        <v>1.1580684803728015E-12</v>
      </c>
      <c r="CC201" s="59">
        <f t="shared" si="195"/>
        <v>293.33333333333445</v>
      </c>
      <c r="CD201" s="59">
        <f ca="1">AVERAGE(OFFSET($CC$3,0,0,'Données projet'!$E$12+1,1))-AVERAGE(OFFSET($H$3,0,0,'Données projet'!$E$12+1,1))</f>
        <v>180.90147430936133</v>
      </c>
      <c r="CE201" s="59">
        <f t="shared" si="207"/>
        <v>226.87949199830018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projet'!$B$12,Paramètres!$A$1:$I$88,7,0))</f>
        <v>0</v>
      </c>
      <c r="CI201" s="16">
        <f>IF(ISNA(VLOOKUP(A201,'Données projet'!$A$113:$I$133,6,0)),0%,VLOOKUP(A201,'Données projet'!$A$113:$I$133,6,0)*VLOOKUP('Données projet'!$B$12,Paramètres!$A$1:$I$88,7,0))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projet'!$B$12,Paramètres!$A$1:$I$88,3,0)*0.475*44/12</f>
        <v>0</v>
      </c>
      <c r="CL201" s="21">
        <f>EXP(-LN(2)/25)*CL200+(1-EXP(-LN(2)/25))/(LN(2)/25)*Calculateur!CG201*Calculateur!CI201*VLOOKUP('Données projet'!$B$12,Paramètres!$A$1:$I$88,3,0)*0.475*44/12</f>
        <v>6.5173188906074209E-2</v>
      </c>
      <c r="CM201" s="21">
        <f>EXP(-LN(2)/2)*CM200+(1-EXP(-LN(2)/2))/(LN(2)/2)*CG201*CJ201*VLOOKUP('Données projet'!$B$12,Paramètres!$A$1:$I$88,3,0)*0.475*44/12</f>
        <v>4.581784356331137E-25</v>
      </c>
      <c r="CN201" s="22">
        <f t="shared" si="172"/>
        <v>6.5173188906074209E-2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5.6843418860808015E-14</v>
      </c>
      <c r="CU201" s="17">
        <f>CT201*VLOOKUP('Données projet'!$B$13,Paramètres!$A$1:$I$88,3,0)*VLOOKUP('Données projet'!$B$13,Paramètres!$A$1:$I$88,5,0)</f>
        <v>2.8908289095852525E-14</v>
      </c>
      <c r="CV201" s="13">
        <f t="shared" si="173"/>
        <v>5.0177780569126974E-13</v>
      </c>
      <c r="CW201" s="20">
        <f t="shared" si="174"/>
        <v>9.2427828175423786E-13</v>
      </c>
      <c r="CX201" s="59">
        <f t="shared" si="196"/>
        <v>293.33333333333422</v>
      </c>
      <c r="CY201" s="59">
        <f ca="1">AVERAGE(OFFSET($CX$3,0,0,'Données projet'!$E$13+1,1))-AVERAGE(OFFSET($H$3,0,0,'Données projet'!$E$13+1,1))</f>
        <v>133.08385802816008</v>
      </c>
      <c r="CZ201" s="59">
        <f t="shared" si="208"/>
        <v>316.59112511251385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projet'!$B$13,Paramètres!$A$1:$I$88,7,0))</f>
        <v>0</v>
      </c>
      <c r="DD201" s="16">
        <f>IF(ISNA(VLOOKUP(A201,'Données projet'!$A$139:$I$159,6,0)),0%,VLOOKUP(A201,'Données projet'!$A$139:$I$159,6,0)*VLOOKUP('Données projet'!$B$13,Paramètres!$A$1:$I$88,7,0))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projet'!$B$13,Paramètres!$A$1:$I$88,3,0)*0.475*44/12</f>
        <v>2.5919673470880014</v>
      </c>
      <c r="DG201" s="21">
        <f>EXP(-LN(2)/25)*DG200+(1-EXP(-LN(2)/25))/(LN(2)/25)*Calculateur!DB201*Calculateur!DD201*VLOOKUP('Données projet'!$B$13,Paramètres!$A$1:$I$88,3,0)*0.475*44/12</f>
        <v>0</v>
      </c>
      <c r="DH201" s="21">
        <f>EXP(-LN(2)/2)*DH200+(1-EXP(-LN(2)/2))/(LN(2)/2)*DB201*DE201*VLOOKUP('Données projet'!$B$13,Paramètres!$A$1:$I$88,3,0)*0.475*44/12</f>
        <v>2.9232581958299317E-25</v>
      </c>
      <c r="DI201" s="22">
        <f t="shared" si="175"/>
        <v>2.5919673470880014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projet'!$B$14,Paramètres!$A$1:$I$88,3,0)*VLOOKUP('Données projet'!$B$14,Paramètres!$A$1:$I$88,5,0)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projet'!$B$14,Paramètres!$A$1:$I$88,7,0))</f>
        <v>0</v>
      </c>
      <c r="DY201" s="16">
        <f>IF(ISNA(VLOOKUP(A201,'Données projet'!$A$165:$I$185,6,0)),0%,VLOOKUP(A201,'Données projet'!$A$165:$I$185,6,0)*VLOOKUP('Données projet'!$B$14,Paramètres!$A$1:$I$88,7,0))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projet'!$B$14,Paramètres!$A$1:$I$88,3,0)*0.475*44/12</f>
        <v>#N/A</v>
      </c>
      <c r="EB201" s="21" t="e">
        <f>EXP(-LN(2)/25)*EB200+(1-EXP(-LN(2)/25))/(LN(2)/25)*Calculateur!DW201*Calculateur!DY201*VLOOKUP('Données projet'!$B$14,Paramètres!$A$1:$I$88,3,0)*0.475*44/12</f>
        <v>#N/A</v>
      </c>
      <c r="EC201" s="21" t="e">
        <f>EXP(-LN(2)/2)*EC200+(1-EXP(-LN(2)/2))/(LN(2)/2)*DW201*DZ201*VLOOKUP('Données projet'!$B$14,Paramètres!$A$1:$I$88,3,0)*0.475*44/12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projet'!$B$15,Paramètres!$A$1:$I$88,3,0)*VLOOKUP('Données projet'!$B$15,Paramètres!$A$1:$I$88,5,0)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projet'!$B$15,Paramètres!$A$1:$I$88,7,0))</f>
        <v>0</v>
      </c>
      <c r="ET201" s="16">
        <f>IF(ISNA(VLOOKUP(A201,'Données projet'!$A$191:$I$211,6,0)),0%,VLOOKUP(A201,'Données projet'!$A$191:$I$211,6,0)*VLOOKUP('Données projet'!$B$15,Paramètres!$A$1:$I$88,7,0))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projet'!$B$15,Paramètres!$A$1:$I$88,3,0)*0.475*44/12</f>
        <v>#N/A</v>
      </c>
      <c r="EW201" s="21" t="e">
        <f>EXP(-LN(2)/25)*EW200+(1-EXP(-LN(2)/25))/(LN(2)/25)*Calculateur!ER201*Calculateur!ET201*VLOOKUP('Données projet'!$B$15,Paramètres!$A$1:$I$88,3,0)*0.475*44/12</f>
        <v>#N/A</v>
      </c>
      <c r="EX201" s="21" t="e">
        <f>EXP(-LN(2)/2)*EX200+(1-EXP(-LN(2)/2))/(LN(2)/2)*ER201*EU201*VLOOKUP('Données projet'!$B$15,Paramètres!$A$1:$I$88,3,0)*0.475*44/12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projet'!$B$16,Paramètres!$A$1:$I$88,3,0)*VLOOKUP('Données projet'!$B$16,Paramètres!$A$1:$I$88,5,0)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projet'!$B$16,Paramètres!$A$1:$I$88,7,0))</f>
        <v>0</v>
      </c>
      <c r="FO201" s="16">
        <f>IF(ISNA(VLOOKUP(A201,'Données projet'!$A$217:$I$237,6,0)),0%,VLOOKUP(A201,'Données projet'!$A$217:$I$237,6,0)*VLOOKUP('Données projet'!$B$16,Paramètres!$A$1:$I$88,7,0))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projet'!$B$16,Paramètres!$A$1:$I$88,3,0)*0.475*44/12</f>
        <v>#N/A</v>
      </c>
      <c r="FR201" s="21" t="e">
        <f>EXP(-LN(2)/25)*FR200+(1-EXP(-LN(2)/25))/(LN(2)/25)*Calculateur!FM201*Calculateur!FO201*VLOOKUP('Données projet'!$B$16,Paramètres!$A$1:$I$88,3,0)*0.475*44/12</f>
        <v>#N/A</v>
      </c>
      <c r="FS201" s="21" t="e">
        <f>EXP(-LN(2)/2)*FS200+(1-EXP(-LN(2)/2))/(LN(2)/2)*FM201*FP201*VLOOKUP('Données projet'!$B$16,Paramètres!$A$1:$I$88,3,0)*0.475*44/12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projet'!$B$17,Paramètres!$A$1:$I$88,3,0)*VLOOKUP('Données projet'!$B$17,Paramètres!$A$1:$I$88,5,0)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projet'!$B$17,Paramètres!$A$1:$I$88,7,0))</f>
        <v>0</v>
      </c>
      <c r="GJ201" s="16">
        <f>IF(ISNA(VLOOKUP(A201,'Données projet'!$A$243:$I$263,6,0)),0%,VLOOKUP(A201,'Données projet'!$A$243:$I$263,6,0)*VLOOKUP('Données projet'!$B$17,Paramètres!$A$1:$I$88,7,0))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projet'!$B$17,Paramètres!$A$1:$I$88,3,0)*0.475*44/12</f>
        <v>#N/A</v>
      </c>
      <c r="GM201" s="21" t="e">
        <f>EXP(-LN(2)/25)*GM200+(1-EXP(-LN(2)/25))/(LN(2)/25)*Calculateur!GH201*Calculateur!GJ201*VLOOKUP('Données projet'!$B$17,Paramètres!$A$1:$I$88,3,0)*0.475*44/12</f>
        <v>#N/A</v>
      </c>
      <c r="GN201" s="21" t="e">
        <f>EXP(-LN(2)/2)*GN200+(1-EXP(-LN(2)/2))/(LN(2)/2)*GH201*GK201*VLOOKUP('Données projet'!$B$17,Paramètres!$A$1:$I$88,3,0)*0.475*44/12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projet'!$B$18,Paramètres!$A$1:$I$88,3,0)*VLOOKUP('Données projet'!$B$18,Paramètres!$A$1:$I$88,5,0)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projet'!$B$18,Paramètres!$A$1:$I$88,7,0))</f>
        <v>0</v>
      </c>
      <c r="HE201" s="16">
        <f>IF(ISNA(VLOOKUP(A201,'Données projet'!$A$269:$I$289,6,0)),0%,VLOOKUP(A201,'Données projet'!$A$269:$I$289,6,0)*VLOOKUP('Données projet'!$B$18,Paramètres!$A$1:$I$88,7,0))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projet'!$B$18,Paramètres!$A$1:$I$88,3,0)*0.475*44/12</f>
        <v>#N/A</v>
      </c>
      <c r="HH201" s="21" t="e">
        <f>EXP(-LN(2)/25)*HH200+(1-EXP(-LN(2)/25))/(LN(2)/25)*Calculateur!HC201*Calculateur!HE201*VLOOKUP('Données projet'!$B$18,Paramètres!$A$1:$I$88,3,0)*0.475*44/12</f>
        <v>#N/A</v>
      </c>
      <c r="HI201" s="21" t="e">
        <f>EXP(-LN(2)/2)*HI200+(1-EXP(-LN(2)/2))/(LN(2)/2)*HC201*HF201*VLOOKUP('Données projet'!$B$18,Paramètres!$A$1:$I$88,3,0)*0.475*44/12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projet'!$B$9,Paramètres!$A$1:$I$88,3,0)*VLOOKUP('Données projet'!$B$9,Paramètres!$A$1:$I$88,5,0)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195.73441209602686</v>
      </c>
      <c r="T202" s="59">
        <f t="shared" si="204"/>
        <v>219.19129224309006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projet'!$B$9,Paramètres!$A$1:$I$88,7,0))</f>
        <v>0</v>
      </c>
      <c r="X202" s="16">
        <f>IF(ISNA(VLOOKUP(A202,'Données projet'!$A$35:$I$55,6,0)),0%,VLOOKUP(A202,'Données projet'!$A$35:$I$55,6,0)*VLOOKUP('Données projet'!$B$9,Paramètres!$A$1:$I$88,7,0))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projet'!$B$9,Paramètres!$A$1:$I$88,3,0)*0.475*44/12</f>
        <v>0.53677402298129373</v>
      </c>
      <c r="AA202" s="21">
        <f>EXP(-LN(2)/25)*AA201+(1-EXP(-LN(2)/25))/(LN(2)/25)*Calculateur!V202*Calculateur!X202*VLOOKUP('Données projet'!$B$9,Paramètres!$A$1:$I$88,3,0)*0.475*44/12</f>
        <v>0.1306256209376995</v>
      </c>
      <c r="AB202" s="21">
        <f>EXP(-LN(2)/2)*AB201+(1-EXP(-LN(2)/2))/(LN(2)/2)*V202*Y202*VLOOKUP('Données projet'!$B$9,Paramètres!$A$1:$I$88,3,0)*0.475*44/12</f>
        <v>1.4502850940212597E-27</v>
      </c>
      <c r="AC202" s="22">
        <f t="shared" si="163"/>
        <v>0.6673996439189932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-4.5474735088646412E-13</v>
      </c>
      <c r="AJ202" s="13">
        <f>AI202*VLOOKUP('Données projet'!$B$10,Paramètres!$A$1:$I$88,3,0)*VLOOKUP('Données projet'!$B$10,Paramètres!$A$1:$I$88,5,0)</f>
        <v>-2.7193891583010558E-13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246.59447135626942</v>
      </c>
      <c r="AO202" s="59">
        <f t="shared" si="205"/>
        <v>262.00382544285367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projet'!$B$10,Paramètres!$A$1:$I$88,7,0))</f>
        <v>0</v>
      </c>
      <c r="AS202" s="16">
        <f>IF(ISNA(VLOOKUP(A202,'Données projet'!$A$61:$I$81,6,0)),0%,VLOOKUP(A202,'Données projet'!$A$61:$I$81,6,0)*VLOOKUP('Données projet'!$B$10,Paramètres!$A$1:$I$88,7,0))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projet'!$B$10,Paramètres!$A$1:$I$88,3,0)*0.475*44/12</f>
        <v>0</v>
      </c>
      <c r="AV202" s="21">
        <f>EXP(-LN(2)/25)*AV201+(1-EXP(-LN(2)/25))/(LN(2)/25)*Calculateur!AQ202*Calculateur!AS202*VLOOKUP('Données projet'!$B$10,Paramètres!$A$1:$I$88,3,0)*0.475*44/12</f>
        <v>0.11855379655866473</v>
      </c>
      <c r="AW202" s="21">
        <f>EXP(-LN(2)/2)*AW201+(1-EXP(-LN(2)/2))/(LN(2)/2)*AQ202*AT202*VLOOKUP('Données projet'!$B$10,Paramètres!$A$1:$I$88,3,0)*0.475*44/12</f>
        <v>8.6746385757058259E-25</v>
      </c>
      <c r="AX202" s="21">
        <f t="shared" si="166"/>
        <v>0.11855379655866473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-5.6843418860808015E-13</v>
      </c>
      <c r="BE202" s="13">
        <f>BD202*VLOOKUP('Données projet'!$B$11,Paramètres!$A$1:$I$88,3,0)*VLOOKUP('Données projet'!$B$11,Paramètres!$A$1:$I$88,5,0)</f>
        <v>-3.177547114319168E-13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355.96253323046608</v>
      </c>
      <c r="BJ202" s="59">
        <f t="shared" si="206"/>
        <v>366.8380442809696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projet'!$B$11,Paramètres!$A$1:$I$88,7,0))</f>
        <v>0</v>
      </c>
      <c r="BN202" s="16">
        <f>IF(ISNA(VLOOKUP(A202,'Données projet'!$A$87:$I$107,6,0)),0%,VLOOKUP(A202,'Données projet'!$A$87:$I$107,6,0)*VLOOKUP('Données projet'!$B$11,Paramètres!$A$1:$I$88,7,0))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projet'!$B$11,Paramètres!$A$1:$I$88,3,0)*0.475*44/12</f>
        <v>0</v>
      </c>
      <c r="BQ202" s="21">
        <f>EXP(-LN(2)/25)*BQ201+(1-EXP(-LN(2)/25))/(LN(2)/25)*Calculateur!BL202*Calculateur!BN202*VLOOKUP('Données projet'!$B$11,Paramètres!$A$1:$I$88,3,0)*0.475*44/12</f>
        <v>0.20990111810304818</v>
      </c>
      <c r="BR202" s="21">
        <f>EXP(-LN(2)/2)*BR201+(1-EXP(-LN(2)/2))/(LN(2)/2)*BL202*BO202*VLOOKUP('Données projet'!$B$11,Paramètres!$A$1:$I$88,3,0)*0.475*44/12</f>
        <v>1.3412404698505017E-24</v>
      </c>
      <c r="BS202" s="22">
        <f t="shared" si="169"/>
        <v>0.20990111810304818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projet'!$B$12,Paramètres!$A$1:$I$88,3,0)*VLOOKUP('Données projet'!$B$12,Paramètres!$A$1:$I$88,5,0)</f>
        <v>3.7243808037601412E-14</v>
      </c>
      <c r="CA202" s="13">
        <f t="shared" si="170"/>
        <v>6.2767589361185393E-13</v>
      </c>
      <c r="CB202" s="20">
        <f t="shared" si="171"/>
        <v>1.1580684803728015E-12</v>
      </c>
      <c r="CC202" s="59">
        <f t="shared" si="195"/>
        <v>293.33333333333445</v>
      </c>
      <c r="CD202" s="59">
        <f ca="1">AVERAGE(OFFSET($CC$3,0,0,'Données projet'!$E$12+1,1))-AVERAGE(OFFSET($H$3,0,0,'Données projet'!$E$12+1,1))</f>
        <v>180.90147430936133</v>
      </c>
      <c r="CE202" s="59">
        <f t="shared" si="207"/>
        <v>226.87949199830018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projet'!$B$12,Paramètres!$A$1:$I$88,7,0))</f>
        <v>0</v>
      </c>
      <c r="CI202" s="16">
        <f>IF(ISNA(VLOOKUP(A202,'Données projet'!$A$113:$I$133,6,0)),0%,VLOOKUP(A202,'Données projet'!$A$113:$I$133,6,0)*VLOOKUP('Données projet'!$B$12,Paramètres!$A$1:$I$88,7,0))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projet'!$B$12,Paramètres!$A$1:$I$88,3,0)*0.475*44/12</f>
        <v>0</v>
      </c>
      <c r="CL202" s="21">
        <f>EXP(-LN(2)/25)*CL201+(1-EXP(-LN(2)/25))/(LN(2)/25)*Calculateur!CG202*Calculateur!CI202*VLOOKUP('Données projet'!$B$12,Paramètres!$A$1:$I$88,3,0)*0.475*44/12</f>
        <v>6.3391024628128553E-2</v>
      </c>
      <c r="CM202" s="21">
        <f>EXP(-LN(2)/2)*CM201+(1-EXP(-LN(2)/2))/(LN(2)/2)*CG202*CJ202*VLOOKUP('Données projet'!$B$12,Paramètres!$A$1:$I$88,3,0)*0.475*44/12</f>
        <v>3.2398107882961879E-25</v>
      </c>
      <c r="CN202" s="22">
        <f t="shared" si="172"/>
        <v>6.3391024628128553E-2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5.6843418860808015E-14</v>
      </c>
      <c r="CU202" s="17">
        <f>CT202*VLOOKUP('Données projet'!$B$13,Paramètres!$A$1:$I$88,3,0)*VLOOKUP('Données projet'!$B$13,Paramètres!$A$1:$I$88,5,0)</f>
        <v>2.8908289095852525E-14</v>
      </c>
      <c r="CV202" s="13">
        <f t="shared" si="173"/>
        <v>5.0177780569126974E-13</v>
      </c>
      <c r="CW202" s="20">
        <f t="shared" si="174"/>
        <v>9.2427828175423786E-13</v>
      </c>
      <c r="CX202" s="59">
        <f t="shared" si="196"/>
        <v>293.33333333333422</v>
      </c>
      <c r="CY202" s="59">
        <f ca="1">AVERAGE(OFFSET($CX$3,0,0,'Données projet'!$E$13+1,1))-AVERAGE(OFFSET($H$3,0,0,'Données projet'!$E$13+1,1))</f>
        <v>133.08385802816008</v>
      </c>
      <c r="CZ202" s="59">
        <f t="shared" si="208"/>
        <v>316.59112511251385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projet'!$B$13,Paramètres!$A$1:$I$88,7,0))</f>
        <v>0</v>
      </c>
      <c r="DD202" s="16">
        <f>IF(ISNA(VLOOKUP(A202,'Données projet'!$A$139:$I$159,6,0)),0%,VLOOKUP(A202,'Données projet'!$A$139:$I$159,6,0)*VLOOKUP('Données projet'!$B$13,Paramètres!$A$1:$I$88,7,0))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projet'!$B$13,Paramètres!$A$1:$I$88,3,0)*0.475*44/12</f>
        <v>2.5411404483555819</v>
      </c>
      <c r="DG202" s="21">
        <f>EXP(-LN(2)/25)*DG201+(1-EXP(-LN(2)/25))/(LN(2)/25)*Calculateur!DB202*Calculateur!DD202*VLOOKUP('Données projet'!$B$13,Paramètres!$A$1:$I$88,3,0)*0.475*44/12</f>
        <v>0</v>
      </c>
      <c r="DH202" s="21">
        <f>EXP(-LN(2)/2)*DH201+(1-EXP(-LN(2)/2))/(LN(2)/2)*DB202*DE202*VLOOKUP('Données projet'!$B$13,Paramètres!$A$1:$I$88,3,0)*0.475*44/12</f>
        <v>2.0670556934304974E-25</v>
      </c>
      <c r="DI202" s="22">
        <f t="shared" si="175"/>
        <v>2.5411404483555819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projet'!$B$14,Paramètres!$A$1:$I$88,3,0)*VLOOKUP('Données projet'!$B$14,Paramètres!$A$1:$I$88,5,0)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projet'!$B$14,Paramètres!$A$1:$I$88,7,0))</f>
        <v>0</v>
      </c>
      <c r="DY202" s="16">
        <f>IF(ISNA(VLOOKUP(A202,'Données projet'!$A$165:$I$185,6,0)),0%,VLOOKUP(A202,'Données projet'!$A$165:$I$185,6,0)*VLOOKUP('Données projet'!$B$14,Paramètres!$A$1:$I$88,7,0))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projet'!$B$14,Paramètres!$A$1:$I$88,3,0)*0.475*44/12</f>
        <v>#N/A</v>
      </c>
      <c r="EB202" s="21" t="e">
        <f>EXP(-LN(2)/25)*EB201+(1-EXP(-LN(2)/25))/(LN(2)/25)*Calculateur!DW202*Calculateur!DY202*VLOOKUP('Données projet'!$B$14,Paramètres!$A$1:$I$88,3,0)*0.475*44/12</f>
        <v>#N/A</v>
      </c>
      <c r="EC202" s="21" t="e">
        <f>EXP(-LN(2)/2)*EC201+(1-EXP(-LN(2)/2))/(LN(2)/2)*DW202*DZ202*VLOOKUP('Données projet'!$B$14,Paramètres!$A$1:$I$88,3,0)*0.475*44/12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projet'!$B$15,Paramètres!$A$1:$I$88,3,0)*VLOOKUP('Données projet'!$B$15,Paramètres!$A$1:$I$88,5,0)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projet'!$B$15,Paramètres!$A$1:$I$88,7,0))</f>
        <v>0</v>
      </c>
      <c r="ET202" s="16">
        <f>IF(ISNA(VLOOKUP(A202,'Données projet'!$A$191:$I$211,6,0)),0%,VLOOKUP(A202,'Données projet'!$A$191:$I$211,6,0)*VLOOKUP('Données projet'!$B$15,Paramètres!$A$1:$I$88,7,0))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projet'!$B$15,Paramètres!$A$1:$I$88,3,0)*0.475*44/12</f>
        <v>#N/A</v>
      </c>
      <c r="EW202" s="21" t="e">
        <f>EXP(-LN(2)/25)*EW201+(1-EXP(-LN(2)/25))/(LN(2)/25)*Calculateur!ER202*Calculateur!ET202*VLOOKUP('Données projet'!$B$15,Paramètres!$A$1:$I$88,3,0)*0.475*44/12</f>
        <v>#N/A</v>
      </c>
      <c r="EX202" s="21" t="e">
        <f>EXP(-LN(2)/2)*EX201+(1-EXP(-LN(2)/2))/(LN(2)/2)*ER202*EU202*VLOOKUP('Données projet'!$B$15,Paramètres!$A$1:$I$88,3,0)*0.475*44/12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projet'!$B$16,Paramètres!$A$1:$I$88,3,0)*VLOOKUP('Données projet'!$B$16,Paramètres!$A$1:$I$88,5,0)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projet'!$B$16,Paramètres!$A$1:$I$88,7,0))</f>
        <v>0</v>
      </c>
      <c r="FO202" s="16">
        <f>IF(ISNA(VLOOKUP(A202,'Données projet'!$A$217:$I$237,6,0)),0%,VLOOKUP(A202,'Données projet'!$A$217:$I$237,6,0)*VLOOKUP('Données projet'!$B$16,Paramètres!$A$1:$I$88,7,0))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projet'!$B$16,Paramètres!$A$1:$I$88,3,0)*0.475*44/12</f>
        <v>#N/A</v>
      </c>
      <c r="FR202" s="21" t="e">
        <f>EXP(-LN(2)/25)*FR201+(1-EXP(-LN(2)/25))/(LN(2)/25)*Calculateur!FM202*Calculateur!FO202*VLOOKUP('Données projet'!$B$16,Paramètres!$A$1:$I$88,3,0)*0.475*44/12</f>
        <v>#N/A</v>
      </c>
      <c r="FS202" s="21" t="e">
        <f>EXP(-LN(2)/2)*FS201+(1-EXP(-LN(2)/2))/(LN(2)/2)*FM202*FP202*VLOOKUP('Données projet'!$B$16,Paramètres!$A$1:$I$88,3,0)*0.475*44/12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projet'!$B$17,Paramètres!$A$1:$I$88,3,0)*VLOOKUP('Données projet'!$B$17,Paramètres!$A$1:$I$88,5,0)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projet'!$B$17,Paramètres!$A$1:$I$88,7,0))</f>
        <v>0</v>
      </c>
      <c r="GJ202" s="16">
        <f>IF(ISNA(VLOOKUP(A202,'Données projet'!$A$243:$I$263,6,0)),0%,VLOOKUP(A202,'Données projet'!$A$243:$I$263,6,0)*VLOOKUP('Données projet'!$B$17,Paramètres!$A$1:$I$88,7,0))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projet'!$B$17,Paramètres!$A$1:$I$88,3,0)*0.475*44/12</f>
        <v>#N/A</v>
      </c>
      <c r="GM202" s="21" t="e">
        <f>EXP(-LN(2)/25)*GM201+(1-EXP(-LN(2)/25))/(LN(2)/25)*Calculateur!GH202*Calculateur!GJ202*VLOOKUP('Données projet'!$B$17,Paramètres!$A$1:$I$88,3,0)*0.475*44/12</f>
        <v>#N/A</v>
      </c>
      <c r="GN202" s="21" t="e">
        <f>EXP(-LN(2)/2)*GN201+(1-EXP(-LN(2)/2))/(LN(2)/2)*GH202*GK202*VLOOKUP('Données projet'!$B$17,Paramètres!$A$1:$I$88,3,0)*0.475*44/12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projet'!$B$18,Paramètres!$A$1:$I$88,3,0)*VLOOKUP('Données projet'!$B$18,Paramètres!$A$1:$I$88,5,0)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projet'!$B$18,Paramètres!$A$1:$I$88,7,0))</f>
        <v>0</v>
      </c>
      <c r="HE202" s="16">
        <f>IF(ISNA(VLOOKUP(A202,'Données projet'!$A$269:$I$289,6,0)),0%,VLOOKUP(A202,'Données projet'!$A$269:$I$289,6,0)*VLOOKUP('Données projet'!$B$18,Paramètres!$A$1:$I$88,7,0))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projet'!$B$18,Paramètres!$A$1:$I$88,3,0)*0.475*44/12</f>
        <v>#N/A</v>
      </c>
      <c r="HH202" s="21" t="e">
        <f>EXP(-LN(2)/25)*HH201+(1-EXP(-LN(2)/25))/(LN(2)/25)*Calculateur!HC202*Calculateur!HE202*VLOOKUP('Données projet'!$B$18,Paramètres!$A$1:$I$88,3,0)*0.475*44/12</f>
        <v>#N/A</v>
      </c>
      <c r="HI202" s="21" t="e">
        <f>EXP(-LN(2)/2)*HI201+(1-EXP(-LN(2)/2))/(LN(2)/2)*HC202*HF202*VLOOKUP('Données projet'!$B$18,Paramètres!$A$1:$I$88,3,0)*0.475*44/12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projet'!$B$9,Paramètres!$A$1:$I$88,3,0)*VLOOKUP('Données projet'!$B$9,Paramètres!$A$1:$I$88,5,0)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195.73441209602686</v>
      </c>
      <c r="T203" s="59">
        <f t="shared" si="204"/>
        <v>219.19129224309006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projet'!$B$9,Paramètres!$A$1:$I$88,7,0))</f>
        <v>0</v>
      </c>
      <c r="X203" s="16">
        <f>IF(ISNA(VLOOKUP(A203,'Données projet'!$A$35:$I$55,6,0)),0%,VLOOKUP(A203,'Données projet'!$A$35:$I$55,6,0)*VLOOKUP('Données projet'!$B$9,Paramètres!$A$1:$I$88,7,0))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projet'!$B$9,Paramètres!$A$1:$I$88,3,0)*0.475*44/12</f>
        <v>0.52624821179045655</v>
      </c>
      <c r="AA203" s="21">
        <f>EXP(-LN(2)/25)*AA202+(1-EXP(-LN(2)/25))/(LN(2)/25)*Calculateur!V203*Calculateur!X203*VLOOKUP('Données projet'!$B$9,Paramètres!$A$1:$I$88,3,0)*0.475*44/12</f>
        <v>0.12705365646385525</v>
      </c>
      <c r="AB203" s="21">
        <f>EXP(-LN(2)/2)*AB202+(1-EXP(-LN(2)/2))/(LN(2)/2)*V203*Y203*VLOOKUP('Données projet'!$B$9,Paramètres!$A$1:$I$88,3,0)*0.475*44/12</f>
        <v>1.0255064246362024E-27</v>
      </c>
      <c r="AC203" s="22">
        <f t="shared" si="163"/>
        <v>0.6533018682543118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-4.5474735088646412E-13</v>
      </c>
      <c r="AJ203" s="13">
        <f>AI203*VLOOKUP('Données projet'!$B$10,Paramètres!$A$1:$I$88,3,0)*VLOOKUP('Données projet'!$B$10,Paramètres!$A$1:$I$88,5,0)</f>
        <v>-2.7193891583010558E-13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246.59447135626942</v>
      </c>
      <c r="AO203" s="59">
        <f t="shared" si="205"/>
        <v>262.00382544285367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projet'!$B$10,Paramètres!$A$1:$I$88,7,0))</f>
        <v>0</v>
      </c>
      <c r="AS203" s="16">
        <f>IF(ISNA(VLOOKUP(A203,'Données projet'!$A$61:$I$81,6,0)),0%,VLOOKUP(A203,'Données projet'!$A$61:$I$81,6,0)*VLOOKUP('Données projet'!$B$10,Paramètres!$A$1:$I$88,7,0))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projet'!$B$10,Paramètres!$A$1:$I$88,3,0)*0.475*44/12</f>
        <v>0</v>
      </c>
      <c r="AV203" s="21">
        <f>EXP(-LN(2)/25)*AV202+(1-EXP(-LN(2)/25))/(LN(2)/25)*Calculateur!AQ203*Calculateur!AS203*VLOOKUP('Données projet'!$B$10,Paramètres!$A$1:$I$88,3,0)*0.475*44/12</f>
        <v>0.11531193675729484</v>
      </c>
      <c r="AW203" s="21">
        <f>EXP(-LN(2)/2)*AW202+(1-EXP(-LN(2)/2))/(LN(2)/2)*AQ203*AT203*VLOOKUP('Données projet'!$B$10,Paramètres!$A$1:$I$88,3,0)*0.475*44/12</f>
        <v>6.1338957612240039E-25</v>
      </c>
      <c r="AX203" s="21">
        <f t="shared" si="166"/>
        <v>0.11531193675729484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-5.6843418860808015E-13</v>
      </c>
      <c r="BE203" s="13">
        <f>BD203*VLOOKUP('Données projet'!$B$11,Paramètres!$A$1:$I$88,3,0)*VLOOKUP('Données projet'!$B$11,Paramètres!$A$1:$I$88,5,0)</f>
        <v>-3.177547114319168E-13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355.96253323046608</v>
      </c>
      <c r="BJ203" s="59">
        <f t="shared" si="206"/>
        <v>366.8380442809696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projet'!$B$11,Paramètres!$A$1:$I$88,7,0))</f>
        <v>0</v>
      </c>
      <c r="BN203" s="16">
        <f>IF(ISNA(VLOOKUP(A203,'Données projet'!$A$87:$I$107,6,0)),0%,VLOOKUP(A203,'Données projet'!$A$87:$I$107,6,0)*VLOOKUP('Données projet'!$B$11,Paramètres!$A$1:$I$88,7,0))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projet'!$B$11,Paramètres!$A$1:$I$88,3,0)*0.475*44/12</f>
        <v>0</v>
      </c>
      <c r="BQ203" s="21">
        <f>EXP(-LN(2)/25)*BQ202+(1-EXP(-LN(2)/25))/(LN(2)/25)*Calculateur!BL203*Calculateur!BN203*VLOOKUP('Données projet'!$B$11,Paramètres!$A$1:$I$88,3,0)*0.475*44/12</f>
        <v>0.20416136099030027</v>
      </c>
      <c r="BR203" s="21">
        <f>EXP(-LN(2)/2)*BR202+(1-EXP(-LN(2)/2))/(LN(2)/2)*BL203*BO203*VLOOKUP('Données projet'!$B$11,Paramètres!$A$1:$I$88,3,0)*0.475*44/12</f>
        <v>9.4840023143312086E-25</v>
      </c>
      <c r="BS203" s="22">
        <f t="shared" si="169"/>
        <v>0.20416136099030027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projet'!$B$12,Paramètres!$A$1:$I$88,3,0)*VLOOKUP('Données projet'!$B$12,Paramètres!$A$1:$I$88,5,0)</f>
        <v>3.7243808037601412E-14</v>
      </c>
      <c r="CA203" s="13">
        <f t="shared" si="170"/>
        <v>6.2767589361185393E-13</v>
      </c>
      <c r="CB203" s="20">
        <f t="shared" si="171"/>
        <v>1.1580684803728015E-12</v>
      </c>
      <c r="CC203" s="59">
        <f t="shared" si="195"/>
        <v>293.33333333333445</v>
      </c>
      <c r="CD203" s="59">
        <f ca="1">AVERAGE(OFFSET($CC$3,0,0,'Données projet'!$E$12+1,1))-AVERAGE(OFFSET($H$3,0,0,'Données projet'!$E$12+1,1))</f>
        <v>180.90147430936133</v>
      </c>
      <c r="CE203" s="59">
        <f t="shared" si="207"/>
        <v>226.87949199830018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projet'!$B$12,Paramètres!$A$1:$I$88,7,0))</f>
        <v>0</v>
      </c>
      <c r="CI203" s="16">
        <f>IF(ISNA(VLOOKUP(A203,'Données projet'!$A$113:$I$133,6,0)),0%,VLOOKUP(A203,'Données projet'!$A$113:$I$133,6,0)*VLOOKUP('Données projet'!$B$12,Paramètres!$A$1:$I$88,7,0))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projet'!$B$12,Paramètres!$A$1:$I$88,3,0)*0.475*44/12</f>
        <v>0</v>
      </c>
      <c r="CL203" s="21">
        <f>EXP(-LN(2)/25)*CL202+(1-EXP(-LN(2)/25))/(LN(2)/25)*Calculateur!CG203*Calculateur!CI203*VLOOKUP('Données projet'!$B$12,Paramètres!$A$1:$I$88,3,0)*0.475*44/12</f>
        <v>6.1657593726083273E-2</v>
      </c>
      <c r="CM203" s="21">
        <f>EXP(-LN(2)/2)*CM202+(1-EXP(-LN(2)/2))/(LN(2)/2)*CG203*CJ203*VLOOKUP('Données projet'!$B$12,Paramètres!$A$1:$I$88,3,0)*0.475*44/12</f>
        <v>2.2908921781655685E-25</v>
      </c>
      <c r="CN203" s="22">
        <f t="shared" si="172"/>
        <v>6.1657593726083273E-2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5.6843418860808015E-14</v>
      </c>
      <c r="CU203" s="17">
        <f>CT203*VLOOKUP('Données projet'!$B$13,Paramètres!$A$1:$I$88,3,0)*VLOOKUP('Données projet'!$B$13,Paramètres!$A$1:$I$88,5,0)</f>
        <v>2.8908289095852525E-14</v>
      </c>
      <c r="CV203" s="13">
        <f t="shared" si="173"/>
        <v>5.0177780569126974E-13</v>
      </c>
      <c r="CW203" s="20">
        <f t="shared" si="174"/>
        <v>9.2427828175423786E-13</v>
      </c>
      <c r="CX203" s="59">
        <f t="shared" si="196"/>
        <v>293.33333333333422</v>
      </c>
      <c r="CY203" s="59">
        <f ca="1">AVERAGE(OFFSET($CX$3,0,0,'Données projet'!$E$13+1,1))-AVERAGE(OFFSET($H$3,0,0,'Données projet'!$E$13+1,1))</f>
        <v>133.08385802816008</v>
      </c>
      <c r="CZ203" s="59">
        <f t="shared" si="208"/>
        <v>316.59112511251385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projet'!$B$13,Paramètres!$A$1:$I$88,7,0))</f>
        <v>0</v>
      </c>
      <c r="DD203" s="16">
        <f>IF(ISNA(VLOOKUP(A203,'Données projet'!$A$139:$I$159,6,0)),0%,VLOOKUP(A203,'Données projet'!$A$139:$I$159,6,0)*VLOOKUP('Données projet'!$B$13,Paramètres!$A$1:$I$88,7,0))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projet'!$B$13,Paramètres!$A$1:$I$88,3,0)*0.475*44/12</f>
        <v>2.4913102341059585</v>
      </c>
      <c r="DG203" s="21">
        <f>EXP(-LN(2)/25)*DG202+(1-EXP(-LN(2)/25))/(LN(2)/25)*Calculateur!DB203*Calculateur!DD203*VLOOKUP('Données projet'!$B$13,Paramètres!$A$1:$I$88,3,0)*0.475*44/12</f>
        <v>0</v>
      </c>
      <c r="DH203" s="21">
        <f>EXP(-LN(2)/2)*DH202+(1-EXP(-LN(2)/2))/(LN(2)/2)*DB203*DE203*VLOOKUP('Données projet'!$B$13,Paramètres!$A$1:$I$88,3,0)*0.475*44/12</f>
        <v>1.4616290979149661E-25</v>
      </c>
      <c r="DI203" s="22">
        <f t="shared" si="175"/>
        <v>2.4913102341059585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projet'!$B$14,Paramètres!$A$1:$I$88,3,0)*VLOOKUP('Données projet'!$B$14,Paramètres!$A$1:$I$88,5,0)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projet'!$B$14,Paramètres!$A$1:$I$88,7,0))</f>
        <v>0</v>
      </c>
      <c r="DY203" s="16">
        <f>IF(ISNA(VLOOKUP(A203,'Données projet'!$A$165:$I$185,6,0)),0%,VLOOKUP(A203,'Données projet'!$A$165:$I$185,6,0)*VLOOKUP('Données projet'!$B$14,Paramètres!$A$1:$I$88,7,0))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projet'!$B$14,Paramètres!$A$1:$I$88,3,0)*0.475*44/12</f>
        <v>#N/A</v>
      </c>
      <c r="EB203" s="21" t="e">
        <f>EXP(-LN(2)/25)*EB202+(1-EXP(-LN(2)/25))/(LN(2)/25)*Calculateur!DW203*Calculateur!DY203*VLOOKUP('Données projet'!$B$14,Paramètres!$A$1:$I$88,3,0)*0.475*44/12</f>
        <v>#N/A</v>
      </c>
      <c r="EC203" s="21" t="e">
        <f>EXP(-LN(2)/2)*EC202+(1-EXP(-LN(2)/2))/(LN(2)/2)*DW203*DZ203*VLOOKUP('Données projet'!$B$14,Paramètres!$A$1:$I$88,3,0)*0.475*44/12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projet'!$B$15,Paramètres!$A$1:$I$88,3,0)*VLOOKUP('Données projet'!$B$15,Paramètres!$A$1:$I$88,5,0)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projet'!$B$15,Paramètres!$A$1:$I$88,7,0))</f>
        <v>0</v>
      </c>
      <c r="ET203" s="16">
        <f>IF(ISNA(VLOOKUP(A203,'Données projet'!$A$191:$I$211,6,0)),0%,VLOOKUP(A203,'Données projet'!$A$191:$I$211,6,0)*VLOOKUP('Données projet'!$B$15,Paramètres!$A$1:$I$88,7,0))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projet'!$B$15,Paramètres!$A$1:$I$88,3,0)*0.475*44/12</f>
        <v>#N/A</v>
      </c>
      <c r="EW203" s="21" t="e">
        <f>EXP(-LN(2)/25)*EW202+(1-EXP(-LN(2)/25))/(LN(2)/25)*Calculateur!ER203*Calculateur!ET203*VLOOKUP('Données projet'!$B$15,Paramètres!$A$1:$I$88,3,0)*0.475*44/12</f>
        <v>#N/A</v>
      </c>
      <c r="EX203" s="21" t="e">
        <f>EXP(-LN(2)/2)*EX202+(1-EXP(-LN(2)/2))/(LN(2)/2)*ER203*EU203*VLOOKUP('Données projet'!$B$15,Paramètres!$A$1:$I$88,3,0)*0.475*44/12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projet'!$B$16,Paramètres!$A$1:$I$88,3,0)*VLOOKUP('Données projet'!$B$16,Paramètres!$A$1:$I$88,5,0)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projet'!$B$16,Paramètres!$A$1:$I$88,7,0))</f>
        <v>0</v>
      </c>
      <c r="FO203" s="16">
        <f>IF(ISNA(VLOOKUP(A203,'Données projet'!$A$217:$I$237,6,0)),0%,VLOOKUP(A203,'Données projet'!$A$217:$I$237,6,0)*VLOOKUP('Données projet'!$B$16,Paramètres!$A$1:$I$88,7,0))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projet'!$B$16,Paramètres!$A$1:$I$88,3,0)*0.475*44/12</f>
        <v>#N/A</v>
      </c>
      <c r="FR203" s="21" t="e">
        <f>EXP(-LN(2)/25)*FR202+(1-EXP(-LN(2)/25))/(LN(2)/25)*Calculateur!FM203*Calculateur!FO203*VLOOKUP('Données projet'!$B$16,Paramètres!$A$1:$I$88,3,0)*0.475*44/12</f>
        <v>#N/A</v>
      </c>
      <c r="FS203" s="21" t="e">
        <f>EXP(-LN(2)/2)*FS202+(1-EXP(-LN(2)/2))/(LN(2)/2)*FM203*FP203*VLOOKUP('Données projet'!$B$16,Paramètres!$A$1:$I$88,3,0)*0.475*44/12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projet'!$B$17,Paramètres!$A$1:$I$88,3,0)*VLOOKUP('Données projet'!$B$17,Paramètres!$A$1:$I$88,5,0)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projet'!$B$17,Paramètres!$A$1:$I$88,7,0))</f>
        <v>0</v>
      </c>
      <c r="GJ203" s="16">
        <f>IF(ISNA(VLOOKUP(A203,'Données projet'!$A$243:$I$263,6,0)),0%,VLOOKUP(A203,'Données projet'!$A$243:$I$263,6,0)*VLOOKUP('Données projet'!$B$17,Paramètres!$A$1:$I$88,7,0))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projet'!$B$17,Paramètres!$A$1:$I$88,3,0)*0.475*44/12</f>
        <v>#N/A</v>
      </c>
      <c r="GM203" s="21" t="e">
        <f>EXP(-LN(2)/25)*GM202+(1-EXP(-LN(2)/25))/(LN(2)/25)*Calculateur!GH203*Calculateur!GJ203*VLOOKUP('Données projet'!$B$17,Paramètres!$A$1:$I$88,3,0)*0.475*44/12</f>
        <v>#N/A</v>
      </c>
      <c r="GN203" s="21" t="e">
        <f>EXP(-LN(2)/2)*GN202+(1-EXP(-LN(2)/2))/(LN(2)/2)*GH203*GK203*VLOOKUP('Données projet'!$B$17,Paramètres!$A$1:$I$88,3,0)*0.475*44/12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projet'!$B$18,Paramètres!$A$1:$I$88,3,0)*VLOOKUP('Données projet'!$B$18,Paramètres!$A$1:$I$88,5,0)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projet'!$B$18,Paramètres!$A$1:$I$88,7,0))</f>
        <v>0</v>
      </c>
      <c r="HE203" s="16">
        <f>IF(ISNA(VLOOKUP(A203,'Données projet'!$A$269:$I$289,6,0)),0%,VLOOKUP(A203,'Données projet'!$A$269:$I$289,6,0)*VLOOKUP('Données projet'!$B$18,Paramètres!$A$1:$I$88,7,0))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projet'!$B$18,Paramètres!$A$1:$I$88,3,0)*0.475*44/12</f>
        <v>#N/A</v>
      </c>
      <c r="HH203" s="21" t="e">
        <f>EXP(-LN(2)/25)*HH202+(1-EXP(-LN(2)/25))/(LN(2)/25)*Calculateur!HC203*Calculateur!HE203*VLOOKUP('Données projet'!$B$18,Paramètres!$A$1:$I$88,3,0)*0.475*44/12</f>
        <v>#N/A</v>
      </c>
      <c r="HI203" s="21" t="e">
        <f>EXP(-LN(2)/2)*HI202+(1-EXP(-LN(2)/2))/(LN(2)/2)*HC203*HF203*VLOOKUP('Données projet'!$B$18,Paramètres!$A$1:$I$88,3,0)*0.475*44/12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294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294</v>
      </c>
      <c r="BA204" s="81" t="s">
        <v>294</v>
      </c>
      <c r="BV204" s="81" t="s">
        <v>294</v>
      </c>
      <c r="CQ204" s="81" t="s">
        <v>294</v>
      </c>
      <c r="DL204" s="81" t="s">
        <v>294</v>
      </c>
      <c r="EG204" s="81" t="s">
        <v>294</v>
      </c>
      <c r="FB204" s="81" t="s">
        <v>294</v>
      </c>
      <c r="FW204" s="81" t="s">
        <v>294</v>
      </c>
      <c r="GR204" s="81" t="s">
        <v>294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1.3480061545972777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1.2530028811664373</v>
      </c>
      <c r="BA205" s="82">
        <f>EXP(LN('Données projet'!B88)/'Données projet'!A88)</f>
        <v>1.2820888539868154</v>
      </c>
      <c r="BV205" s="82">
        <f>EXP(LN('Données projet'!B114)/'Données projet'!A114)</f>
        <v>1.2557008269631629</v>
      </c>
      <c r="CQ205" s="82">
        <f>EXP(LN('Données projet'!B140)/'Données projet'!A140)</f>
        <v>1.4845688180219065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workbookViewId="0">
      <selection activeCell="E10" sqref="E10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75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76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75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77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77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76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75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76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122" t="s">
        <v>148</v>
      </c>
      <c r="B87" s="130"/>
      <c r="C87" s="124">
        <v>0.42</v>
      </c>
      <c r="D87" s="124" t="s">
        <v>161</v>
      </c>
      <c r="E87" s="124">
        <v>1.3</v>
      </c>
      <c r="F87" s="125" t="s">
        <v>274</v>
      </c>
      <c r="G87" s="131"/>
      <c r="H87" s="130"/>
      <c r="I87" s="132"/>
    </row>
    <row r="88" spans="1:14" ht="15.75" thickBot="1" x14ac:dyDescent="0.3">
      <c r="A88" s="133" t="s">
        <v>149</v>
      </c>
      <c r="B88" s="134"/>
      <c r="C88" s="135">
        <v>0.56999999999999995</v>
      </c>
      <c r="D88" s="136" t="s">
        <v>161</v>
      </c>
      <c r="E88" s="135">
        <v>1.56</v>
      </c>
      <c r="F88" s="135" t="s">
        <v>274</v>
      </c>
      <c r="G88" s="134"/>
      <c r="H88" s="134"/>
      <c r="I88" s="137"/>
    </row>
    <row r="92" spans="1:14" x14ac:dyDescent="0.25">
      <c r="A92" s="122" t="s">
        <v>208</v>
      </c>
    </row>
    <row r="93" spans="1:14" x14ac:dyDescent="0.25">
      <c r="A93" s="122" t="s">
        <v>209</v>
      </c>
    </row>
    <row r="94" spans="1:14" x14ac:dyDescent="0.25">
      <c r="A94" s="12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10" sqref="M1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66" t="s">
        <v>271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8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17.82</v>
      </c>
      <c r="C6" s="147">
        <f ca="1">IF(OR('Données projet'!B9="",'Données projet'!C9="",'Données projet'!C9=0%),0,Calculateur!S3)</f>
        <v>195.73441209602686</v>
      </c>
      <c r="D6" s="147">
        <f>IF(OR('Données projet'!B9="",'Données projet'!C9="",'Données projet'!C9=0%),0,Calculateur!T3)</f>
        <v>219.19129224309006</v>
      </c>
      <c r="E6" s="147">
        <f ca="1">MIN(C6,D6)</f>
        <v>195.73441209602686</v>
      </c>
      <c r="F6" s="147">
        <f ca="1">E6*B6</f>
        <v>3487.9872235511989</v>
      </c>
      <c r="G6" s="147">
        <f ca="1">F6*(100%-'Données projet'!$C$24)*(100%-'Données projet'!$C$25)*(100%-'Données projet'!$C$26)*(100%-'Données projet'!$C$27)</f>
        <v>2982.2290761362747</v>
      </c>
      <c r="H6" s="148">
        <f>IF(OR('Données projet'!B9="",'Données projet'!C9="",'Données projet'!C9=0%),0,AVERAGE(Calculateur!$AC$3:$AC$33)*B6)</f>
        <v>135.25236143700113</v>
      </c>
      <c r="I6" s="149">
        <f>H6*(100%-'Données projet'!$C$24)*(100%-'Données projet'!$C$25)*(100%-'Données projet'!$C$26)*(100%-'Données projet'!$C$27)</f>
        <v>115.64076902863596</v>
      </c>
      <c r="J6" s="150">
        <f>IF(OR('Données projet'!B9="",'Données projet'!C9="",'Données projet'!C9=0%),0,SUM(Calculateur!$V$3:$V$33)*VLOOKUP('Données projet'!$B$9,Paramètres!$A$1:$I$88,9,0)*B6)</f>
        <v>1082.9213999999999</v>
      </c>
      <c r="K6" s="151">
        <f>J6*(100%-'Données projet'!$C$24)*(100%-'Données projet'!$C$25)*(100%-'Données projet'!$C$26)*(100%-'Données projet'!$C$27)</f>
        <v>925.89779699999985</v>
      </c>
      <c r="L6" s="152">
        <f ca="1">G6+I6+K6</f>
        <v>4023.7676421649103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laricio</v>
      </c>
      <c r="B7" s="154">
        <f>'Données projet'!D10</f>
        <v>9.9</v>
      </c>
      <c r="C7" s="147">
        <f ca="1">IF(OR('Données projet'!B10="",'Données projet'!C10="",'Données projet'!C10=0%),0,Calculateur!AN3)</f>
        <v>246.59447135626942</v>
      </c>
      <c r="D7" s="147">
        <f>IF(OR('Données projet'!B10="",'Données projet'!C10="",'Données projet'!C10=0%),0,Calculateur!AO3)</f>
        <v>262.00382544285367</v>
      </c>
      <c r="E7" s="147">
        <f t="shared" ref="E7:E15" ca="1" si="0">MIN(C7,D7)</f>
        <v>246.59447135626942</v>
      </c>
      <c r="F7" s="147">
        <f t="shared" ref="F7:F15" ca="1" si="1">E7*B7</f>
        <v>2441.2852664270672</v>
      </c>
      <c r="G7" s="147">
        <f ca="1">F7*(100%-'Données projet'!$C$24)*(100%-'Données projet'!$C$25)*(100%-'Données projet'!$C$26)*(100%-'Données projet'!$C$27)</f>
        <v>2087.2989027951426</v>
      </c>
      <c r="H7" s="155">
        <f>IF(OR('Données projet'!B10="",'Données projet'!C10="",'Données projet'!C10=0%),0,AVERAGE(Calculateur!$AX$3:$AX$33)*B7)</f>
        <v>14.262611739646015</v>
      </c>
      <c r="I7" s="149">
        <f>H7*(100%-'Données projet'!$C$24)*(100%-'Données projet'!$C$25)*(100%-'Données projet'!$C$26)*(100%-'Données projet'!$C$27)</f>
        <v>12.194533037397342</v>
      </c>
      <c r="J7" s="150">
        <f>IF(OR('Données projet'!B10="",'Données projet'!C10="",'Données projet'!C10=0%),0,SUM(Calculateur!$AQ$3:$AQ$33)*VLOOKUP('Données projet'!$B$10,Paramètres!$A$1:$I$88,9,0)*B7)</f>
        <v>310.76100000000002</v>
      </c>
      <c r="K7" s="151">
        <f>J7*(100%-'Données projet'!$C$24)*(100%-'Données projet'!$C$25)*(100%-'Données projet'!$C$26)*(100%-'Données projet'!$C$27)</f>
        <v>265.70065500000004</v>
      </c>
      <c r="L7" s="152">
        <f t="shared" ref="L7:L15" ca="1" si="2">G7+I7+K7</f>
        <v>2365.19409083254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Douglas</v>
      </c>
      <c r="B8" s="154">
        <f>'Données projet'!D11</f>
        <v>5.5440000000000005</v>
      </c>
      <c r="C8" s="147">
        <f ca="1">IF(OR('Données projet'!B11="",'Données projet'!C11="",'Données projet'!C11=0%),0,Calculateur!BI3)</f>
        <v>355.96253323046608</v>
      </c>
      <c r="D8" s="147">
        <f>IF(OR('Données projet'!B11="",'Données projet'!C11="",'Données projet'!C11=0%),0,Calculateur!BJ3)</f>
        <v>366.8380442809696</v>
      </c>
      <c r="E8" s="147">
        <f t="shared" ca="1" si="0"/>
        <v>355.96253323046608</v>
      </c>
      <c r="F8" s="147">
        <f t="shared" ca="1" si="1"/>
        <v>1973.4562842297041</v>
      </c>
      <c r="G8" s="147">
        <f ca="1">F8*(100%-'Données projet'!$C$24)*(100%-'Données projet'!$C$25)*(100%-'Données projet'!$C$26)*(100%-'Données projet'!$C$27)</f>
        <v>1687.3051230163971</v>
      </c>
      <c r="H8" s="155">
        <f>IF(OR('Données projet'!B11="",'Données projet'!C11="",'Données projet'!C11=0%),0,AVERAGE(Calculateur!$BS$3:$BS$33)*B8)</f>
        <v>34.215905229553826</v>
      </c>
      <c r="I8" s="149">
        <f>H8*(100%-'Données projet'!$C$24)*(100%-'Données projet'!$C$25)*(100%-'Données projet'!$C$26)*(100%-'Données projet'!$C$27)</f>
        <v>29.254598971268521</v>
      </c>
      <c r="J8" s="150">
        <f>IF(OR('Données projet'!B11="",'Données projet'!C11="",'Données projet'!C11=0%),0,SUM(Calculateur!$BL$3:$BL$33)*VLOOKUP('Données projet'!$B$11,Paramètres!$A$1:$I$88,9,0)*B8)</f>
        <v>417.18600000000004</v>
      </c>
      <c r="K8" s="151">
        <f>J8*(100%-'Données projet'!$C$24)*(100%-'Données projet'!$C$25)*(100%-'Données projet'!$C$26)*(100%-'Données projet'!$C$27)</f>
        <v>356.69403000000005</v>
      </c>
      <c r="L8" s="152">
        <f t="shared" ca="1" si="2"/>
        <v>2073.2537519876655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Aulne glutineux</v>
      </c>
      <c r="B9" s="154">
        <f>'Données projet'!D12</f>
        <v>0.79200000000000004</v>
      </c>
      <c r="C9" s="147">
        <f ca="1">IF(OR('Données projet'!B12="",'Données projet'!C12="",'Données projet'!C12=0%),0,Calculateur!CD3)</f>
        <v>180.90147430936133</v>
      </c>
      <c r="D9" s="147">
        <f>IF(OR('Données projet'!B12="",'Données projet'!C12="",'Données projet'!C12=0%),0,Calculateur!CE3)</f>
        <v>226.87949199830018</v>
      </c>
      <c r="E9" s="147">
        <f t="shared" ca="1" si="0"/>
        <v>180.90147430936133</v>
      </c>
      <c r="F9" s="147">
        <f t="shared" ca="1" si="1"/>
        <v>143.27396765301418</v>
      </c>
      <c r="G9" s="147">
        <f ca="1">F9*(100%-'Données projet'!$C$24)*(100%-'Données projet'!$C$25)*(100%-'Données projet'!$C$26)*(100%-'Données projet'!$C$27)</f>
        <v>122.49924234332713</v>
      </c>
      <c r="H9" s="155">
        <f>IF(OR('Données projet'!B12="",'Données projet'!C12="",'Données projet'!C12=0%),0,AVERAGE(Calculateur!$CN$3:$CN$33)*B9)</f>
        <v>1.7179855320925694</v>
      </c>
      <c r="I9" s="149">
        <f>H9*(100%-'Données projet'!$C$24)*(100%-'Données projet'!$C$25)*(100%-'Données projet'!$C$26)*(100%-'Données projet'!$C$27)</f>
        <v>1.4688776299391468</v>
      </c>
      <c r="J9" s="150">
        <f>IF(OR('Données projet'!B12="",'Données projet'!C12="",'Données projet'!C12=0%),0,SUM(Calculateur!$CG$3:$CG$33)*VLOOKUP('Données projet'!$B$12,Paramètres!$A$1:$I$88,9,0)*B9)</f>
        <v>19.602</v>
      </c>
      <c r="K9" s="151">
        <f>J9*(100%-'Données projet'!$C$24)*(100%-'Données projet'!$C$25)*(100%-'Données projet'!$C$26)*(100%-'Données projet'!$C$27)</f>
        <v>16.759709999999998</v>
      </c>
      <c r="L9" s="152">
        <f t="shared" ca="1" si="2"/>
        <v>140.72782997326627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Peuplier Koster</v>
      </c>
      <c r="B10" s="154">
        <f>'Données projet'!D13</f>
        <v>5.5440000000000005</v>
      </c>
      <c r="C10" s="147">
        <f ca="1">IF(OR('Données projet'!B13="",'Données projet'!C13="",'Données projet'!C13=0%),0,Calculateur!CY3)</f>
        <v>133.08385802816008</v>
      </c>
      <c r="D10" s="147">
        <f>IF(OR('Données projet'!B13="",'Données projet'!C13="",'Données projet'!C13=0%),0,Calculateur!CZ3)</f>
        <v>316.59112511251385</v>
      </c>
      <c r="E10" s="147">
        <f t="shared" ca="1" si="0"/>
        <v>133.08385802816008</v>
      </c>
      <c r="F10" s="147">
        <f t="shared" ca="1" si="1"/>
        <v>737.81690890811956</v>
      </c>
      <c r="G10" s="147">
        <f ca="1">F10*(100%-'Données projet'!$C$24)*(100%-'Données projet'!$C$25)*(100%-'Données projet'!$C$26)*(100%-'Données projet'!$C$27)</f>
        <v>630.83345711644222</v>
      </c>
      <c r="H10" s="155">
        <f>IF(OR('Données projet'!B13="",'Données projet'!C13="",'Données projet'!C13=0%),0,AVERAGE(Calculateur!$DI$3:$DI$33)*B10)</f>
        <v>98.547786201669823</v>
      </c>
      <c r="I10" s="149">
        <f>H10*(100%-'Données projet'!$C$24)*(100%-'Données projet'!$C$25)*(100%-'Données projet'!$C$26)*(100%-'Données projet'!$C$27)</f>
        <v>84.258357202427689</v>
      </c>
      <c r="J10" s="150">
        <f>IF(OR('Données projet'!B13="",'Données projet'!C13="",'Données projet'!C13=0%),0,SUM(Calculateur!$DB$3:$DB$33)*VLOOKUP('Données projet'!$B$13,Paramètres!$A$1:$I$88,9,0)*B10)</f>
        <v>1730.2269600000004</v>
      </c>
      <c r="K10" s="151">
        <f>J10*(100%-'Données projet'!$C$24)*(100%-'Données projet'!$C$25)*(100%-'Données projet'!$C$26)*(100%-'Données projet'!$C$27)</f>
        <v>1479.3440508000003</v>
      </c>
      <c r="L10" s="152">
        <f t="shared" ca="1" si="2"/>
        <v>2194.4358651188704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projet'!$B$14,Paramètres!$A$1:$I$88,9,0)*B11)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projet'!$B$15,Paramètres!$A$1:$I$88,9,0)*B12)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projet'!$B$16,Paramètres!$A$1:$I$88,9,0)*B13)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projet'!$B$17,Paramètres!$A$1:$I$88,9,0)*B14)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projet'!$B$18,Paramètres!$A$1:$I$88,9,0)*B15)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8783.8196507691046</v>
      </c>
      <c r="G16" s="166">
        <f t="shared" ca="1" si="3"/>
        <v>7510.1658014075838</v>
      </c>
      <c r="H16" s="167">
        <f t="shared" si="3"/>
        <v>283.99665013996338</v>
      </c>
      <c r="I16" s="167">
        <f t="shared" si="3"/>
        <v>242.81713586966868</v>
      </c>
      <c r="J16" s="168">
        <f t="shared" si="3"/>
        <v>3560.6973600000001</v>
      </c>
      <c r="K16" s="168">
        <f t="shared" si="3"/>
        <v>3044.3962428000004</v>
      </c>
      <c r="L16" s="169">
        <f t="shared" ca="1" si="3"/>
        <v>10797.379180077252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78" t="s">
        <v>246</v>
      </c>
      <c r="G17" s="279"/>
      <c r="H17" s="279"/>
      <c r="I17" s="279"/>
      <c r="J17" s="279"/>
      <c r="K17" s="279"/>
      <c r="L17" s="279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65"/>
      <c r="G18" s="265"/>
      <c r="H18" s="265"/>
      <c r="I18" s="265"/>
      <c r="J18" s="265"/>
      <c r="K18" s="265"/>
      <c r="L18" s="265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Aulne glutineux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Peuplier Koster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M14" zoomScaleNormal="100" workbookViewId="0">
      <selection activeCell="C61" sqref="C6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66" t="s">
        <v>272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6" t="s">
        <v>316</v>
      </c>
      <c r="I4" s="256"/>
      <c r="K4" s="280" t="s">
        <v>253</v>
      </c>
      <c r="L4" s="28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0" t="s">
        <v>311</v>
      </c>
      <c r="S7" s="291"/>
      <c r="T7" s="291"/>
      <c r="U7" s="291"/>
      <c r="V7" s="29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312</v>
      </c>
      <c r="C9" s="23"/>
      <c r="D9" s="23"/>
      <c r="E9" s="23"/>
      <c r="F9" s="230"/>
      <c r="G9" s="93" t="s">
        <v>315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318</v>
      </c>
      <c r="C10" s="23"/>
      <c r="D10" s="23"/>
      <c r="E10" s="23"/>
      <c r="F10" s="230"/>
      <c r="G10" s="93" t="s">
        <v>317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-683.63725508956611</v>
      </c>
      <c r="U10" s="178">
        <f>'Données projet'!D9</f>
        <v>17.82</v>
      </c>
      <c r="V10" s="177">
        <f>U10*T10</f>
        <v>-12182.415885696068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313</v>
      </c>
      <c r="B11" s="23"/>
      <c r="C11" s="23"/>
      <c r="D11" s="23"/>
      <c r="E11" s="23"/>
      <c r="F11" s="230"/>
      <c r="G11" s="93" t="s">
        <v>314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-494.91592780262283</v>
      </c>
      <c r="U11" s="178">
        <f>'Données projet'!D10</f>
        <v>9.9</v>
      </c>
      <c r="V11" s="177">
        <f t="shared" ref="V11" si="0">U11*T11</f>
        <v>-4899.6676852459659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2460.55512771843</v>
      </c>
      <c r="U12" s="178">
        <f>'Données projet'!D11</f>
        <v>5.5440000000000005</v>
      </c>
      <c r="V12" s="177">
        <f t="shared" ref="V12:V19" si="1">U12*T12</f>
        <v>13641.317628070978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Aulne glutineux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-442.62352910395873</v>
      </c>
      <c r="U13" s="178">
        <f>'Données projet'!D12</f>
        <v>0.79200000000000004</v>
      </c>
      <c r="V13" s="177">
        <f t="shared" si="1"/>
        <v>-350.55783505033531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291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Peuplier Koster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711.8262043095051</v>
      </c>
      <c r="U14" s="178">
        <f>'Données projet'!D13</f>
        <v>5.5440000000000005</v>
      </c>
      <c r="V14" s="177">
        <f t="shared" si="1"/>
        <v>3946.3644766918965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3" t="s">
        <v>319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287</v>
      </c>
      <c r="F16" s="230"/>
      <c r="G16" s="283"/>
      <c r="H16" s="190"/>
      <c r="I16" s="191"/>
      <c r="J16" s="202"/>
      <c r="K16" s="208"/>
      <c r="L16" s="280" t="s">
        <v>254</v>
      </c>
      <c r="M16" s="28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1250</v>
      </c>
      <c r="F17" s="230"/>
      <c r="G17" s="283"/>
      <c r="J17" s="202"/>
      <c r="K17" s="208"/>
      <c r="L17" s="253" t="s">
        <v>290</v>
      </c>
      <c r="M17" s="255"/>
      <c r="N17" s="175">
        <f>VLOOKUP(N16,Calculateur!$A$2:$H$153,3,0)/VLOOKUP('Scénario référence'!$G$15,Paramètres!A1:I88,3,0)/VLOOKUP('Scénario référence'!$G$15,Paramètres!A1:I88,5,0)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>
        <v>300</v>
      </c>
      <c r="F18" s="230"/>
      <c r="G18" s="283"/>
      <c r="J18" s="202"/>
      <c r="K18" s="208"/>
      <c r="L18" s="253" t="s">
        <v>255</v>
      </c>
      <c r="M18" s="255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>
        <v>300</v>
      </c>
      <c r="F19" s="230"/>
      <c r="G19" s="283"/>
      <c r="H19" s="212" t="s">
        <v>178</v>
      </c>
      <c r="I19" s="212" t="s">
        <v>288</v>
      </c>
      <c r="J19" s="93"/>
      <c r="K19" s="173"/>
      <c r="L19" s="280" t="s">
        <v>289</v>
      </c>
      <c r="M19" s="281"/>
      <c r="N19" s="179">
        <f>N17*N18</f>
        <v>1600.0000000000023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>
        <v>300</v>
      </c>
      <c r="F20" s="230"/>
      <c r="G20" s="283"/>
      <c r="H20" s="190">
        <v>0</v>
      </c>
      <c r="I20" s="191">
        <v>438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2" t="s">
        <v>260</v>
      </c>
      <c r="M23" s="282"/>
      <c r="N23" s="282"/>
      <c r="O23" s="23"/>
      <c r="P23" s="23"/>
      <c r="Q23" s="234"/>
      <c r="R23" s="23"/>
      <c r="S23" s="36" t="s">
        <v>264</v>
      </c>
      <c r="T23" s="29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-17189.759301229496</v>
      </c>
      <c r="U23" s="295"/>
      <c r="V23" s="29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16</v>
      </c>
      <c r="B24" s="181">
        <f>'Données projet'!D37</f>
        <v>15</v>
      </c>
      <c r="C24" s="193">
        <v>5</v>
      </c>
      <c r="D24" s="182">
        <f t="shared" ref="D24:D42" si="2">B24*C24</f>
        <v>75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6">
        <f ca="1">'Scénario référence'!$B$8*$M$30*'Données projet'!$C$5+('Scénario référence'!B9+'Scénario référence'!B10+'Scénario référence'!F8+'Scénario référence'!F9)*$N$19/(1+M4)^N16*'Données projet'!$C$5</f>
        <v>1872.8885424017924</v>
      </c>
      <c r="U24" s="296"/>
      <c r="V24" s="29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20</v>
      </c>
      <c r="B25" s="181">
        <f>'Données projet'!D38</f>
        <v>22</v>
      </c>
      <c r="C25" s="193">
        <v>5</v>
      </c>
      <c r="D25" s="182">
        <f t="shared" si="2"/>
        <v>110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7">
        <f ca="1">T23-T24</f>
        <v>-19062.64784363129</v>
      </c>
      <c r="U25" s="297"/>
      <c r="V25" s="29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24</v>
      </c>
      <c r="B26" s="181">
        <f>'Données projet'!D39</f>
        <v>31</v>
      </c>
      <c r="C26" s="193">
        <v>8</v>
      </c>
      <c r="D26" s="182">
        <f t="shared" si="2"/>
        <v>248</v>
      </c>
      <c r="E26" s="193"/>
      <c r="F26" s="233"/>
      <c r="G26" s="229"/>
      <c r="H26" s="190"/>
      <c r="I26" s="191"/>
      <c r="K26" s="208"/>
      <c r="L26" s="284" t="s">
        <v>258</v>
      </c>
      <c r="M26" s="285"/>
      <c r="N26" s="285"/>
      <c r="O26" s="285"/>
      <c r="P26" s="286"/>
      <c r="Q26" s="234"/>
      <c r="R26" s="23"/>
      <c r="S26" s="186" t="s">
        <v>265</v>
      </c>
      <c r="T26" s="294" t="str">
        <f ca="1">IF(T25&lt;0,"Votre projet est additionnel","Votre projet n'est pas additionnel")</f>
        <v>Votre projet est additionnel</v>
      </c>
      <c r="U26" s="294"/>
      <c r="V26" s="29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28</v>
      </c>
      <c r="B27" s="181">
        <f>'Données projet'!D40</f>
        <v>35</v>
      </c>
      <c r="C27" s="193">
        <v>8</v>
      </c>
      <c r="D27" s="182">
        <f t="shared" si="2"/>
        <v>280</v>
      </c>
      <c r="E27" s="193"/>
      <c r="F27" s="233"/>
      <c r="G27" s="229"/>
      <c r="H27" s="190"/>
      <c r="I27" s="191"/>
      <c r="K27" s="208"/>
      <c r="L27" s="287"/>
      <c r="M27" s="288"/>
      <c r="N27" s="288"/>
      <c r="O27" s="288"/>
      <c r="P27" s="289"/>
      <c r="Q27" s="234"/>
      <c r="R27" s="23"/>
      <c r="S27" s="293" t="s">
        <v>267</v>
      </c>
      <c r="T27" s="293"/>
      <c r="U27" s="293"/>
      <c r="V27" s="29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34</v>
      </c>
      <c r="B28" s="181">
        <f>'Données projet'!D41</f>
        <v>46</v>
      </c>
      <c r="C28" s="193">
        <v>8</v>
      </c>
      <c r="D28" s="182">
        <f t="shared" si="2"/>
        <v>368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40</v>
      </c>
      <c r="B29" s="181">
        <f>'Données projet'!D42</f>
        <v>41</v>
      </c>
      <c r="C29" s="193">
        <v>18</v>
      </c>
      <c r="D29" s="182">
        <f t="shared" si="2"/>
        <v>738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46</v>
      </c>
      <c r="B30" s="181">
        <f>'Données projet'!D43</f>
        <v>29</v>
      </c>
      <c r="C30" s="193">
        <v>18</v>
      </c>
      <c r="D30" s="182">
        <f t="shared" si="2"/>
        <v>522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54</v>
      </c>
      <c r="B31" s="181">
        <f>'Données projet'!D44</f>
        <v>16</v>
      </c>
      <c r="C31" s="193">
        <v>25</v>
      </c>
      <c r="D31" s="182">
        <f t="shared" si="2"/>
        <v>400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62</v>
      </c>
      <c r="B32" s="181">
        <f>'Données projet'!D45</f>
        <v>316</v>
      </c>
      <c r="C32" s="193">
        <v>40</v>
      </c>
      <c r="D32" s="182">
        <f t="shared" si="2"/>
        <v>12640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287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1250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>
        <v>300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>
        <v>300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>
        <v>300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</v>
      </c>
      <c r="C54" s="198">
        <v>8</v>
      </c>
      <c r="D54" s="179">
        <f>B54*C54</f>
        <v>24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70</v>
      </c>
      <c r="C55" s="191">
        <v>12</v>
      </c>
      <c r="D55" s="179">
        <f t="shared" ref="D55:D73" si="4">B55*C55</f>
        <v>840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70</v>
      </c>
      <c r="C56" s="191">
        <v>18</v>
      </c>
      <c r="D56" s="179">
        <f t="shared" si="4"/>
        <v>1260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70</v>
      </c>
      <c r="C57" s="191">
        <v>35</v>
      </c>
      <c r="D57" s="179">
        <f t="shared" si="4"/>
        <v>2450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57</v>
      </c>
      <c r="C58" s="191">
        <v>45</v>
      </c>
      <c r="D58" s="179">
        <f t="shared" si="4"/>
        <v>2565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44</v>
      </c>
      <c r="C59" s="191">
        <v>50</v>
      </c>
      <c r="D59" s="179">
        <f t="shared" si="4"/>
        <v>2200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str">
        <f>IF(O58+1&lt;=MIN('Données projet'!$E$9:$E$18),O58+1,"STOP")</f>
        <v>STOP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450</v>
      </c>
      <c r="C60" s="191">
        <v>60</v>
      </c>
      <c r="D60" s="179">
        <f t="shared" si="4"/>
        <v>27000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287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1300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>
        <v>300</v>
      </c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>
        <v>300</v>
      </c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>
        <v>300</v>
      </c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63</v>
      </c>
      <c r="C86" s="191">
        <v>12</v>
      </c>
      <c r="D86" s="179">
        <f t="shared" ref="D86:D104" si="6">B86*C86</f>
        <v>756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112</v>
      </c>
      <c r="C87" s="191">
        <v>35</v>
      </c>
      <c r="D87" s="179">
        <f t="shared" si="6"/>
        <v>3920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112</v>
      </c>
      <c r="C88" s="191">
        <v>45</v>
      </c>
      <c r="D88" s="179">
        <f t="shared" si="6"/>
        <v>5040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108</v>
      </c>
      <c r="C89" s="191">
        <v>50</v>
      </c>
      <c r="D89" s="179">
        <f t="shared" si="6"/>
        <v>5400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83</v>
      </c>
      <c r="C90" s="191">
        <v>55</v>
      </c>
      <c r="D90" s="179">
        <f t="shared" si="6"/>
        <v>4565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67</v>
      </c>
      <c r="C91" s="191">
        <v>60</v>
      </c>
      <c r="D91" s="179">
        <f t="shared" si="6"/>
        <v>4020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651</v>
      </c>
      <c r="C92" s="191">
        <v>65</v>
      </c>
      <c r="D92" s="179">
        <f t="shared" si="6"/>
        <v>42315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Aulne glutineux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287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1700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v>300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v>300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v>300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43</v>
      </c>
      <c r="C116" s="193">
        <v>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56</v>
      </c>
      <c r="C117" s="193">
        <v>8</v>
      </c>
      <c r="D117" s="179">
        <f t="shared" ref="D117:D135" si="8">B117*C117</f>
        <v>448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56</v>
      </c>
      <c r="C118" s="193">
        <v>15</v>
      </c>
      <c r="D118" s="179">
        <f t="shared" si="8"/>
        <v>840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39</v>
      </c>
      <c r="C119" s="193">
        <v>25</v>
      </c>
      <c r="D119" s="179">
        <f t="shared" si="8"/>
        <v>975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25</v>
      </c>
      <c r="C120" s="193">
        <v>35</v>
      </c>
      <c r="D120" s="179">
        <f t="shared" si="8"/>
        <v>875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21</v>
      </c>
      <c r="C121" s="193">
        <v>70</v>
      </c>
      <c r="D121" s="179">
        <f t="shared" si="8"/>
        <v>1470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284</v>
      </c>
      <c r="C122" s="193">
        <v>90</v>
      </c>
      <c r="D122" s="179">
        <f t="shared" si="8"/>
        <v>25560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Peuplier Koster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287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3000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v>450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v>450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>
        <v>450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15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25</v>
      </c>
      <c r="B150" s="175">
        <f>'Données projet'!D143</f>
        <v>303</v>
      </c>
      <c r="C150" s="191">
        <v>45</v>
      </c>
      <c r="D150" s="182">
        <f t="shared" si="10"/>
        <v>13635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287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287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287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287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287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B4AB8DDE-042A-41C4-87B7-95DFCF339D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Cécile De Coincy</cp:lastModifiedBy>
  <dcterms:created xsi:type="dcterms:W3CDTF">2021-02-01T08:22:39Z</dcterms:created>
  <dcterms:modified xsi:type="dcterms:W3CDTF">2023-04-13T09:12:36Z</dcterms:modified>
</cp:coreProperties>
</file>